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/>
  <bookViews>
    <workbookView xWindow="270" yWindow="-180" windowWidth="15360" windowHeight="8070" tabRatio="800"/>
  </bookViews>
  <sheets>
    <sheet name="GAL-CUB" sheetId="27" r:id="rId1"/>
    <sheet name="CONTAGEM2" sheetId="28" r:id="rId2"/>
    <sheet name="CONTAGEM" sheetId="7" state="hidden" r:id="rId3"/>
    <sheet name="ESCOLTAS" sheetId="2" r:id="rId4"/>
    <sheet name="B.O.´s" sheetId="3" r:id="rId5"/>
    <sheet name="SAÍDAS" sheetId="4" r:id="rId6"/>
    <sheet name="SEGUNDA" sheetId="25" r:id="rId7"/>
    <sheet name="TERÇA" sheetId="24" r:id="rId8"/>
    <sheet name="QUARTA" sheetId="14" r:id="rId9"/>
    <sheet name="QUINTA" sheetId="23" r:id="rId10"/>
    <sheet name="SEXTA" sheetId="20" r:id="rId11"/>
    <sheet name="Plan1" sheetId="29" r:id="rId12"/>
    <sheet name="CUBÍCULOS ISOLADOS" sheetId="30" r:id="rId13"/>
  </sheets>
  <definedNames>
    <definedName name="_xlnm._FilterDatabase" localSheetId="0" hidden="1">'GAL-CUB'!$A$1:$P$521</definedName>
    <definedName name="_xlnm._FilterDatabase" localSheetId="5" hidden="1">SAÍDAS!$B$1:$F$2896</definedName>
    <definedName name="FACCIONADOS">#REF!</definedName>
    <definedName name="INTERNOS">#REF!</definedName>
    <definedName name="sergio">'GAL-CUB'!#REF!</definedName>
    <definedName name="Z_43E256EA_DAC4_46F1_9F3C_3533189BF08F_.wvu.FilterData" localSheetId="5" hidden="1">SAÍDAS!$B$1:$F$2137</definedName>
    <definedName name="Z_43E256EA_DAC4_46F1_9F3C_3533189BF08F_.wvu.Rows" localSheetId="4" hidden="1">B.O.´s!#REF!</definedName>
  </definedNames>
  <calcPr calcId="125725"/>
  <customWorkbookViews>
    <customWorkbookView name="PEPG - Modo de exibição pessoal" guid="{43E256EA-DAC4-46F1-9F3C-3533189BF08F}" mergeInterval="0" personalView="1" maximized="1" windowWidth="796" windowHeight="438" tabRatio="764" activeSheetId="1"/>
  </customWorkbookViews>
</workbook>
</file>

<file path=xl/calcChain.xml><?xml version="1.0" encoding="utf-8"?>
<calcChain xmlns="http://schemas.openxmlformats.org/spreadsheetml/2006/main">
  <c r="K319" i="27"/>
  <c r="L319"/>
  <c r="L320"/>
  <c r="L317"/>
  <c r="A2074" i="4"/>
  <c r="K60" i="27" l="1"/>
  <c r="L60"/>
  <c r="M60"/>
  <c r="N60"/>
  <c r="O60"/>
  <c r="P60"/>
  <c r="K154"/>
  <c r="L154"/>
  <c r="M154"/>
  <c r="N154"/>
  <c r="O154"/>
  <c r="P154"/>
  <c r="A2351" i="4"/>
  <c r="A1395"/>
  <c r="A2531"/>
  <c r="K78" i="27"/>
  <c r="L78"/>
  <c r="N78"/>
  <c r="A26" i="30"/>
  <c r="Q21"/>
  <c r="N21"/>
  <c r="K21"/>
  <c r="K22" s="1"/>
  <c r="Q25" s="1"/>
  <c r="H21"/>
  <c r="E21"/>
  <c r="B21"/>
  <c r="L68" i="27"/>
  <c r="Q22" i="30" l="1"/>
  <c r="Q26" s="1"/>
  <c r="E22"/>
  <c r="Q24" s="1"/>
  <c r="Q27" s="1"/>
  <c r="Q32" s="1"/>
  <c r="K72" i="27" l="1"/>
  <c r="K343"/>
  <c r="L343"/>
  <c r="M343"/>
  <c r="N343"/>
  <c r="O343"/>
  <c r="P343"/>
  <c r="K187"/>
  <c r="L187"/>
  <c r="M187"/>
  <c r="N187"/>
  <c r="O187"/>
  <c r="P187"/>
  <c r="K42"/>
  <c r="L42"/>
  <c r="M42"/>
  <c r="N42"/>
  <c r="O42"/>
  <c r="P42"/>
  <c r="K298"/>
  <c r="L298"/>
  <c r="M298"/>
  <c r="N298"/>
  <c r="O298"/>
  <c r="P298"/>
  <c r="K301"/>
  <c r="L301"/>
  <c r="M301"/>
  <c r="N301"/>
  <c r="O301"/>
  <c r="P301"/>
  <c r="K282"/>
  <c r="L282"/>
  <c r="M282"/>
  <c r="N282"/>
  <c r="O282"/>
  <c r="P282"/>
  <c r="K281"/>
  <c r="L281"/>
  <c r="M281"/>
  <c r="N281"/>
  <c r="O281"/>
  <c r="P281"/>
  <c r="K177"/>
  <c r="L177"/>
  <c r="M177"/>
  <c r="N177"/>
  <c r="O177"/>
  <c r="P177"/>
  <c r="K296"/>
  <c r="L296"/>
  <c r="M296"/>
  <c r="N296"/>
  <c r="O296"/>
  <c r="P296"/>
  <c r="K280"/>
  <c r="L280"/>
  <c r="M280"/>
  <c r="N280"/>
  <c r="O280"/>
  <c r="P280"/>
  <c r="K285"/>
  <c r="L285"/>
  <c r="M285"/>
  <c r="N285"/>
  <c r="O285"/>
  <c r="P285"/>
  <c r="K421"/>
  <c r="L421"/>
  <c r="M421"/>
  <c r="N421"/>
  <c r="O421"/>
  <c r="P421"/>
  <c r="K420"/>
  <c r="L420"/>
  <c r="M420"/>
  <c r="N420"/>
  <c r="O420"/>
  <c r="P420"/>
  <c r="K188"/>
  <c r="L188"/>
  <c r="M188"/>
  <c r="N188"/>
  <c r="O188"/>
  <c r="P188"/>
  <c r="K11"/>
  <c r="L11"/>
  <c r="M11"/>
  <c r="N11"/>
  <c r="O11"/>
  <c r="P11"/>
  <c r="K278" l="1"/>
  <c r="L278"/>
  <c r="M278"/>
  <c r="N278"/>
  <c r="O278"/>
  <c r="P278"/>
  <c r="K2380" i="4" l="1"/>
  <c r="L2380"/>
  <c r="M2380"/>
  <c r="N2380"/>
  <c r="O2380"/>
  <c r="P2380"/>
  <c r="K260"/>
  <c r="L260"/>
  <c r="M260"/>
  <c r="N260"/>
  <c r="O260"/>
  <c r="P260"/>
  <c r="K2491"/>
  <c r="L2491"/>
  <c r="M2491"/>
  <c r="N2491"/>
  <c r="O2491"/>
  <c r="P2491"/>
  <c r="G128" i="20"/>
  <c r="D128"/>
  <c r="C128"/>
  <c r="B128"/>
  <c r="G127"/>
  <c r="D127"/>
  <c r="C127"/>
  <c r="B127"/>
  <c r="G126"/>
  <c r="C126"/>
  <c r="B126"/>
  <c r="G125"/>
  <c r="C125" s="1"/>
  <c r="B125"/>
  <c r="G124"/>
  <c r="D124"/>
  <c r="C124"/>
  <c r="B124"/>
  <c r="G123"/>
  <c r="D123"/>
  <c r="C123"/>
  <c r="B123"/>
  <c r="G122"/>
  <c r="D122"/>
  <c r="C122"/>
  <c r="B122"/>
  <c r="G121"/>
  <c r="D121"/>
  <c r="C121"/>
  <c r="B121"/>
  <c r="G120"/>
  <c r="D120"/>
  <c r="C120"/>
  <c r="B120"/>
  <c r="G119"/>
  <c r="D119"/>
  <c r="C119"/>
  <c r="B119"/>
  <c r="G118"/>
  <c r="D118"/>
  <c r="C118"/>
  <c r="B118"/>
  <c r="G117"/>
  <c r="D117"/>
  <c r="C117"/>
  <c r="B117"/>
  <c r="B115"/>
  <c r="G113"/>
  <c r="D113" s="1"/>
  <c r="C113"/>
  <c r="G112"/>
  <c r="D112" s="1"/>
  <c r="C112"/>
  <c r="B112" s="1"/>
  <c r="G111"/>
  <c r="D111"/>
  <c r="C111"/>
  <c r="B111"/>
  <c r="G110"/>
  <c r="D110"/>
  <c r="C110"/>
  <c r="B110"/>
  <c r="G109"/>
  <c r="D109"/>
  <c r="C109"/>
  <c r="B109"/>
  <c r="G108"/>
  <c r="D108"/>
  <c r="C108"/>
  <c r="B108"/>
  <c r="G107"/>
  <c r="D107"/>
  <c r="C107"/>
  <c r="B107" s="1"/>
  <c r="G106"/>
  <c r="C106" s="1"/>
  <c r="B106"/>
  <c r="G105"/>
  <c r="C105"/>
  <c r="B105"/>
  <c r="G104"/>
  <c r="D104" s="1"/>
  <c r="C104" s="1"/>
  <c r="B104"/>
  <c r="G103"/>
  <c r="D103"/>
  <c r="C103"/>
  <c r="B103"/>
  <c r="G102"/>
  <c r="D102"/>
  <c r="C102"/>
  <c r="B102"/>
  <c r="E100"/>
  <c r="B100"/>
  <c r="G98"/>
  <c r="D98"/>
  <c r="C98"/>
  <c r="B98"/>
  <c r="G97"/>
  <c r="D97"/>
  <c r="C97"/>
  <c r="B97" s="1"/>
  <c r="G96"/>
  <c r="C96" s="1"/>
  <c r="B96"/>
  <c r="G95"/>
  <c r="D95"/>
  <c r="C95" s="1"/>
  <c r="B95"/>
  <c r="G94"/>
  <c r="D94" s="1"/>
  <c r="C94"/>
  <c r="G93"/>
  <c r="D93" s="1"/>
  <c r="C93"/>
  <c r="B93" s="1"/>
  <c r="G92"/>
  <c r="D92"/>
  <c r="C92"/>
  <c r="B92"/>
  <c r="G91"/>
  <c r="D91"/>
  <c r="C91"/>
  <c r="B91"/>
  <c r="G90"/>
  <c r="C90"/>
  <c r="B90"/>
  <c r="G89"/>
  <c r="C89" s="1"/>
  <c r="B89"/>
  <c r="G88"/>
  <c r="D88"/>
  <c r="C88" s="1"/>
  <c r="B88"/>
  <c r="G87"/>
  <c r="D87" s="1"/>
  <c r="C87"/>
  <c r="B87" s="1"/>
  <c r="E85"/>
  <c r="B85"/>
  <c r="G83"/>
  <c r="D83"/>
  <c r="C83" s="1"/>
  <c r="B83"/>
  <c r="G82"/>
  <c r="D82" s="1"/>
  <c r="C82"/>
  <c r="G81"/>
  <c r="D81" s="1"/>
  <c r="C81"/>
  <c r="G80"/>
  <c r="C80" s="1"/>
  <c r="B80"/>
  <c r="G79"/>
  <c r="D79"/>
  <c r="C79"/>
  <c r="B79"/>
  <c r="G78"/>
  <c r="D78"/>
  <c r="C78"/>
  <c r="B78"/>
  <c r="G77"/>
  <c r="D77"/>
  <c r="C77"/>
  <c r="B77"/>
  <c r="G76"/>
  <c r="C76"/>
  <c r="B76"/>
  <c r="G75"/>
  <c r="D75" s="1"/>
  <c r="C75"/>
  <c r="B75" s="1"/>
  <c r="G74"/>
  <c r="D74"/>
  <c r="C74"/>
  <c r="B74" s="1"/>
  <c r="G73"/>
  <c r="D73" s="1"/>
  <c r="C73"/>
  <c r="B73" s="1"/>
  <c r="G72"/>
  <c r="D72"/>
  <c r="C72" s="1"/>
  <c r="B72"/>
  <c r="B70"/>
  <c r="G65"/>
  <c r="D65"/>
  <c r="C65"/>
  <c r="B65"/>
  <c r="G64"/>
  <c r="D64"/>
  <c r="C64"/>
  <c r="B64"/>
  <c r="G63"/>
  <c r="C63"/>
  <c r="B63"/>
  <c r="G62"/>
  <c r="D62" s="1"/>
  <c r="C62"/>
  <c r="B62" s="1"/>
  <c r="G61"/>
  <c r="D61"/>
  <c r="C61"/>
  <c r="B61"/>
  <c r="G60"/>
  <c r="D60"/>
  <c r="C60"/>
  <c r="B60"/>
  <c r="G59"/>
  <c r="D59"/>
  <c r="C59"/>
  <c r="B59" s="1"/>
  <c r="G58"/>
  <c r="D58" s="1"/>
  <c r="C58"/>
  <c r="G57"/>
  <c r="D57" s="1"/>
  <c r="C57"/>
  <c r="G56"/>
  <c r="D56" s="1"/>
  <c r="C56" s="1"/>
  <c r="B56"/>
  <c r="G55"/>
  <c r="C55"/>
  <c r="B55"/>
  <c r="G54"/>
  <c r="D54" s="1"/>
  <c r="C54"/>
  <c r="B54" s="1"/>
  <c r="B52"/>
  <c r="G50"/>
  <c r="C50" s="1"/>
  <c r="B50"/>
  <c r="G49"/>
  <c r="D49"/>
  <c r="C49"/>
  <c r="B49"/>
  <c r="G48"/>
  <c r="D48"/>
  <c r="C48"/>
  <c r="B48"/>
  <c r="G47"/>
  <c r="C47"/>
  <c r="B47"/>
  <c r="G46"/>
  <c r="D46" s="1"/>
  <c r="C46"/>
  <c r="B46" s="1"/>
  <c r="G45"/>
  <c r="D45"/>
  <c r="C45" s="1"/>
  <c r="B45"/>
  <c r="G44"/>
  <c r="D44" s="1"/>
  <c r="C44" s="1"/>
  <c r="B44"/>
  <c r="G43"/>
  <c r="C43"/>
  <c r="B43"/>
  <c r="G42"/>
  <c r="C42" s="1"/>
  <c r="B42"/>
  <c r="G41"/>
  <c r="D41"/>
  <c r="C41"/>
  <c r="B41" s="1"/>
  <c r="G40"/>
  <c r="D40" s="1"/>
  <c r="C40" s="1"/>
  <c r="B40"/>
  <c r="G39"/>
  <c r="D39"/>
  <c r="C39"/>
  <c r="B39"/>
  <c r="B37"/>
  <c r="G35"/>
  <c r="C35" s="1"/>
  <c r="B35"/>
  <c r="G34"/>
  <c r="D34"/>
  <c r="C34"/>
  <c r="B34" s="1"/>
  <c r="G33"/>
  <c r="D33" s="1"/>
  <c r="C33"/>
  <c r="B33" s="1"/>
  <c r="G32"/>
  <c r="D32"/>
  <c r="C32"/>
  <c r="B32"/>
  <c r="G31"/>
  <c r="C31"/>
  <c r="B31"/>
  <c r="G30"/>
  <c r="D30" s="1"/>
  <c r="C30"/>
  <c r="G29"/>
  <c r="D29" s="1"/>
  <c r="C29"/>
  <c r="G28"/>
  <c r="D28" s="1"/>
  <c r="C28"/>
  <c r="G27"/>
  <c r="D27" s="1"/>
  <c r="C27"/>
  <c r="G26"/>
  <c r="D26" s="1"/>
  <c r="C26" s="1"/>
  <c r="B26"/>
  <c r="G25"/>
  <c r="D25"/>
  <c r="C25"/>
  <c r="B25" s="1"/>
  <c r="G24"/>
  <c r="D24" s="1"/>
  <c r="C24"/>
  <c r="B24" s="1"/>
  <c r="E22"/>
  <c r="B22"/>
  <c r="G20"/>
  <c r="C20"/>
  <c r="B20"/>
  <c r="G19"/>
  <c r="C19" s="1"/>
  <c r="B19"/>
  <c r="G18"/>
  <c r="D18"/>
  <c r="C18"/>
  <c r="B18"/>
  <c r="G17"/>
  <c r="D17"/>
  <c r="C17"/>
  <c r="B17"/>
  <c r="G16"/>
  <c r="C16"/>
  <c r="B16"/>
  <c r="G15"/>
  <c r="D15" s="1"/>
  <c r="C15"/>
  <c r="B15" s="1"/>
  <c r="G14"/>
  <c r="D14"/>
  <c r="C14"/>
  <c r="B14"/>
  <c r="G13"/>
  <c r="D13"/>
  <c r="C13"/>
  <c r="B13"/>
  <c r="G12"/>
  <c r="D12"/>
  <c r="C12"/>
  <c r="B12"/>
  <c r="G11"/>
  <c r="D11"/>
  <c r="C11" s="1"/>
  <c r="B11"/>
  <c r="G10"/>
  <c r="D10" s="1"/>
  <c r="C10"/>
  <c r="G9"/>
  <c r="D9" s="1"/>
  <c r="C9" s="1"/>
  <c r="B9"/>
  <c r="E7"/>
  <c r="B7"/>
  <c r="B2"/>
  <c r="G100" s="1"/>
  <c r="G144" i="23"/>
  <c r="D144" s="1"/>
  <c r="C144"/>
  <c r="G143"/>
  <c r="C143" s="1"/>
  <c r="B143"/>
  <c r="G142"/>
  <c r="D142"/>
  <c r="C142"/>
  <c r="B142"/>
  <c r="G141"/>
  <c r="D141"/>
  <c r="C141" s="1"/>
  <c r="B141"/>
  <c r="G140"/>
  <c r="D140" s="1"/>
  <c r="C140"/>
  <c r="B140" s="1"/>
  <c r="G139"/>
  <c r="D139"/>
  <c r="C139"/>
  <c r="B139" s="1"/>
  <c r="G138"/>
  <c r="D138" s="1"/>
  <c r="C138" s="1"/>
  <c r="B138"/>
  <c r="G137"/>
  <c r="D137"/>
  <c r="C137" s="1"/>
  <c r="B137"/>
  <c r="G136"/>
  <c r="D136" s="1"/>
  <c r="C136"/>
  <c r="G135"/>
  <c r="D135" s="1"/>
  <c r="C135"/>
  <c r="B135" s="1"/>
  <c r="G134"/>
  <c r="D134"/>
  <c r="C134"/>
  <c r="B134" s="1"/>
  <c r="G133"/>
  <c r="D133" s="1"/>
  <c r="C133"/>
  <c r="E131"/>
  <c r="B131"/>
  <c r="G129"/>
  <c r="D129" s="1"/>
  <c r="C129"/>
  <c r="B129" s="1"/>
  <c r="G128"/>
  <c r="D128"/>
  <c r="C128"/>
  <c r="B128" s="1"/>
  <c r="G127"/>
  <c r="D127" s="1"/>
  <c r="C127"/>
  <c r="G126"/>
  <c r="D126" s="1"/>
  <c r="C126"/>
  <c r="G125"/>
  <c r="D125" s="1"/>
  <c r="C125"/>
  <c r="G124"/>
  <c r="D124" s="1"/>
  <c r="C124"/>
  <c r="G123"/>
  <c r="D123" s="1"/>
  <c r="C123"/>
  <c r="G122"/>
  <c r="C122" s="1"/>
  <c r="B122"/>
  <c r="G121"/>
  <c r="D121"/>
  <c r="C121"/>
  <c r="B121" s="1"/>
  <c r="G120"/>
  <c r="C120" s="1"/>
  <c r="B120"/>
  <c r="G119"/>
  <c r="D119"/>
  <c r="C119" s="1"/>
  <c r="B119"/>
  <c r="G118"/>
  <c r="D118" s="1"/>
  <c r="C118"/>
  <c r="B116"/>
  <c r="G114"/>
  <c r="C114"/>
  <c r="B114"/>
  <c r="G113"/>
  <c r="D113" s="1"/>
  <c r="C113"/>
  <c r="B113" s="1"/>
  <c r="G112"/>
  <c r="D112"/>
  <c r="C112" s="1"/>
  <c r="B112"/>
  <c r="G111"/>
  <c r="D111" s="1"/>
  <c r="C111" s="1"/>
  <c r="B111"/>
  <c r="G110"/>
  <c r="C110"/>
  <c r="B118" l="1"/>
  <c r="B123"/>
  <c r="B124"/>
  <c r="B125"/>
  <c r="B126"/>
  <c r="B127"/>
  <c r="B133"/>
  <c r="B136"/>
  <c r="B144"/>
  <c r="B10" i="20"/>
  <c r="B27"/>
  <c r="B28"/>
  <c r="B29"/>
  <c r="B30"/>
  <c r="B57"/>
  <c r="B58"/>
  <c r="B81"/>
  <c r="B82"/>
  <c r="B94"/>
  <c r="B113"/>
  <c r="G115"/>
  <c r="G7"/>
  <c r="G37"/>
  <c r="G22"/>
  <c r="G52"/>
  <c r="G70"/>
  <c r="G85"/>
  <c r="B110" i="23"/>
  <c r="G109"/>
  <c r="D109"/>
  <c r="C109"/>
  <c r="B109"/>
  <c r="G108"/>
  <c r="D108"/>
  <c r="C108"/>
  <c r="B108"/>
  <c r="G107"/>
  <c r="D107"/>
  <c r="C107"/>
  <c r="B107"/>
  <c r="G106"/>
  <c r="D106"/>
  <c r="C106"/>
  <c r="B106"/>
  <c r="G105"/>
  <c r="D105"/>
  <c r="C105"/>
  <c r="B105" s="1"/>
  <c r="G104"/>
  <c r="D104" s="1"/>
  <c r="C104"/>
  <c r="G103"/>
  <c r="D103" s="1"/>
  <c r="C103"/>
  <c r="B103" s="1"/>
  <c r="E101"/>
  <c r="B101"/>
  <c r="G99"/>
  <c r="G98"/>
  <c r="C98" s="1"/>
  <c r="B98"/>
  <c r="G97"/>
  <c r="C97"/>
  <c r="B97"/>
  <c r="G96"/>
  <c r="D96" s="1"/>
  <c r="C96"/>
  <c r="G95"/>
  <c r="D95" s="1"/>
  <c r="C95" s="1"/>
  <c r="B95"/>
  <c r="G94"/>
  <c r="D94"/>
  <c r="C94"/>
  <c r="B94" s="1"/>
  <c r="G93"/>
  <c r="C93" s="1"/>
  <c r="B93"/>
  <c r="G92"/>
  <c r="D92"/>
  <c r="C92"/>
  <c r="B92"/>
  <c r="G91"/>
  <c r="C91"/>
  <c r="B91"/>
  <c r="G90"/>
  <c r="D90" s="1"/>
  <c r="C90"/>
  <c r="G89"/>
  <c r="D89" s="1"/>
  <c r="C89"/>
  <c r="G88"/>
  <c r="D88" s="1"/>
  <c r="C88"/>
  <c r="B86"/>
  <c r="D80"/>
  <c r="C80"/>
  <c r="B80"/>
  <c r="D79"/>
  <c r="C79"/>
  <c r="B79"/>
  <c r="D78"/>
  <c r="C78"/>
  <c r="B78"/>
  <c r="D77"/>
  <c r="C77"/>
  <c r="B77"/>
  <c r="D76"/>
  <c r="C76"/>
  <c r="B76"/>
  <c r="D75"/>
  <c r="C75"/>
  <c r="B75"/>
  <c r="D74"/>
  <c r="C74"/>
  <c r="B74"/>
  <c r="D73"/>
  <c r="C73"/>
  <c r="B73"/>
  <c r="D72"/>
  <c r="C72"/>
  <c r="B72"/>
  <c r="D71"/>
  <c r="C71"/>
  <c r="B71"/>
  <c r="D70"/>
  <c r="C70"/>
  <c r="B70"/>
  <c r="D69"/>
  <c r="C69"/>
  <c r="B69"/>
  <c r="D65"/>
  <c r="C65"/>
  <c r="B65"/>
  <c r="D64"/>
  <c r="C64"/>
  <c r="B64"/>
  <c r="D63"/>
  <c r="C63"/>
  <c r="B63"/>
  <c r="D62"/>
  <c r="C62"/>
  <c r="B62"/>
  <c r="D61"/>
  <c r="C61"/>
  <c r="B61"/>
  <c r="D60"/>
  <c r="C60"/>
  <c r="B60"/>
  <c r="D59"/>
  <c r="C59"/>
  <c r="B59"/>
  <c r="D58"/>
  <c r="C58"/>
  <c r="B58"/>
  <c r="D57"/>
  <c r="C57"/>
  <c r="B57"/>
  <c r="D56"/>
  <c r="C56"/>
  <c r="B56"/>
  <c r="D55"/>
  <c r="C55"/>
  <c r="B55"/>
  <c r="D54"/>
  <c r="C54"/>
  <c r="B54"/>
  <c r="G50"/>
  <c r="C50" s="1"/>
  <c r="B50"/>
  <c r="G49"/>
  <c r="C49"/>
  <c r="B49"/>
  <c r="G48"/>
  <c r="D48" s="1"/>
  <c r="C48"/>
  <c r="G47"/>
  <c r="C47" s="1"/>
  <c r="B47"/>
  <c r="G46"/>
  <c r="D46"/>
  <c r="C46"/>
  <c r="B46" s="1"/>
  <c r="G45"/>
  <c r="D45" s="1"/>
  <c r="C45"/>
  <c r="B45" s="1"/>
  <c r="G44"/>
  <c r="D44"/>
  <c r="C44"/>
  <c r="B44" s="1"/>
  <c r="G43"/>
  <c r="D43" s="1"/>
  <c r="C43" s="1"/>
  <c r="B43"/>
  <c r="G42"/>
  <c r="D42"/>
  <c r="C42"/>
  <c r="B42" s="1"/>
  <c r="G41"/>
  <c r="C41" s="1"/>
  <c r="B41"/>
  <c r="G40"/>
  <c r="D40"/>
  <c r="C40" s="1"/>
  <c r="B40"/>
  <c r="G39"/>
  <c r="D39" s="1"/>
  <c r="C39" s="1"/>
  <c r="B39"/>
  <c r="B37"/>
  <c r="G35"/>
  <c r="D35" s="1"/>
  <c r="C35"/>
  <c r="G34"/>
  <c r="C34" s="1"/>
  <c r="B34"/>
  <c r="G33"/>
  <c r="D33"/>
  <c r="C33"/>
  <c r="B33" s="1"/>
  <c r="G32"/>
  <c r="D32" s="1"/>
  <c r="C32"/>
  <c r="B32" s="1"/>
  <c r="G31"/>
  <c r="D31"/>
  <c r="C31"/>
  <c r="B31"/>
  <c r="G30"/>
  <c r="D30"/>
  <c r="C30"/>
  <c r="B30"/>
  <c r="G29"/>
  <c r="D29"/>
  <c r="C29"/>
  <c r="B29"/>
  <c r="G28"/>
  <c r="D28"/>
  <c r="C28"/>
  <c r="B28"/>
  <c r="G27"/>
  <c r="D27"/>
  <c r="C27"/>
  <c r="B27"/>
  <c r="G26"/>
  <c r="D26"/>
  <c r="C26"/>
  <c r="B26"/>
  <c r="G25"/>
  <c r="D25"/>
  <c r="C25"/>
  <c r="B25"/>
  <c r="G24"/>
  <c r="D24"/>
  <c r="C24"/>
  <c r="B24"/>
  <c r="B22"/>
  <c r="D20"/>
  <c r="C20"/>
  <c r="B20"/>
  <c r="D19"/>
  <c r="C19"/>
  <c r="B19"/>
  <c r="D18"/>
  <c r="C18"/>
  <c r="B18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G10"/>
  <c r="D10" s="1"/>
  <c r="C10"/>
  <c r="D9"/>
  <c r="C9"/>
  <c r="B9"/>
  <c r="B2"/>
  <c r="G131" s="1"/>
  <c r="D142" i="14"/>
  <c r="C142"/>
  <c r="B142"/>
  <c r="D141"/>
  <c r="C141"/>
  <c r="B141"/>
  <c r="D140"/>
  <c r="C140"/>
  <c r="B140"/>
  <c r="D139"/>
  <c r="C139"/>
  <c r="B139"/>
  <c r="D138"/>
  <c r="C138"/>
  <c r="B138"/>
  <c r="D137"/>
  <c r="C137"/>
  <c r="B137"/>
  <c r="D136"/>
  <c r="C136"/>
  <c r="B136"/>
  <c r="D135"/>
  <c r="C135"/>
  <c r="B135"/>
  <c r="D134"/>
  <c r="C134"/>
  <c r="B134"/>
  <c r="D133"/>
  <c r="C133"/>
  <c r="B133"/>
  <c r="D132"/>
  <c r="C132"/>
  <c r="B132"/>
  <c r="D131"/>
  <c r="C131"/>
  <c r="B131"/>
  <c r="G127"/>
  <c r="D127" s="1"/>
  <c r="C127" s="1"/>
  <c r="B127"/>
  <c r="G126"/>
  <c r="D126"/>
  <c r="C126"/>
  <c r="B126"/>
  <c r="G125"/>
  <c r="D125"/>
  <c r="C125"/>
  <c r="B125"/>
  <c r="G124"/>
  <c r="D124"/>
  <c r="C124"/>
  <c r="B124"/>
  <c r="G123"/>
  <c r="D123"/>
  <c r="C123" s="1"/>
  <c r="B123"/>
  <c r="G122"/>
  <c r="D122" s="1"/>
  <c r="C122"/>
  <c r="G121"/>
  <c r="D121" s="1"/>
  <c r="C121"/>
  <c r="G120"/>
  <c r="D120" s="1"/>
  <c r="C120"/>
  <c r="B120" s="1"/>
  <c r="G119"/>
  <c r="D119"/>
  <c r="C119"/>
  <c r="B119"/>
  <c r="G118"/>
  <c r="D118"/>
  <c r="C118"/>
  <c r="B118"/>
  <c r="G117"/>
  <c r="D117"/>
  <c r="C117"/>
  <c r="B117"/>
  <c r="G116"/>
  <c r="D116"/>
  <c r="C116"/>
  <c r="B116"/>
  <c r="E114"/>
  <c r="B114"/>
  <c r="G112"/>
  <c r="D112"/>
  <c r="C112"/>
  <c r="B112" s="1"/>
  <c r="G111"/>
  <c r="D111" s="1"/>
  <c r="C111"/>
  <c r="B111" s="1"/>
  <c r="G110"/>
  <c r="D110"/>
  <c r="C110"/>
  <c r="B110" s="1"/>
  <c r="G109"/>
  <c r="D109" s="1"/>
  <c r="C109"/>
  <c r="G108"/>
  <c r="D108" s="1"/>
  <c r="C108"/>
  <c r="G107"/>
  <c r="C107" s="1"/>
  <c r="B107"/>
  <c r="G106"/>
  <c r="D106"/>
  <c r="C106"/>
  <c r="B106"/>
  <c r="G105"/>
  <c r="D105"/>
  <c r="C105"/>
  <c r="B105"/>
  <c r="G104"/>
  <c r="D104"/>
  <c r="C104"/>
  <c r="B104"/>
  <c r="G103"/>
  <c r="D103"/>
  <c r="C103"/>
  <c r="B103"/>
  <c r="G102"/>
  <c r="D102"/>
  <c r="C102"/>
  <c r="B102" s="1"/>
  <c r="G101"/>
  <c r="D101" s="1"/>
  <c r="C101"/>
  <c r="E99"/>
  <c r="B99"/>
  <c r="G97"/>
  <c r="D97" s="1"/>
  <c r="C97"/>
  <c r="G96"/>
  <c r="D96" s="1"/>
  <c r="C96"/>
  <c r="G95"/>
  <c r="D95" s="1"/>
  <c r="C95"/>
  <c r="B95" s="1"/>
  <c r="G94"/>
  <c r="D94"/>
  <c r="C94"/>
  <c r="B94"/>
  <c r="G93"/>
  <c r="D93"/>
  <c r="C93"/>
  <c r="B93" s="1"/>
  <c r="G92"/>
  <c r="D92" s="1"/>
  <c r="C92"/>
  <c r="G91"/>
  <c r="C91" s="1"/>
  <c r="B91"/>
  <c r="G90"/>
  <c r="D90"/>
  <c r="C90"/>
  <c r="B90"/>
  <c r="G89"/>
  <c r="D89"/>
  <c r="C89"/>
  <c r="B89"/>
  <c r="G88"/>
  <c r="D88"/>
  <c r="C88"/>
  <c r="B88"/>
  <c r="G87"/>
  <c r="D87"/>
  <c r="C87" s="1"/>
  <c r="B87"/>
  <c r="G86"/>
  <c r="D86" s="1"/>
  <c r="C86"/>
  <c r="B84"/>
  <c r="D79"/>
  <c r="C79"/>
  <c r="B79"/>
  <c r="D78"/>
  <c r="C78"/>
  <c r="B78"/>
  <c r="D77"/>
  <c r="C77"/>
  <c r="B77"/>
  <c r="D76"/>
  <c r="C76"/>
  <c r="B76"/>
  <c r="D75"/>
  <c r="C75"/>
  <c r="B75"/>
  <c r="D74"/>
  <c r="C74"/>
  <c r="B74"/>
  <c r="D73"/>
  <c r="C73"/>
  <c r="B73"/>
  <c r="D72"/>
  <c r="C72"/>
  <c r="B72"/>
  <c r="D71"/>
  <c r="C71"/>
  <c r="B71"/>
  <c r="D70"/>
  <c r="C70"/>
  <c r="B70"/>
  <c r="D69"/>
  <c r="C69"/>
  <c r="B69"/>
  <c r="D65"/>
  <c r="C65"/>
  <c r="B65"/>
  <c r="D64"/>
  <c r="C64"/>
  <c r="B64"/>
  <c r="D63"/>
  <c r="C63"/>
  <c r="B63"/>
  <c r="D62"/>
  <c r="C62"/>
  <c r="B62"/>
  <c r="D61"/>
  <c r="C61"/>
  <c r="B61"/>
  <c r="D60"/>
  <c r="C60"/>
  <c r="B60"/>
  <c r="D59"/>
  <c r="C59"/>
  <c r="B59"/>
  <c r="D58"/>
  <c r="C58"/>
  <c r="B58"/>
  <c r="D57"/>
  <c r="C57"/>
  <c r="B57"/>
  <c r="D56"/>
  <c r="C56"/>
  <c r="B56"/>
  <c r="D55"/>
  <c r="C55"/>
  <c r="B55"/>
  <c r="D54"/>
  <c r="C54"/>
  <c r="B54"/>
  <c r="G50"/>
  <c r="D50" s="1"/>
  <c r="C50"/>
  <c r="G49"/>
  <c r="D49" s="1"/>
  <c r="C49"/>
  <c r="G48"/>
  <c r="D48" s="1"/>
  <c r="C48"/>
  <c r="G47"/>
  <c r="D47" s="1"/>
  <c r="C47" s="1"/>
  <c r="B47"/>
  <c r="G46"/>
  <c r="D46"/>
  <c r="C46" s="1"/>
  <c r="B46"/>
  <c r="G45"/>
  <c r="C45" s="1"/>
  <c r="B45"/>
  <c r="G44"/>
  <c r="D44"/>
  <c r="C44"/>
  <c r="B44" s="1"/>
  <c r="G43"/>
  <c r="D43" s="1"/>
  <c r="C43"/>
  <c r="B43" s="1"/>
  <c r="G42"/>
  <c r="D42"/>
  <c r="C42" s="1"/>
  <c r="B42"/>
  <c r="G41"/>
  <c r="D41" s="1"/>
  <c r="C41"/>
  <c r="G40"/>
  <c r="D40" s="1"/>
  <c r="C40"/>
  <c r="G39"/>
  <c r="D39" s="1"/>
  <c r="C39"/>
  <c r="B37"/>
  <c r="G35"/>
  <c r="D35"/>
  <c r="C35"/>
  <c r="B35" s="1"/>
  <c r="G34"/>
  <c r="D34" s="1"/>
  <c r="C34"/>
  <c r="G33"/>
  <c r="D33" s="1"/>
  <c r="C33"/>
  <c r="G32"/>
  <c r="D32" s="1"/>
  <c r="C32"/>
  <c r="B32" s="1"/>
  <c r="G31"/>
  <c r="C31"/>
  <c r="B31"/>
  <c r="G30"/>
  <c r="D30" s="1"/>
  <c r="C30" s="1"/>
  <c r="B30"/>
  <c r="G29"/>
  <c r="D29"/>
  <c r="C29"/>
  <c r="B29"/>
  <c r="G28"/>
  <c r="D28"/>
  <c r="C28"/>
  <c r="B28"/>
  <c r="G27"/>
  <c r="D27"/>
  <c r="C27" s="1"/>
  <c r="B27"/>
  <c r="G26"/>
  <c r="D26" s="1"/>
  <c r="C26"/>
  <c r="B26" s="1"/>
  <c r="G25"/>
  <c r="D25"/>
  <c r="C25"/>
  <c r="B25"/>
  <c r="G24"/>
  <c r="D24"/>
  <c r="C24"/>
  <c r="B24"/>
  <c r="B22"/>
  <c r="G20"/>
  <c r="C20" s="1"/>
  <c r="B20"/>
  <c r="G19"/>
  <c r="D19"/>
  <c r="C19"/>
  <c r="B19"/>
  <c r="G18"/>
  <c r="D18"/>
  <c r="C18"/>
  <c r="B18" s="1"/>
  <c r="G17"/>
  <c r="D17" s="1"/>
  <c r="C17"/>
  <c r="G16"/>
  <c r="D16" s="1"/>
  <c r="C16"/>
  <c r="G15"/>
  <c r="D15" s="1"/>
  <c r="C15"/>
  <c r="G14"/>
  <c r="D14" s="1"/>
  <c r="C14"/>
  <c r="B14" s="1"/>
  <c r="G13"/>
  <c r="D13"/>
  <c r="C13"/>
  <c r="B13"/>
  <c r="D12"/>
  <c r="C12"/>
  <c r="B12"/>
  <c r="G11"/>
  <c r="D11" s="1"/>
  <c r="C11"/>
  <c r="B11" s="1"/>
  <c r="G10"/>
  <c r="D10"/>
  <c r="C10"/>
  <c r="B10"/>
  <c r="G9"/>
  <c r="D9"/>
  <c r="C9"/>
  <c r="B9"/>
  <c r="B7"/>
  <c r="B2"/>
  <c r="G129" s="1"/>
  <c r="D173" i="24"/>
  <c r="C173"/>
  <c r="B173"/>
  <c r="D172"/>
  <c r="C172"/>
  <c r="B172"/>
  <c r="D171"/>
  <c r="C171"/>
  <c r="B171"/>
  <c r="D170"/>
  <c r="C170"/>
  <c r="B170"/>
  <c r="D169"/>
  <c r="C169"/>
  <c r="B169"/>
  <c r="D168"/>
  <c r="C168"/>
  <c r="B168"/>
  <c r="D167"/>
  <c r="C167"/>
  <c r="B167"/>
  <c r="D166"/>
  <c r="C166"/>
  <c r="B166"/>
  <c r="D165"/>
  <c r="C165"/>
  <c r="B165"/>
  <c r="D164"/>
  <c r="C164"/>
  <c r="B164"/>
  <c r="D163"/>
  <c r="C163"/>
  <c r="B163"/>
  <c r="D162"/>
  <c r="C162"/>
  <c r="B162"/>
  <c r="D158"/>
  <c r="C158"/>
  <c r="B158"/>
  <c r="D157"/>
  <c r="C157"/>
  <c r="B157"/>
  <c r="D156"/>
  <c r="C156"/>
  <c r="B156"/>
  <c r="D155"/>
  <c r="C155"/>
  <c r="B155"/>
  <c r="D154"/>
  <c r="C154"/>
  <c r="B154"/>
  <c r="D153"/>
  <c r="C153"/>
  <c r="B153"/>
  <c r="D152"/>
  <c r="C152"/>
  <c r="B152"/>
  <c r="D151"/>
  <c r="C151"/>
  <c r="B151"/>
  <c r="D150"/>
  <c r="C150"/>
  <c r="B150"/>
  <c r="D149"/>
  <c r="C149"/>
  <c r="B149"/>
  <c r="D148"/>
  <c r="C148"/>
  <c r="B148"/>
  <c r="D147"/>
  <c r="C147"/>
  <c r="B147"/>
  <c r="D143"/>
  <c r="C143"/>
  <c r="B143"/>
  <c r="D142"/>
  <c r="C142"/>
  <c r="B142"/>
  <c r="D141"/>
  <c r="C141"/>
  <c r="B141"/>
  <c r="D140"/>
  <c r="C140"/>
  <c r="B140"/>
  <c r="D139"/>
  <c r="C139"/>
  <c r="B139"/>
  <c r="D138"/>
  <c r="C138"/>
  <c r="B138"/>
  <c r="D137"/>
  <c r="C137"/>
  <c r="B137"/>
  <c r="D136"/>
  <c r="C136"/>
  <c r="B136"/>
  <c r="D135"/>
  <c r="C135"/>
  <c r="B135"/>
  <c r="D134"/>
  <c r="C134"/>
  <c r="B134"/>
  <c r="D133"/>
  <c r="C133"/>
  <c r="B133"/>
  <c r="D132"/>
  <c r="C132"/>
  <c r="B132"/>
  <c r="G128"/>
  <c r="D128"/>
  <c r="C128"/>
  <c r="B128" s="1"/>
  <c r="G127"/>
  <c r="D127" s="1"/>
  <c r="C127"/>
  <c r="G126"/>
  <c r="D126" s="1"/>
  <c r="C126"/>
  <c r="B126" s="1"/>
  <c r="G125"/>
  <c r="D125"/>
  <c r="C125" s="1"/>
  <c r="B125"/>
  <c r="G124"/>
  <c r="D124" s="1"/>
  <c r="C124"/>
  <c r="G123"/>
  <c r="D123" s="1"/>
  <c r="C123"/>
  <c r="B123" s="1"/>
  <c r="G122"/>
  <c r="D122"/>
  <c r="C122"/>
  <c r="B122"/>
  <c r="G121"/>
  <c r="D121"/>
  <c r="C121"/>
  <c r="B121"/>
  <c r="G120"/>
  <c r="D120"/>
  <c r="C120"/>
  <c r="B120"/>
  <c r="G119"/>
  <c r="D119"/>
  <c r="C119"/>
  <c r="B119"/>
  <c r="G118"/>
  <c r="D118"/>
  <c r="C118"/>
  <c r="B118"/>
  <c r="G117"/>
  <c r="D117"/>
  <c r="C117"/>
  <c r="B117"/>
  <c r="E115"/>
  <c r="B115"/>
  <c r="G113"/>
  <c r="D113"/>
  <c r="C113"/>
  <c r="B113"/>
  <c r="G112"/>
  <c r="D112"/>
  <c r="C112"/>
  <c r="B112"/>
  <c r="G111"/>
  <c r="D111"/>
  <c r="C111"/>
  <c r="B111" s="1"/>
  <c r="G110"/>
  <c r="D110" s="1"/>
  <c r="C110"/>
  <c r="G109"/>
  <c r="D109" s="1"/>
  <c r="C109"/>
  <c r="G108"/>
  <c r="D108" s="1"/>
  <c r="C108" s="1"/>
  <c r="B108"/>
  <c r="G107"/>
  <c r="D107"/>
  <c r="C107"/>
  <c r="B107"/>
  <c r="G106"/>
  <c r="D106"/>
  <c r="C106"/>
  <c r="B106"/>
  <c r="G105"/>
  <c r="D105"/>
  <c r="C105"/>
  <c r="B105"/>
  <c r="G104"/>
  <c r="D104"/>
  <c r="C104"/>
  <c r="B104"/>
  <c r="G103"/>
  <c r="D103"/>
  <c r="C103"/>
  <c r="B103"/>
  <c r="G102"/>
  <c r="C102"/>
  <c r="B102"/>
  <c r="B100"/>
  <c r="D95"/>
  <c r="C95"/>
  <c r="B95"/>
  <c r="D94"/>
  <c r="C94"/>
  <c r="B94"/>
  <c r="D93"/>
  <c r="C93"/>
  <c r="B93"/>
  <c r="D92"/>
  <c r="C92"/>
  <c r="B92"/>
  <c r="D91"/>
  <c r="C91"/>
  <c r="B91"/>
  <c r="D90"/>
  <c r="C90"/>
  <c r="B90"/>
  <c r="D89"/>
  <c r="C89"/>
  <c r="B89"/>
  <c r="D88"/>
  <c r="C88"/>
  <c r="B88"/>
  <c r="D87"/>
  <c r="C87"/>
  <c r="B87"/>
  <c r="D86"/>
  <c r="C86"/>
  <c r="B86"/>
  <c r="D85"/>
  <c r="C85"/>
  <c r="B85"/>
  <c r="D84"/>
  <c r="C84"/>
  <c r="B84"/>
  <c r="D80"/>
  <c r="C80"/>
  <c r="B80"/>
  <c r="D79"/>
  <c r="C79"/>
  <c r="B79"/>
  <c r="D78"/>
  <c r="C78"/>
  <c r="B78"/>
  <c r="D77"/>
  <c r="C77"/>
  <c r="B77"/>
  <c r="D76"/>
  <c r="C76"/>
  <c r="B76"/>
  <c r="D75"/>
  <c r="C75"/>
  <c r="B75"/>
  <c r="D74"/>
  <c r="C74"/>
  <c r="B74"/>
  <c r="D73"/>
  <c r="C73"/>
  <c r="B73"/>
  <c r="D72"/>
  <c r="C72"/>
  <c r="B72"/>
  <c r="D71"/>
  <c r="C71"/>
  <c r="B71"/>
  <c r="D70"/>
  <c r="C70"/>
  <c r="B70"/>
  <c r="D69"/>
  <c r="C69"/>
  <c r="B69"/>
  <c r="D65"/>
  <c r="C65"/>
  <c r="B65"/>
  <c r="D64"/>
  <c r="C64"/>
  <c r="B64"/>
  <c r="D63"/>
  <c r="C63"/>
  <c r="B63"/>
  <c r="D62"/>
  <c r="C62"/>
  <c r="B62"/>
  <c r="D61"/>
  <c r="C61"/>
  <c r="B61"/>
  <c r="D60"/>
  <c r="C60"/>
  <c r="B60"/>
  <c r="D59"/>
  <c r="C59"/>
  <c r="B59"/>
  <c r="D58"/>
  <c r="C58"/>
  <c r="B58"/>
  <c r="D57"/>
  <c r="C57"/>
  <c r="B57"/>
  <c r="D56"/>
  <c r="C56"/>
  <c r="B56"/>
  <c r="D55"/>
  <c r="C55"/>
  <c r="B55"/>
  <c r="D54"/>
  <c r="C54"/>
  <c r="B54"/>
  <c r="D50"/>
  <c r="C50"/>
  <c r="B50"/>
  <c r="D49"/>
  <c r="C49"/>
  <c r="B49"/>
  <c r="D48"/>
  <c r="C48"/>
  <c r="B48"/>
  <c r="D47"/>
  <c r="C47"/>
  <c r="B47"/>
  <c r="D46"/>
  <c r="C46"/>
  <c r="B46"/>
  <c r="D45"/>
  <c r="C45"/>
  <c r="B45"/>
  <c r="D44"/>
  <c r="C44"/>
  <c r="B44"/>
  <c r="D43"/>
  <c r="C43"/>
  <c r="B43"/>
  <c r="D42"/>
  <c r="C42"/>
  <c r="B42"/>
  <c r="D41"/>
  <c r="C41"/>
  <c r="B41"/>
  <c r="D40"/>
  <c r="C40"/>
  <c r="B40"/>
  <c r="D39"/>
  <c r="C39"/>
  <c r="B39"/>
  <c r="G35"/>
  <c r="D35"/>
  <c r="C35"/>
  <c r="B35"/>
  <c r="G34"/>
  <c r="D34"/>
  <c r="C34"/>
  <c r="B34"/>
  <c r="G33"/>
  <c r="D33"/>
  <c r="C33"/>
  <c r="B33"/>
  <c r="G32"/>
  <c r="D32"/>
  <c r="C32"/>
  <c r="B32"/>
  <c r="G31"/>
  <c r="D31"/>
  <c r="C31"/>
  <c r="B31"/>
  <c r="G30"/>
  <c r="D30"/>
  <c r="C30"/>
  <c r="B30"/>
  <c r="G29"/>
  <c r="D29"/>
  <c r="C29"/>
  <c r="B29"/>
  <c r="G28"/>
  <c r="D28"/>
  <c r="C28"/>
  <c r="B28"/>
  <c r="G27"/>
  <c r="D27" s="1"/>
  <c r="C27"/>
  <c r="G26"/>
  <c r="D26" s="1"/>
  <c r="C26"/>
  <c r="G25"/>
  <c r="D25" s="1"/>
  <c r="C25"/>
  <c r="G24"/>
  <c r="D24" s="1"/>
  <c r="C24"/>
  <c r="B22"/>
  <c r="D20"/>
  <c r="C20"/>
  <c r="B20"/>
  <c r="D19"/>
  <c r="C19"/>
  <c r="B19"/>
  <c r="D18"/>
  <c r="C18"/>
  <c r="B18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G10"/>
  <c r="D10"/>
  <c r="C10"/>
  <c r="B10"/>
  <c r="D9"/>
  <c r="C9"/>
  <c r="B9"/>
  <c r="B2"/>
  <c r="G145" s="1"/>
  <c r="D113" i="25"/>
  <c r="C113"/>
  <c r="B113"/>
  <c r="D112"/>
  <c r="C112"/>
  <c r="B112"/>
  <c r="D111"/>
  <c r="C111"/>
  <c r="B111"/>
  <c r="D110"/>
  <c r="C110"/>
  <c r="B110"/>
  <c r="D109"/>
  <c r="C109"/>
  <c r="B109"/>
  <c r="D108"/>
  <c r="C108"/>
  <c r="B108"/>
  <c r="D107"/>
  <c r="C107"/>
  <c r="B107"/>
  <c r="D106"/>
  <c r="C106"/>
  <c r="B106"/>
  <c r="D105"/>
  <c r="C105"/>
  <c r="B105"/>
  <c r="D104"/>
  <c r="C104"/>
  <c r="B104"/>
  <c r="D103"/>
  <c r="C103"/>
  <c r="B103"/>
  <c r="D102"/>
  <c r="C102"/>
  <c r="B102"/>
  <c r="D98"/>
  <c r="C98"/>
  <c r="B98"/>
  <c r="D97"/>
  <c r="C97"/>
  <c r="B97"/>
  <c r="D96"/>
  <c r="C96"/>
  <c r="B96"/>
  <c r="D95"/>
  <c r="C95"/>
  <c r="B95"/>
  <c r="D94"/>
  <c r="C94"/>
  <c r="B94"/>
  <c r="D93"/>
  <c r="C93"/>
  <c r="B93"/>
  <c r="D92"/>
  <c r="C92"/>
  <c r="B92"/>
  <c r="D91"/>
  <c r="C91"/>
  <c r="B91"/>
  <c r="D90"/>
  <c r="C90"/>
  <c r="B90"/>
  <c r="D89"/>
  <c r="C89"/>
  <c r="B89"/>
  <c r="D88"/>
  <c r="C88"/>
  <c r="B88"/>
  <c r="D87"/>
  <c r="C87"/>
  <c r="B87"/>
  <c r="D83"/>
  <c r="C83"/>
  <c r="B83"/>
  <c r="D82"/>
  <c r="C82"/>
  <c r="B82"/>
  <c r="D81"/>
  <c r="C81"/>
  <c r="D80"/>
  <c r="C80"/>
  <c r="B80"/>
  <c r="D79"/>
  <c r="C79"/>
  <c r="B79"/>
  <c r="D78"/>
  <c r="C78"/>
  <c r="B78"/>
  <c r="D77"/>
  <c r="C77"/>
  <c r="B77"/>
  <c r="D76"/>
  <c r="C76"/>
  <c r="B76"/>
  <c r="D75"/>
  <c r="C75"/>
  <c r="B75"/>
  <c r="D74"/>
  <c r="C74"/>
  <c r="B74"/>
  <c r="D73"/>
  <c r="C73"/>
  <c r="B73"/>
  <c r="D72"/>
  <c r="C72"/>
  <c r="B72"/>
  <c r="D68"/>
  <c r="C68"/>
  <c r="B68"/>
  <c r="D67"/>
  <c r="C67"/>
  <c r="B67"/>
  <c r="D66"/>
  <c r="D65"/>
  <c r="C65"/>
  <c r="B65"/>
  <c r="D64"/>
  <c r="C64"/>
  <c r="B64"/>
  <c r="D63"/>
  <c r="C63"/>
  <c r="B63"/>
  <c r="D62"/>
  <c r="C62"/>
  <c r="B62"/>
  <c r="D61"/>
  <c r="C61"/>
  <c r="B61"/>
  <c r="D60"/>
  <c r="C60"/>
  <c r="B60"/>
  <c r="D59"/>
  <c r="C59"/>
  <c r="B59"/>
  <c r="D58"/>
  <c r="C58"/>
  <c r="B58"/>
  <c r="D57"/>
  <c r="C57"/>
  <c r="B57"/>
  <c r="D50"/>
  <c r="C50"/>
  <c r="B50"/>
  <c r="D49"/>
  <c r="C49"/>
  <c r="B49"/>
  <c r="D48"/>
  <c r="C48"/>
  <c r="B48"/>
  <c r="D47"/>
  <c r="C47"/>
  <c r="B47"/>
  <c r="D46"/>
  <c r="C46"/>
  <c r="B46"/>
  <c r="D45"/>
  <c r="C45"/>
  <c r="B45"/>
  <c r="D44"/>
  <c r="C44"/>
  <c r="B44"/>
  <c r="D43"/>
  <c r="C43"/>
  <c r="B43"/>
  <c r="D42"/>
  <c r="C42"/>
  <c r="B42"/>
  <c r="D41"/>
  <c r="C41"/>
  <c r="B41"/>
  <c r="D40"/>
  <c r="C40"/>
  <c r="B40"/>
  <c r="D39"/>
  <c r="C39"/>
  <c r="B39"/>
  <c r="D35"/>
  <c r="C35"/>
  <c r="B35"/>
  <c r="D34"/>
  <c r="C34"/>
  <c r="B34"/>
  <c r="D33"/>
  <c r="C33"/>
  <c r="B33"/>
  <c r="D32"/>
  <c r="C32"/>
  <c r="B32"/>
  <c r="D31"/>
  <c r="C31"/>
  <c r="B31"/>
  <c r="D30"/>
  <c r="C30"/>
  <c r="B30"/>
  <c r="D29"/>
  <c r="C29"/>
  <c r="B29"/>
  <c r="D28"/>
  <c r="C28"/>
  <c r="B28"/>
  <c r="D27"/>
  <c r="C27"/>
  <c r="B27"/>
  <c r="D26"/>
  <c r="C26"/>
  <c r="B26"/>
  <c r="D25"/>
  <c r="C25"/>
  <c r="B25"/>
  <c r="D24"/>
  <c r="C24"/>
  <c r="B24"/>
  <c r="D20"/>
  <c r="C20"/>
  <c r="B20"/>
  <c r="D19"/>
  <c r="C19"/>
  <c r="B19"/>
  <c r="D18"/>
  <c r="C18"/>
  <c r="B18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B2"/>
  <c r="G85" s="1"/>
  <c r="T2399" i="4"/>
  <c r="S2399"/>
  <c r="R2399"/>
  <c r="Q2399"/>
  <c r="P2399"/>
  <c r="O2399"/>
  <c r="A2889"/>
  <c r="A2886"/>
  <c r="A2885"/>
  <c r="A2883"/>
  <c r="A2882"/>
  <c r="A2881"/>
  <c r="A2880"/>
  <c r="A2879"/>
  <c r="A2878"/>
  <c r="A2877"/>
  <c r="A2876"/>
  <c r="A2875"/>
  <c r="A2874"/>
  <c r="A2871"/>
  <c r="A2870"/>
  <c r="A2869"/>
  <c r="A2868"/>
  <c r="A2867"/>
  <c r="A2866"/>
  <c r="A2865"/>
  <c r="A2864"/>
  <c r="A2863"/>
  <c r="A2862"/>
  <c r="A2861"/>
  <c r="A2859"/>
  <c r="A2857"/>
  <c r="A2856"/>
  <c r="A2855"/>
  <c r="A2398"/>
  <c r="A2847"/>
  <c r="A2846"/>
  <c r="E2838"/>
  <c r="A2837"/>
  <c r="A2834"/>
  <c r="A2833"/>
  <c r="A2831"/>
  <c r="A2829"/>
  <c r="A2825"/>
  <c r="A2822"/>
  <c r="A2816"/>
  <c r="A2814"/>
  <c r="A2813"/>
  <c r="A2811"/>
  <c r="A2810"/>
  <c r="A2809"/>
  <c r="A2808"/>
  <c r="A2807"/>
  <c r="A2806"/>
  <c r="A2804"/>
  <c r="A2802"/>
  <c r="A2801"/>
  <c r="A2800"/>
  <c r="A2799"/>
  <c r="A2798"/>
  <c r="A2797"/>
  <c r="A2796"/>
  <c r="A2793"/>
  <c r="A2792"/>
  <c r="A2791"/>
  <c r="A2790"/>
  <c r="A2789"/>
  <c r="A2788"/>
  <c r="A2787"/>
  <c r="A2785"/>
  <c r="A2782"/>
  <c r="A2781"/>
  <c r="A2779"/>
  <c r="A2778"/>
  <c r="A2777"/>
  <c r="A2776"/>
  <c r="A2775"/>
  <c r="A2774"/>
  <c r="A2773"/>
  <c r="A2772"/>
  <c r="A2771"/>
  <c r="A2770"/>
  <c r="A2768"/>
  <c r="A2767"/>
  <c r="A2766"/>
  <c r="A2765"/>
  <c r="A2764"/>
  <c r="A2763"/>
  <c r="A2762"/>
  <c r="A2761"/>
  <c r="A2760"/>
  <c r="A2759"/>
  <c r="A2758"/>
  <c r="A2757"/>
  <c r="A2756"/>
  <c r="A2753"/>
  <c r="A2751"/>
  <c r="A2750"/>
  <c r="A2748"/>
  <c r="A2747"/>
  <c r="A2746"/>
  <c r="A2745"/>
  <c r="A2744"/>
  <c r="A2743"/>
  <c r="A2742"/>
  <c r="A2739"/>
  <c r="A2737"/>
  <c r="A2736"/>
  <c r="A2735"/>
  <c r="A2734"/>
  <c r="A2733"/>
  <c r="A2731"/>
  <c r="A2821"/>
  <c r="A2729"/>
  <c r="A2728"/>
  <c r="A2727"/>
  <c r="A2726"/>
  <c r="A2725"/>
  <c r="A2724"/>
  <c r="A2723"/>
  <c r="A2722"/>
  <c r="A2721"/>
  <c r="A2720"/>
  <c r="A2719"/>
  <c r="A2718"/>
  <c r="A2717"/>
  <c r="A2716"/>
  <c r="A2714"/>
  <c r="A2713"/>
  <c r="A2711"/>
  <c r="A2709"/>
  <c r="A2708"/>
  <c r="A2706"/>
  <c r="A2705"/>
  <c r="A2704"/>
  <c r="A2703"/>
  <c r="A2702"/>
  <c r="A2701"/>
  <c r="A2700"/>
  <c r="A2699"/>
  <c r="A2698"/>
  <c r="A2697"/>
  <c r="A2696"/>
  <c r="A2695"/>
  <c r="A2694"/>
  <c r="A2693"/>
  <c r="A2691"/>
  <c r="A2690"/>
  <c r="A2689"/>
  <c r="A2687"/>
  <c r="A2685"/>
  <c r="A2683"/>
  <c r="A2682"/>
  <c r="A2681"/>
  <c r="A2679"/>
  <c r="A2678"/>
  <c r="A2677"/>
  <c r="A2675"/>
  <c r="A2196"/>
  <c r="A2673"/>
  <c r="A2672"/>
  <c r="A2670"/>
  <c r="A2669"/>
  <c r="A2668"/>
  <c r="A2667"/>
  <c r="A2664"/>
  <c r="A2663"/>
  <c r="A2662"/>
  <c r="A2661"/>
  <c r="A2660"/>
  <c r="A2659"/>
  <c r="A2658"/>
  <c r="A2657"/>
  <c r="A2656"/>
  <c r="A2655"/>
  <c r="A2653"/>
  <c r="A800"/>
  <c r="A2650"/>
  <c r="A587"/>
  <c r="A2646"/>
  <c r="A2645"/>
  <c r="A2644"/>
  <c r="A2642"/>
  <c r="A2641"/>
  <c r="A2639"/>
  <c r="A2637"/>
  <c r="A2636"/>
  <c r="A193"/>
  <c r="A2634"/>
  <c r="A2632"/>
  <c r="A2631"/>
  <c r="A2629"/>
  <c r="A2628"/>
  <c r="A2627"/>
  <c r="A2626"/>
  <c r="A2625"/>
  <c r="A2624"/>
  <c r="A2623"/>
  <c r="A2622"/>
  <c r="A2621"/>
  <c r="A2619"/>
  <c r="A2618"/>
  <c r="A2616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1428"/>
  <c r="A2588"/>
  <c r="A2587"/>
  <c r="A2586"/>
  <c r="A2585"/>
  <c r="A2584"/>
  <c r="A2583"/>
  <c r="A2582"/>
  <c r="A2581"/>
  <c r="A2580"/>
  <c r="A2579"/>
  <c r="A2578"/>
  <c r="A2576"/>
  <c r="A2575"/>
  <c r="A2137"/>
  <c r="A2570"/>
  <c r="A2569"/>
  <c r="A2568"/>
  <c r="A2566"/>
  <c r="A2563"/>
  <c r="A2561"/>
  <c r="A2560"/>
  <c r="A2559"/>
  <c r="A2558"/>
  <c r="A2557"/>
  <c r="A2556"/>
  <c r="A2555"/>
  <c r="A2554"/>
  <c r="A2553"/>
  <c r="A2550"/>
  <c r="A2549"/>
  <c r="A2547"/>
  <c r="A2546"/>
  <c r="A2545"/>
  <c r="A2544"/>
  <c r="A2543"/>
  <c r="A2540"/>
  <c r="A2539"/>
  <c r="A2538"/>
  <c r="A2537"/>
  <c r="A2535"/>
  <c r="A2534"/>
  <c r="A2533"/>
  <c r="A2532"/>
  <c r="A2530"/>
  <c r="A2529"/>
  <c r="A2528"/>
  <c r="A2527"/>
  <c r="A2526"/>
  <c r="A2525"/>
  <c r="A2518"/>
  <c r="A2517"/>
  <c r="A2516"/>
  <c r="A2514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4"/>
  <c r="A2493"/>
  <c r="A2492"/>
  <c r="A2490"/>
  <c r="A2489"/>
  <c r="A2488"/>
  <c r="A2487"/>
  <c r="A1733"/>
  <c r="A2484"/>
  <c r="A2483"/>
  <c r="A2482"/>
  <c r="A2481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2"/>
  <c r="A2458"/>
  <c r="A2456"/>
  <c r="A2454"/>
  <c r="A2453"/>
  <c r="A2452"/>
  <c r="A2451"/>
  <c r="A2450"/>
  <c r="A2449"/>
  <c r="A2448"/>
  <c r="A2446"/>
  <c r="A2444"/>
  <c r="A2443"/>
  <c r="A2442"/>
  <c r="A2441"/>
  <c r="A2440"/>
  <c r="A2439"/>
  <c r="A2438"/>
  <c r="A2437"/>
  <c r="A2435"/>
  <c r="A2433"/>
  <c r="A2432"/>
  <c r="A2429"/>
  <c r="A831"/>
  <c r="A2425"/>
  <c r="A2424"/>
  <c r="A2423"/>
  <c r="A2422"/>
  <c r="A2420"/>
  <c r="A2419"/>
  <c r="A2418"/>
  <c r="A2417"/>
  <c r="A2416"/>
  <c r="A2413"/>
  <c r="A2411"/>
  <c r="A2410"/>
  <c r="A2409"/>
  <c r="A2408"/>
  <c r="A2407"/>
  <c r="A2405"/>
  <c r="A2404"/>
  <c r="A2403"/>
  <c r="A2402"/>
  <c r="A2401"/>
  <c r="A2400"/>
  <c r="A2397"/>
  <c r="A2396"/>
  <c r="A2393"/>
  <c r="A2391"/>
  <c r="A2390"/>
  <c r="A2389"/>
  <c r="A2388"/>
  <c r="A2387"/>
  <c r="A2386"/>
  <c r="A2385"/>
  <c r="A2384"/>
  <c r="A2381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0"/>
  <c r="A2359"/>
  <c r="A2358"/>
  <c r="A2354"/>
  <c r="A2353"/>
  <c r="A2350"/>
  <c r="A2349"/>
  <c r="A2348"/>
  <c r="A2347"/>
  <c r="A2346"/>
  <c r="A2344"/>
  <c r="A2343"/>
  <c r="A2341"/>
  <c r="A2339"/>
  <c r="A2338"/>
  <c r="A2334"/>
  <c r="A2333"/>
  <c r="A2331"/>
  <c r="A2330"/>
  <c r="A2329"/>
  <c r="A2327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7"/>
  <c r="A2306"/>
  <c r="A2305"/>
  <c r="A2304"/>
  <c r="A2303"/>
  <c r="A2302"/>
  <c r="A2300"/>
  <c r="A2297"/>
  <c r="A2295"/>
  <c r="A2294"/>
  <c r="A2293"/>
  <c r="A2292"/>
  <c r="A2291"/>
  <c r="A2290"/>
  <c r="A2289"/>
  <c r="A2288"/>
  <c r="A2287"/>
  <c r="A2286"/>
  <c r="A2284"/>
  <c r="A2283"/>
  <c r="A2282"/>
  <c r="A1592"/>
  <c r="A2278"/>
  <c r="A2277"/>
  <c r="A2276"/>
  <c r="A2275"/>
  <c r="A2274"/>
  <c r="A2273"/>
  <c r="A2272"/>
  <c r="A2270"/>
  <c r="A2268"/>
  <c r="A2267"/>
  <c r="A2266"/>
  <c r="A2265"/>
  <c r="A835"/>
  <c r="A2262"/>
  <c r="A2261"/>
  <c r="A1753"/>
  <c r="A2258"/>
  <c r="A2257"/>
  <c r="A2255"/>
  <c r="A2254"/>
  <c r="A984"/>
  <c r="A2252"/>
  <c r="A2251"/>
  <c r="A2250"/>
  <c r="A580"/>
  <c r="A2247"/>
  <c r="A2246"/>
  <c r="A2245"/>
  <c r="A2244"/>
  <c r="A2431"/>
  <c r="A2242"/>
  <c r="A2241"/>
  <c r="A2240"/>
  <c r="A2239"/>
  <c r="A2238"/>
  <c r="A2237"/>
  <c r="A2236"/>
  <c r="A2234"/>
  <c r="A2233"/>
  <c r="A2232"/>
  <c r="A2230"/>
  <c r="A2229"/>
  <c r="A2228"/>
  <c r="A2227"/>
  <c r="A2226"/>
  <c r="A2225"/>
  <c r="A2224"/>
  <c r="A2223"/>
  <c r="A2222"/>
  <c r="A2221"/>
  <c r="A2220"/>
  <c r="A2216"/>
  <c r="A2215"/>
  <c r="A2214"/>
  <c r="A2213"/>
  <c r="A2212"/>
  <c r="A2211"/>
  <c r="A2210"/>
  <c r="A2209"/>
  <c r="A2207"/>
  <c r="A2206"/>
  <c r="A2205"/>
  <c r="A2204"/>
  <c r="A2203"/>
  <c r="A2202"/>
  <c r="A2201"/>
  <c r="A2200"/>
  <c r="A2199"/>
  <c r="A2197"/>
  <c r="A2195"/>
  <c r="A2194"/>
  <c r="A2193"/>
  <c r="A2191"/>
  <c r="A2190"/>
  <c r="A2189"/>
  <c r="A2188"/>
  <c r="A2187"/>
  <c r="A2185"/>
  <c r="A2184"/>
  <c r="A2183"/>
  <c r="A2182"/>
  <c r="A2180"/>
  <c r="A2179"/>
  <c r="A2178"/>
  <c r="A2177"/>
  <c r="A2176"/>
  <c r="A2175"/>
  <c r="A2174"/>
  <c r="A2173"/>
  <c r="A2172"/>
  <c r="A2171"/>
  <c r="A2170"/>
  <c r="A2169"/>
  <c r="A2168"/>
  <c r="A2167"/>
  <c r="A2165"/>
  <c r="A2163"/>
  <c r="A2162"/>
  <c r="A2161"/>
  <c r="A2159"/>
  <c r="A1653"/>
  <c r="A2156"/>
  <c r="A2155"/>
  <c r="A2154"/>
  <c r="A2153"/>
  <c r="A2152"/>
  <c r="A2151"/>
  <c r="A2150"/>
  <c r="A2148"/>
  <c r="A2147"/>
  <c r="A2146"/>
  <c r="A2145"/>
  <c r="A2144"/>
  <c r="A2142"/>
  <c r="A2140"/>
  <c r="A2139"/>
  <c r="A2138"/>
  <c r="A2136"/>
  <c r="A2135"/>
  <c r="A2134"/>
  <c r="A2133"/>
  <c r="A2131"/>
  <c r="A2130"/>
  <c r="A2129"/>
  <c r="A2127"/>
  <c r="A2126"/>
  <c r="A2125"/>
  <c r="A2124"/>
  <c r="A2123"/>
  <c r="A2122"/>
  <c r="A2121"/>
  <c r="A2120"/>
  <c r="A2119"/>
  <c r="A2118"/>
  <c r="A2117"/>
  <c r="A2116"/>
  <c r="A2115"/>
  <c r="A2113"/>
  <c r="A2112"/>
  <c r="A2111"/>
  <c r="A2110"/>
  <c r="A2109"/>
  <c r="A2107"/>
  <c r="A2106"/>
  <c r="A2105"/>
  <c r="A2104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1"/>
  <c r="A2080"/>
  <c r="A2079"/>
  <c r="A2077"/>
  <c r="A2076"/>
  <c r="A702"/>
  <c r="A2069"/>
  <c r="A2068"/>
  <c r="A2066"/>
  <c r="A2064"/>
  <c r="A2063"/>
  <c r="A2061"/>
  <c r="A2059"/>
  <c r="A2058"/>
  <c r="A2057"/>
  <c r="A2056"/>
  <c r="A2055"/>
  <c r="A2054"/>
  <c r="A2052"/>
  <c r="A2051"/>
  <c r="A2050"/>
  <c r="A2049"/>
  <c r="A2048"/>
  <c r="A2047"/>
  <c r="A2046"/>
  <c r="A2045"/>
  <c r="A2044"/>
  <c r="A2043"/>
  <c r="A2042"/>
  <c r="A2040"/>
  <c r="A2039"/>
  <c r="A2038"/>
  <c r="A2037"/>
  <c r="A2036"/>
  <c r="A2035"/>
  <c r="A2034"/>
  <c r="A2033"/>
  <c r="A2032"/>
  <c r="A2031"/>
  <c r="A2030"/>
  <c r="A2029"/>
  <c r="A2028"/>
  <c r="A2027"/>
  <c r="A2026"/>
  <c r="A2024"/>
  <c r="A2022"/>
  <c r="A2019"/>
  <c r="A2018"/>
  <c r="A2017"/>
  <c r="A2016"/>
  <c r="A2015"/>
  <c r="A2014"/>
  <c r="A2013"/>
  <c r="A2012"/>
  <c r="A2011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0"/>
  <c r="A1989"/>
  <c r="A1988"/>
  <c r="A1986"/>
  <c r="A1985"/>
  <c r="A1984"/>
  <c r="A1983"/>
  <c r="A1982"/>
  <c r="A1981"/>
  <c r="A1980"/>
  <c r="A1979"/>
  <c r="A1978"/>
  <c r="A1976"/>
  <c r="A1975"/>
  <c r="A1973"/>
  <c r="A1972"/>
  <c r="A1970"/>
  <c r="A1969"/>
  <c r="A1968"/>
  <c r="A1967"/>
  <c r="A1966"/>
  <c r="A1965"/>
  <c r="A1963"/>
  <c r="A1962"/>
  <c r="A1961"/>
  <c r="A1959"/>
  <c r="A1956"/>
  <c r="A1955"/>
  <c r="A1954"/>
  <c r="A1953"/>
  <c r="A1952"/>
  <c r="A1951"/>
  <c r="A1950"/>
  <c r="A1949"/>
  <c r="A1948"/>
  <c r="A1946"/>
  <c r="A1945"/>
  <c r="A1944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8"/>
  <c r="A1917"/>
  <c r="A1916"/>
  <c r="A1914"/>
  <c r="A1912"/>
  <c r="A1911"/>
  <c r="A1910"/>
  <c r="A1908"/>
  <c r="A1906"/>
  <c r="A1905"/>
  <c r="A1903"/>
  <c r="A1902"/>
  <c r="A1899"/>
  <c r="A1898"/>
  <c r="A1897"/>
  <c r="A1895"/>
  <c r="A1894"/>
  <c r="A1893"/>
  <c r="A1892"/>
  <c r="A1605"/>
  <c r="A1887"/>
  <c r="A1886"/>
  <c r="A1885"/>
  <c r="A1884"/>
  <c r="A1883"/>
  <c r="A1882"/>
  <c r="A1881"/>
  <c r="A1880"/>
  <c r="A1879"/>
  <c r="A1878"/>
  <c r="A1877"/>
  <c r="A1876"/>
  <c r="A1874"/>
  <c r="A1872"/>
  <c r="A1871"/>
  <c r="A1870"/>
  <c r="A1869"/>
  <c r="A1868"/>
  <c r="A1867"/>
  <c r="A1865"/>
  <c r="A1861"/>
  <c r="A1860"/>
  <c r="A1859"/>
  <c r="A1447"/>
  <c r="A1855"/>
  <c r="A1854"/>
  <c r="A1853"/>
  <c r="A1852"/>
  <c r="A1851"/>
  <c r="A1850"/>
  <c r="A1849"/>
  <c r="A1848"/>
  <c r="A1847"/>
  <c r="A1846"/>
  <c r="A1845"/>
  <c r="A1844"/>
  <c r="A1843"/>
  <c r="A1840"/>
  <c r="A1839"/>
  <c r="A1838"/>
  <c r="A1836"/>
  <c r="A1831"/>
  <c r="A1829"/>
  <c r="A1828"/>
  <c r="A1421"/>
  <c r="A1825"/>
  <c r="A1824"/>
  <c r="A1823"/>
  <c r="A1821"/>
  <c r="A1820"/>
  <c r="A1819"/>
  <c r="A1817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7"/>
  <c r="A1795"/>
  <c r="A1794"/>
  <c r="A1793"/>
  <c r="A1792"/>
  <c r="A1791"/>
  <c r="A1790"/>
  <c r="A1789"/>
  <c r="A1788"/>
  <c r="A1787"/>
  <c r="A1786"/>
  <c r="A1784"/>
  <c r="A1783"/>
  <c r="A1782"/>
  <c r="A1781"/>
  <c r="A1780"/>
  <c r="A1779"/>
  <c r="A1778"/>
  <c r="A1777"/>
  <c r="A1776"/>
  <c r="A1774"/>
  <c r="A1771"/>
  <c r="A1770"/>
  <c r="A1769"/>
  <c r="A1768"/>
  <c r="A1766"/>
  <c r="A1763"/>
  <c r="A1762"/>
  <c r="A1761"/>
  <c r="A1760"/>
  <c r="A1758"/>
  <c r="A1757"/>
  <c r="A1756"/>
  <c r="A1755"/>
  <c r="A1754"/>
  <c r="A1752"/>
  <c r="A1750"/>
  <c r="A1748"/>
  <c r="A1747"/>
  <c r="A1746"/>
  <c r="A1744"/>
  <c r="A1743"/>
  <c r="A1742"/>
  <c r="A1740"/>
  <c r="A1738"/>
  <c r="A1737"/>
  <c r="A1736"/>
  <c r="A1735"/>
  <c r="A1734"/>
  <c r="A1732"/>
  <c r="A1731"/>
  <c r="A1730"/>
  <c r="A1729"/>
  <c r="A1728"/>
  <c r="A1727"/>
  <c r="A1725"/>
  <c r="A1723"/>
  <c r="A1722"/>
  <c r="A1720"/>
  <c r="A1719"/>
  <c r="A1718"/>
  <c r="A1716"/>
  <c r="A544"/>
  <c r="A1709"/>
  <c r="A1708"/>
  <c r="A1707"/>
  <c r="A1706"/>
  <c r="A1704"/>
  <c r="A1703"/>
  <c r="A1702"/>
  <c r="A1701"/>
  <c r="A1700"/>
  <c r="A1699"/>
  <c r="A1698"/>
  <c r="A1697"/>
  <c r="A1696"/>
  <c r="A1694"/>
  <c r="A1693"/>
  <c r="A1691"/>
  <c r="A1690"/>
  <c r="A1688"/>
  <c r="A1687"/>
  <c r="A1684"/>
  <c r="A1683"/>
  <c r="A1681"/>
  <c r="A1680"/>
  <c r="A1679"/>
  <c r="A1677"/>
  <c r="A1676"/>
  <c r="A1675"/>
  <c r="A1674"/>
  <c r="A1673"/>
  <c r="A1671"/>
  <c r="A1669"/>
  <c r="A1668"/>
  <c r="A1666"/>
  <c r="A1665"/>
  <c r="A1663"/>
  <c r="A1662"/>
  <c r="A1661"/>
  <c r="A1660"/>
  <c r="A1659"/>
  <c r="A1657"/>
  <c r="A1655"/>
  <c r="A1654"/>
  <c r="A1652"/>
  <c r="A1650"/>
  <c r="A1648"/>
  <c r="A1647"/>
  <c r="A1646"/>
  <c r="A1644"/>
  <c r="A1643"/>
  <c r="A1642"/>
  <c r="A1641"/>
  <c r="A1640"/>
  <c r="A1639"/>
  <c r="A1638"/>
  <c r="A1637"/>
  <c r="A1635"/>
  <c r="A1633"/>
  <c r="A1632"/>
  <c r="A1631"/>
  <c r="A1630"/>
  <c r="A1629"/>
  <c r="A1628"/>
  <c r="A1626"/>
  <c r="A1624"/>
  <c r="A1622"/>
  <c r="A1621"/>
  <c r="A1620"/>
  <c r="A1618"/>
  <c r="A1616"/>
  <c r="A1615"/>
  <c r="A1614"/>
  <c r="A1613"/>
  <c r="A1612"/>
  <c r="A1611"/>
  <c r="A1610"/>
  <c r="A1609"/>
  <c r="A1608"/>
  <c r="A1607"/>
  <c r="A1604"/>
  <c r="A1603"/>
  <c r="A1600"/>
  <c r="A1599"/>
  <c r="A1597"/>
  <c r="A1595"/>
  <c r="A1594"/>
  <c r="A1593"/>
  <c r="A1591"/>
  <c r="A1590"/>
  <c r="A1589"/>
  <c r="A1588"/>
  <c r="A1587"/>
  <c r="A1586"/>
  <c r="A1585"/>
  <c r="A1584"/>
  <c r="A1583"/>
  <c r="A1582"/>
  <c r="A1581"/>
  <c r="A1580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6"/>
  <c r="A1552"/>
  <c r="A1551"/>
  <c r="A1550"/>
  <c r="A1549"/>
  <c r="A1547"/>
  <c r="A1546"/>
  <c r="A1544"/>
  <c r="A1543"/>
  <c r="A1542"/>
  <c r="A1540"/>
  <c r="A1539"/>
  <c r="A1538"/>
  <c r="A1537"/>
  <c r="A1536"/>
  <c r="A1534"/>
  <c r="A1018"/>
  <c r="A1532"/>
  <c r="A1530"/>
  <c r="A1529"/>
  <c r="A1528"/>
  <c r="A1527"/>
  <c r="A1526"/>
  <c r="A1525"/>
  <c r="A1524"/>
  <c r="A1523"/>
  <c r="A1522"/>
  <c r="A1521"/>
  <c r="A1520"/>
  <c r="A1519"/>
  <c r="A1518"/>
  <c r="A1516"/>
  <c r="A1514"/>
  <c r="A1513"/>
  <c r="A1512"/>
  <c r="A1510"/>
  <c r="A1509"/>
  <c r="A1508"/>
  <c r="A1506"/>
  <c r="A1504"/>
  <c r="A1503"/>
  <c r="A1502"/>
  <c r="A1501"/>
  <c r="A1500"/>
  <c r="A1499"/>
  <c r="A1498"/>
  <c r="A1497"/>
  <c r="A1495"/>
  <c r="A1494"/>
  <c r="A1492"/>
  <c r="A1491"/>
  <c r="A1490"/>
  <c r="A1489"/>
  <c r="A1488"/>
  <c r="A1487"/>
  <c r="A1486"/>
  <c r="A1484"/>
  <c r="A1483"/>
  <c r="A1482"/>
  <c r="A1481"/>
  <c r="A1480"/>
  <c r="A1479"/>
  <c r="A1478"/>
  <c r="A1477"/>
  <c r="A1476"/>
  <c r="A1475"/>
  <c r="A1474"/>
  <c r="A1472"/>
  <c r="A1471"/>
  <c r="A1470"/>
  <c r="A1469"/>
  <c r="A1468"/>
  <c r="A1467"/>
  <c r="A1466"/>
  <c r="A1465"/>
  <c r="A1463"/>
  <c r="A1462"/>
  <c r="A1461"/>
  <c r="A1460"/>
  <c r="A1459"/>
  <c r="A1458"/>
  <c r="A1457"/>
  <c r="A1455"/>
  <c r="A1454"/>
  <c r="A1449"/>
  <c r="A1452"/>
  <c r="B24" i="24" l="1"/>
  <c r="B25"/>
  <c r="B26"/>
  <c r="B27"/>
  <c r="B88" i="23"/>
  <c r="B89"/>
  <c r="B90"/>
  <c r="B96"/>
  <c r="B104"/>
  <c r="B109" i="24"/>
  <c r="B110"/>
  <c r="B124"/>
  <c r="B127"/>
  <c r="B15" i="14"/>
  <c r="B16"/>
  <c r="B17"/>
  <c r="B33"/>
  <c r="B34"/>
  <c r="B39"/>
  <c r="B40"/>
  <c r="B41"/>
  <c r="B48"/>
  <c r="B49"/>
  <c r="B50"/>
  <c r="B86"/>
  <c r="B92"/>
  <c r="B96"/>
  <c r="B97"/>
  <c r="B101"/>
  <c r="B108"/>
  <c r="B109"/>
  <c r="B121"/>
  <c r="B122"/>
  <c r="B10" i="23"/>
  <c r="B35"/>
  <c r="B48"/>
  <c r="G67" i="24"/>
  <c r="G82"/>
  <c r="G67" i="23"/>
  <c r="G7"/>
  <c r="G7" i="25"/>
  <c r="G55"/>
  <c r="G100"/>
  <c r="G7" i="24"/>
  <c r="G22"/>
  <c r="G160"/>
  <c r="G37" i="23"/>
  <c r="G52"/>
  <c r="G86"/>
  <c r="G101"/>
  <c r="G52" i="24"/>
  <c r="G100"/>
  <c r="G130"/>
  <c r="G22" i="25"/>
  <c r="G37"/>
  <c r="G70"/>
  <c r="G37" i="24"/>
  <c r="G115"/>
  <c r="G7" i="14"/>
  <c r="G67"/>
  <c r="G84"/>
  <c r="G22" i="23"/>
  <c r="G116"/>
  <c r="G22" i="14"/>
  <c r="G37"/>
  <c r="G52"/>
  <c r="G99"/>
  <c r="G114"/>
  <c r="A2357" i="4"/>
  <c r="A1446"/>
  <c r="A1445"/>
  <c r="A1444"/>
  <c r="A1443"/>
  <c r="A1442"/>
  <c r="A1440"/>
  <c r="A1438"/>
  <c r="A1437"/>
  <c r="A1436"/>
  <c r="A1435"/>
  <c r="A914"/>
  <c r="A1430"/>
  <c r="A1429"/>
  <c r="A1427"/>
  <c r="A1425"/>
  <c r="A1424"/>
  <c r="A1423"/>
  <c r="A1419"/>
  <c r="A2513"/>
  <c r="A1415"/>
  <c r="A1412"/>
  <c r="A1411"/>
  <c r="A1410"/>
  <c r="A1409"/>
  <c r="A1408"/>
  <c r="A1407"/>
  <c r="A1406"/>
  <c r="A1405"/>
  <c r="A1404"/>
  <c r="A1369"/>
  <c r="A1401"/>
  <c r="A1400"/>
  <c r="A1399"/>
  <c r="A1398"/>
  <c r="A1397"/>
  <c r="A1396"/>
  <c r="A1391"/>
  <c r="A1390"/>
  <c r="A1389"/>
  <c r="A1388"/>
  <c r="A1386"/>
  <c r="A1385"/>
  <c r="A1383"/>
  <c r="A1382"/>
  <c r="A1381"/>
  <c r="A1380"/>
  <c r="A1379"/>
  <c r="A1378"/>
  <c r="A1376"/>
  <c r="A1375"/>
  <c r="A1373"/>
  <c r="A1370"/>
  <c r="A1368"/>
  <c r="A1367"/>
  <c r="A1366"/>
  <c r="A1365"/>
  <c r="A1363"/>
  <c r="A1361"/>
  <c r="A1360"/>
  <c r="A1359"/>
  <c r="A1358"/>
  <c r="A1357"/>
  <c r="A1356"/>
  <c r="A1355"/>
  <c r="A1354"/>
  <c r="A1353"/>
  <c r="A1352"/>
  <c r="A1351"/>
  <c r="A1350"/>
  <c r="A1349"/>
  <c r="A1347"/>
  <c r="A1346"/>
  <c r="A1344"/>
  <c r="A1343"/>
  <c r="A1339"/>
  <c r="A1338"/>
  <c r="A1337"/>
  <c r="A1335"/>
  <c r="A1334"/>
  <c r="A1333"/>
  <c r="A1332"/>
  <c r="A1331"/>
  <c r="A1330"/>
  <c r="A1329"/>
  <c r="A1328"/>
  <c r="A1324"/>
  <c r="A1323"/>
  <c r="A1322"/>
  <c r="A1320"/>
  <c r="A1319"/>
  <c r="A1318"/>
  <c r="A1317"/>
  <c r="A1316"/>
  <c r="A1315"/>
  <c r="A1314"/>
  <c r="A1313"/>
  <c r="A1312"/>
  <c r="A1311"/>
  <c r="A1310"/>
  <c r="A1308"/>
  <c r="A1307"/>
  <c r="A1306"/>
  <c r="A1305"/>
  <c r="A1302"/>
  <c r="A1300"/>
  <c r="A1299"/>
  <c r="A1298"/>
  <c r="A543"/>
  <c r="A1296"/>
  <c r="A1295"/>
  <c r="A1294"/>
  <c r="A1293"/>
  <c r="A1292"/>
  <c r="A1291"/>
  <c r="A1290"/>
  <c r="A1289"/>
  <c r="A1288"/>
  <c r="A1287"/>
  <c r="A1286"/>
  <c r="A1282"/>
  <c r="A1281"/>
  <c r="A1280"/>
  <c r="A1278"/>
  <c r="A2067"/>
  <c r="A1274"/>
  <c r="A1273"/>
  <c r="A1272"/>
  <c r="A1271"/>
  <c r="A1270"/>
  <c r="A1269"/>
  <c r="A1268"/>
  <c r="A1267"/>
  <c r="A1266"/>
  <c r="A1264"/>
  <c r="A1263"/>
  <c r="A1261"/>
  <c r="A1260"/>
  <c r="A1259"/>
  <c r="A1258"/>
  <c r="A1256"/>
  <c r="A1254"/>
  <c r="A1253"/>
  <c r="A1252"/>
  <c r="A1251"/>
  <c r="A1250"/>
  <c r="A1249"/>
  <c r="A1247"/>
  <c r="A1246"/>
  <c r="A1245"/>
  <c r="A1243"/>
  <c r="A1242"/>
  <c r="A1240"/>
  <c r="A1236"/>
  <c r="A1235"/>
  <c r="A1234"/>
  <c r="A1232"/>
  <c r="A1231"/>
  <c r="A1230"/>
  <c r="A1229"/>
  <c r="A1227"/>
  <c r="A1226"/>
  <c r="A1225"/>
  <c r="A1220"/>
  <c r="A1219"/>
  <c r="A1217"/>
  <c r="A1216"/>
  <c r="A1214"/>
  <c r="A1213"/>
  <c r="A1212"/>
  <c r="A1211"/>
  <c r="A1209"/>
  <c r="A1208"/>
  <c r="A1207"/>
  <c r="A1206"/>
  <c r="A1204"/>
  <c r="A1203"/>
  <c r="A1202"/>
  <c r="A1201"/>
  <c r="A1200"/>
  <c r="A1199"/>
  <c r="A1197"/>
  <c r="A1195"/>
  <c r="A1194"/>
  <c r="A1193"/>
  <c r="A1190"/>
  <c r="A1189"/>
  <c r="A1188"/>
  <c r="A1187"/>
  <c r="A1186"/>
  <c r="A1185"/>
  <c r="A2149"/>
  <c r="A1181"/>
  <c r="A1180"/>
  <c r="A1179"/>
  <c r="A1178"/>
  <c r="A1177"/>
  <c r="A1175"/>
  <c r="A1174"/>
  <c r="A1173"/>
  <c r="A1172"/>
  <c r="A1171"/>
  <c r="A1170"/>
  <c r="A1169"/>
  <c r="A1168"/>
  <c r="A1166"/>
  <c r="A1165"/>
  <c r="A1164"/>
  <c r="A1163"/>
  <c r="A1162"/>
  <c r="A1161"/>
  <c r="A1160"/>
  <c r="A1159"/>
  <c r="A1158"/>
  <c r="A1157"/>
  <c r="A1156"/>
  <c r="A1153"/>
  <c r="A1152"/>
  <c r="A1151"/>
  <c r="A1150"/>
  <c r="A1149"/>
  <c r="A1148"/>
  <c r="A1147"/>
  <c r="A1146"/>
  <c r="A1143"/>
  <c r="A1142"/>
  <c r="A1140"/>
  <c r="A1139"/>
  <c r="A1138"/>
  <c r="A1137"/>
  <c r="A1136"/>
  <c r="A1135"/>
  <c r="A1132"/>
  <c r="A746"/>
  <c r="A1129"/>
  <c r="A1127"/>
  <c r="A1126"/>
  <c r="A1125"/>
  <c r="A805"/>
  <c r="A1122"/>
  <c r="A1121"/>
  <c r="A478"/>
  <c r="A1117"/>
  <c r="A1116"/>
  <c r="A1115"/>
  <c r="A1113"/>
  <c r="A1112"/>
  <c r="A1111"/>
  <c r="A1107"/>
  <c r="A1106"/>
  <c r="A1105"/>
  <c r="A1104"/>
  <c r="A1103"/>
  <c r="A1507"/>
  <c r="A1099"/>
  <c r="A1097"/>
  <c r="A1096"/>
  <c r="A1095"/>
  <c r="A1094"/>
  <c r="A1093"/>
  <c r="A1091"/>
  <c r="A1090"/>
  <c r="A1089"/>
  <c r="A1088"/>
  <c r="A1087"/>
  <c r="A1086"/>
  <c r="A1085"/>
  <c r="A1083"/>
  <c r="A1082"/>
  <c r="A1081"/>
  <c r="A1080"/>
  <c r="A1079"/>
  <c r="A1078"/>
  <c r="A1077"/>
  <c r="A1076"/>
  <c r="A1073"/>
  <c r="A1072"/>
  <c r="A1071"/>
  <c r="A1433"/>
  <c r="A1069"/>
  <c r="A1068"/>
  <c r="A1065"/>
  <c r="A1064"/>
  <c r="A1063"/>
  <c r="A1062"/>
  <c r="A1061"/>
  <c r="A1060"/>
  <c r="A1059"/>
  <c r="A1058"/>
  <c r="A1215"/>
  <c r="A1052"/>
  <c r="A1050"/>
  <c r="A1049"/>
  <c r="A1048"/>
  <c r="A1047"/>
  <c r="A1046"/>
  <c r="A1045"/>
  <c r="A1044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131"/>
  <c r="A1024"/>
  <c r="A1023"/>
  <c r="A1022"/>
  <c r="A1021"/>
  <c r="A1019"/>
  <c r="A1017"/>
  <c r="A1016"/>
  <c r="A1013"/>
  <c r="A1012"/>
  <c r="A1011"/>
  <c r="A1010"/>
  <c r="A1009"/>
  <c r="A1008"/>
  <c r="A1007"/>
  <c r="A1005"/>
  <c r="A1002"/>
  <c r="A1001"/>
  <c r="A1000"/>
  <c r="A990"/>
  <c r="A987"/>
  <c r="A986"/>
  <c r="A985"/>
  <c r="A983"/>
  <c r="A981"/>
  <c r="A980"/>
  <c r="A979"/>
  <c r="A978"/>
  <c r="A977"/>
  <c r="A976"/>
  <c r="A974"/>
  <c r="A973"/>
  <c r="A972"/>
  <c r="A971"/>
  <c r="A970"/>
  <c r="A969"/>
  <c r="A968"/>
  <c r="A967"/>
  <c r="A966"/>
  <c r="A965"/>
  <c r="A328"/>
  <c r="A964"/>
  <c r="A962"/>
  <c r="A961"/>
  <c r="A960"/>
  <c r="A959"/>
  <c r="A958"/>
  <c r="A956"/>
  <c r="A955"/>
  <c r="A954"/>
  <c r="A952"/>
  <c r="A951"/>
  <c r="A950"/>
  <c r="A949"/>
  <c r="A946"/>
  <c r="A945"/>
  <c r="A944"/>
  <c r="A943"/>
  <c r="A942"/>
  <c r="A941"/>
  <c r="A940"/>
  <c r="A939"/>
  <c r="A938"/>
  <c r="A937"/>
  <c r="A935"/>
  <c r="A933"/>
  <c r="A932"/>
  <c r="A931"/>
  <c r="A930"/>
  <c r="A929"/>
  <c r="A928"/>
  <c r="A926"/>
  <c r="A925"/>
  <c r="A923"/>
  <c r="A921"/>
  <c r="A920"/>
  <c r="A919"/>
  <c r="A918"/>
  <c r="A917"/>
  <c r="A916"/>
  <c r="A912"/>
  <c r="A911"/>
  <c r="A902"/>
  <c r="A901"/>
  <c r="A900"/>
  <c r="A899"/>
  <c r="A898"/>
  <c r="A897"/>
  <c r="A895"/>
  <c r="A894"/>
  <c r="A893"/>
  <c r="A891"/>
  <c r="A890"/>
  <c r="A887"/>
  <c r="A885"/>
  <c r="A884"/>
  <c r="A882"/>
  <c r="A881"/>
  <c r="A880"/>
  <c r="A879"/>
  <c r="A878"/>
  <c r="A877"/>
  <c r="A876"/>
  <c r="A875"/>
  <c r="A874"/>
  <c r="A872"/>
  <c r="A870"/>
  <c r="A869"/>
  <c r="A868"/>
  <c r="A867"/>
  <c r="A866"/>
  <c r="A865"/>
  <c r="A864"/>
  <c r="A863"/>
  <c r="A862"/>
  <c r="A860"/>
  <c r="A859"/>
  <c r="A856"/>
  <c r="A855"/>
  <c r="A854"/>
  <c r="A853"/>
  <c r="A852"/>
  <c r="A851"/>
  <c r="A850"/>
  <c r="A849"/>
  <c r="A848"/>
  <c r="A847"/>
  <c r="A846"/>
  <c r="A845"/>
  <c r="A843"/>
  <c r="A842"/>
  <c r="A841"/>
  <c r="A839"/>
  <c r="A838"/>
  <c r="A837"/>
  <c r="A836"/>
  <c r="A833"/>
  <c r="A832"/>
  <c r="A830"/>
  <c r="A829"/>
  <c r="A828"/>
  <c r="A827"/>
  <c r="A826"/>
  <c r="A825"/>
  <c r="A824"/>
  <c r="A823"/>
  <c r="A821"/>
  <c r="A820"/>
  <c r="A819"/>
  <c r="A818"/>
  <c r="A817"/>
  <c r="A812"/>
  <c r="A810"/>
  <c r="A809"/>
  <c r="A808"/>
  <c r="A807"/>
  <c r="A806"/>
  <c r="A804"/>
  <c r="A803"/>
  <c r="A802"/>
  <c r="A801"/>
  <c r="A799"/>
  <c r="A798"/>
  <c r="A796"/>
  <c r="A795"/>
  <c r="A793"/>
  <c r="A792"/>
  <c r="A791"/>
  <c r="A790"/>
  <c r="A789"/>
  <c r="A788"/>
  <c r="A786"/>
  <c r="A785"/>
  <c r="A784"/>
  <c r="A783"/>
  <c r="A781"/>
  <c r="A780"/>
  <c r="A779"/>
  <c r="A778"/>
  <c r="A777"/>
  <c r="A776"/>
  <c r="A775"/>
  <c r="A774"/>
  <c r="A773"/>
  <c r="A772"/>
  <c r="A771"/>
  <c r="A770"/>
  <c r="A768"/>
  <c r="A767"/>
  <c r="A764"/>
  <c r="A763"/>
  <c r="A762"/>
  <c r="A761"/>
  <c r="A759"/>
  <c r="A758"/>
  <c r="A757"/>
  <c r="A756"/>
  <c r="A755"/>
  <c r="A754"/>
  <c r="A753"/>
  <c r="A751"/>
  <c r="A750"/>
  <c r="A749"/>
  <c r="A748"/>
  <c r="A745"/>
  <c r="A742"/>
  <c r="A741"/>
  <c r="A740"/>
  <c r="A738"/>
  <c r="A737"/>
  <c r="A735"/>
  <c r="A734"/>
  <c r="A733"/>
  <c r="A732"/>
  <c r="A731"/>
  <c r="A730"/>
  <c r="A729"/>
  <c r="A728"/>
  <c r="A727"/>
  <c r="A726"/>
  <c r="A725"/>
  <c r="A724"/>
  <c r="A723"/>
  <c r="A722"/>
  <c r="A721"/>
  <c r="A1372"/>
  <c r="A719"/>
  <c r="A718"/>
  <c r="A717"/>
  <c r="A715"/>
  <c r="A714"/>
  <c r="A713"/>
  <c r="A710"/>
  <c r="A709"/>
  <c r="A707"/>
  <c r="A706"/>
  <c r="A705"/>
  <c r="A704"/>
  <c r="A703"/>
  <c r="A701"/>
  <c r="A700"/>
  <c r="A699"/>
  <c r="A698"/>
  <c r="A697"/>
  <c r="A695"/>
  <c r="A694"/>
  <c r="A693"/>
  <c r="A691"/>
  <c r="A690"/>
  <c r="A689"/>
  <c r="A688"/>
  <c r="A687"/>
  <c r="A686"/>
  <c r="A685"/>
  <c r="A684"/>
  <c r="A683"/>
  <c r="A682"/>
  <c r="A681"/>
  <c r="A679"/>
  <c r="A678"/>
  <c r="A676"/>
  <c r="A675"/>
  <c r="A674"/>
  <c r="A673"/>
  <c r="A672"/>
  <c r="A671"/>
  <c r="A669"/>
  <c r="A668"/>
  <c r="A667"/>
  <c r="A515"/>
  <c r="A665"/>
  <c r="A663"/>
  <c r="A659"/>
  <c r="A658"/>
  <c r="A657"/>
  <c r="A656"/>
  <c r="A654"/>
  <c r="A652"/>
  <c r="A651"/>
  <c r="A650"/>
  <c r="A648"/>
  <c r="A646"/>
  <c r="A645"/>
  <c r="A644"/>
  <c r="A643"/>
  <c r="A642"/>
  <c r="A641"/>
  <c r="A638"/>
  <c r="A637"/>
  <c r="A635"/>
  <c r="A634"/>
  <c r="A633"/>
  <c r="A632"/>
  <c r="A631"/>
  <c r="A630"/>
  <c r="A629"/>
  <c r="A627"/>
  <c r="A626"/>
  <c r="A625"/>
  <c r="A623"/>
  <c r="A622"/>
  <c r="A621"/>
  <c r="A620"/>
  <c r="A619"/>
  <c r="A617"/>
  <c r="A616"/>
  <c r="A615"/>
  <c r="A612"/>
  <c r="A611"/>
  <c r="A610"/>
  <c r="A609"/>
  <c r="A607"/>
  <c r="A606"/>
  <c r="A605"/>
  <c r="A604"/>
  <c r="A603"/>
  <c r="A602"/>
  <c r="A601"/>
  <c r="A600"/>
  <c r="A599"/>
  <c r="A597"/>
  <c r="A595"/>
  <c r="A593"/>
  <c r="A592"/>
  <c r="A591"/>
  <c r="A590"/>
  <c r="A589"/>
  <c r="A585"/>
  <c r="A584"/>
  <c r="A582"/>
  <c r="A581"/>
  <c r="A578"/>
  <c r="A577"/>
  <c r="A572"/>
  <c r="A571"/>
  <c r="A570"/>
  <c r="A568"/>
  <c r="A567"/>
  <c r="A566"/>
  <c r="A565"/>
  <c r="A564"/>
  <c r="A563"/>
  <c r="A559"/>
  <c r="A557"/>
  <c r="A555"/>
  <c r="A553"/>
  <c r="A551"/>
  <c r="A550"/>
  <c r="A549"/>
  <c r="A548"/>
  <c r="A547"/>
  <c r="A546"/>
  <c r="A545"/>
  <c r="A542"/>
  <c r="A541"/>
  <c r="A537"/>
  <c r="A536"/>
  <c r="A535"/>
  <c r="A534"/>
  <c r="A533"/>
  <c r="A532"/>
  <c r="A531"/>
  <c r="A528"/>
  <c r="A527"/>
  <c r="A525"/>
  <c r="A524"/>
  <c r="A523"/>
  <c r="A522"/>
  <c r="A521"/>
  <c r="A520"/>
  <c r="A517"/>
  <c r="A513"/>
  <c r="A512"/>
  <c r="A511"/>
  <c r="A510"/>
  <c r="A507"/>
  <c r="A506"/>
  <c r="A505"/>
  <c r="A504"/>
  <c r="A503"/>
  <c r="A502"/>
  <c r="A501"/>
  <c r="A500"/>
  <c r="A498"/>
  <c r="A497"/>
  <c r="A496"/>
  <c r="A495"/>
  <c r="A494"/>
  <c r="A493"/>
  <c r="A492"/>
  <c r="A491"/>
  <c r="A490"/>
  <c r="A488"/>
  <c r="A487"/>
  <c r="A485"/>
  <c r="A484"/>
  <c r="A483"/>
  <c r="A482"/>
  <c r="A480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59"/>
  <c r="A458"/>
  <c r="A457"/>
  <c r="A456"/>
  <c r="A455"/>
  <c r="A454"/>
  <c r="A453"/>
  <c r="A452"/>
  <c r="A451"/>
  <c r="A450"/>
  <c r="A449"/>
  <c r="A446"/>
  <c r="A445"/>
  <c r="A444"/>
  <c r="A443"/>
  <c r="A441"/>
  <c r="A439"/>
  <c r="A438"/>
  <c r="A437"/>
  <c r="A436"/>
  <c r="A435"/>
  <c r="A433"/>
  <c r="A431"/>
  <c r="A430"/>
  <c r="A429"/>
  <c r="A428"/>
  <c r="A427"/>
  <c r="A426"/>
  <c r="A424"/>
  <c r="A423"/>
  <c r="A422"/>
  <c r="A421"/>
  <c r="A419"/>
  <c r="A418"/>
  <c r="A416"/>
  <c r="A415"/>
  <c r="A414"/>
  <c r="A413"/>
  <c r="A412"/>
  <c r="A411"/>
  <c r="A410"/>
  <c r="A408"/>
  <c r="A407"/>
  <c r="A406"/>
  <c r="A405"/>
  <c r="A404"/>
  <c r="A403"/>
  <c r="A401"/>
  <c r="A400"/>
  <c r="A399"/>
  <c r="A398"/>
  <c r="A397"/>
  <c r="A396"/>
  <c r="A395"/>
  <c r="A394"/>
  <c r="A392"/>
  <c r="A390"/>
  <c r="A389"/>
  <c r="A388"/>
  <c r="A387"/>
  <c r="A386"/>
  <c r="A385"/>
  <c r="A383"/>
  <c r="A382"/>
  <c r="A380"/>
  <c r="A379"/>
  <c r="A378"/>
  <c r="A377"/>
  <c r="A376"/>
  <c r="A375"/>
  <c r="A374"/>
  <c r="A373"/>
  <c r="A372"/>
  <c r="A371"/>
  <c r="A370"/>
  <c r="A369"/>
  <c r="A368"/>
  <c r="A367"/>
  <c r="A366"/>
  <c r="A363"/>
  <c r="A361"/>
  <c r="A359"/>
  <c r="A358"/>
  <c r="A355"/>
  <c r="A354"/>
  <c r="A353"/>
  <c r="A351"/>
  <c r="A350"/>
  <c r="A348"/>
  <c r="A347"/>
  <c r="A346"/>
  <c r="A345"/>
  <c r="A344"/>
  <c r="A343"/>
  <c r="A342"/>
  <c r="A341"/>
  <c r="A340"/>
  <c r="A339"/>
  <c r="A338"/>
  <c r="A337"/>
  <c r="A335"/>
  <c r="A334"/>
  <c r="A333"/>
  <c r="A332"/>
  <c r="A331"/>
  <c r="A330"/>
  <c r="A329"/>
  <c r="A327"/>
  <c r="A326"/>
  <c r="A325"/>
  <c r="A324"/>
  <c r="A322"/>
  <c r="A321"/>
  <c r="A320"/>
  <c r="A319"/>
  <c r="A318"/>
  <c r="A317"/>
  <c r="A316"/>
  <c r="A315"/>
  <c r="A314"/>
  <c r="A313"/>
  <c r="A312"/>
  <c r="A311"/>
  <c r="A310"/>
  <c r="A309"/>
  <c r="A308"/>
  <c r="A306"/>
  <c r="A305"/>
  <c r="A304"/>
  <c r="A303"/>
  <c r="A302"/>
  <c r="A301"/>
  <c r="A299"/>
  <c r="A298"/>
  <c r="A297"/>
  <c r="A296"/>
  <c r="A295"/>
  <c r="A294"/>
  <c r="A293"/>
  <c r="A291"/>
  <c r="A290"/>
  <c r="A289"/>
  <c r="A288"/>
  <c r="A287"/>
  <c r="A285"/>
  <c r="A284"/>
  <c r="A283"/>
  <c r="A282"/>
  <c r="A281"/>
  <c r="A280"/>
  <c r="A279"/>
  <c r="A278"/>
  <c r="A276"/>
  <c r="A275"/>
  <c r="A273"/>
  <c r="A272"/>
  <c r="A271"/>
  <c r="A270"/>
  <c r="A269"/>
  <c r="A268"/>
  <c r="A267"/>
  <c r="A266"/>
  <c r="A263"/>
  <c r="A262"/>
  <c r="A257"/>
  <c r="A255"/>
  <c r="A254"/>
  <c r="A252"/>
  <c r="A251"/>
  <c r="A250"/>
  <c r="A249"/>
  <c r="A248"/>
  <c r="A246"/>
  <c r="A245"/>
  <c r="A243"/>
  <c r="A242"/>
  <c r="A240"/>
  <c r="A239"/>
  <c r="A238"/>
  <c r="A237"/>
  <c r="A235"/>
  <c r="A234"/>
  <c r="A233"/>
  <c r="A232"/>
  <c r="A231"/>
  <c r="A228"/>
  <c r="A227"/>
  <c r="A226"/>
  <c r="A225"/>
  <c r="A224"/>
  <c r="A223"/>
  <c r="A222"/>
  <c r="A220"/>
  <c r="A216"/>
  <c r="A214"/>
  <c r="A213"/>
  <c r="A211"/>
  <c r="A209"/>
  <c r="A206"/>
  <c r="A205"/>
  <c r="A203"/>
  <c r="A201"/>
  <c r="A200"/>
  <c r="A198"/>
  <c r="A197"/>
  <c r="A196"/>
  <c r="A195"/>
  <c r="A194"/>
  <c r="A191"/>
  <c r="A190"/>
  <c r="A187"/>
  <c r="A186"/>
  <c r="A185"/>
  <c r="A184"/>
  <c r="A183"/>
  <c r="A182"/>
  <c r="A181"/>
  <c r="A180"/>
  <c r="A179"/>
  <c r="A176"/>
  <c r="A175"/>
  <c r="A174"/>
  <c r="A173"/>
  <c r="A172"/>
  <c r="A171"/>
  <c r="A170"/>
  <c r="A169"/>
  <c r="A167"/>
  <c r="A166"/>
  <c r="A165"/>
  <c r="A164"/>
  <c r="A163"/>
  <c r="A162"/>
  <c r="A161"/>
  <c r="A160"/>
  <c r="A159"/>
  <c r="A157"/>
  <c r="A156"/>
  <c r="A154"/>
  <c r="A153"/>
  <c r="A151"/>
  <c r="A150"/>
  <c r="A149"/>
  <c r="A148"/>
  <c r="A147"/>
  <c r="A146"/>
  <c r="A145"/>
  <c r="A144"/>
  <c r="A143"/>
  <c r="A142"/>
  <c r="A140"/>
  <c r="A139"/>
  <c r="A924"/>
  <c r="A135"/>
  <c r="A134"/>
  <c r="A133"/>
  <c r="A131"/>
  <c r="A130"/>
  <c r="A129"/>
  <c r="A128"/>
  <c r="A127"/>
  <c r="A126"/>
  <c r="A125"/>
  <c r="A124"/>
  <c r="A123"/>
  <c r="A122"/>
  <c r="A121"/>
  <c r="A120"/>
  <c r="A118"/>
  <c r="A117"/>
  <c r="A116"/>
  <c r="A115"/>
  <c r="A113"/>
  <c r="A112"/>
  <c r="A111"/>
  <c r="A110"/>
  <c r="A108"/>
  <c r="A107"/>
  <c r="A106"/>
  <c r="A105"/>
  <c r="A104"/>
  <c r="A103"/>
  <c r="A102"/>
  <c r="A101"/>
  <c r="A99"/>
  <c r="A98"/>
  <c r="A97"/>
  <c r="A96"/>
  <c r="A94"/>
  <c r="A92"/>
  <c r="A90"/>
  <c r="A89"/>
  <c r="A88"/>
  <c r="A85"/>
  <c r="A84"/>
  <c r="A82"/>
  <c r="A80"/>
  <c r="A79"/>
  <c r="A78"/>
  <c r="A76"/>
  <c r="A75"/>
  <c r="A73"/>
  <c r="A72"/>
  <c r="A71"/>
  <c r="A70"/>
  <c r="A68"/>
  <c r="A67"/>
  <c r="A66"/>
  <c r="A64"/>
  <c r="A62"/>
  <c r="A60"/>
  <c r="A59"/>
  <c r="A58"/>
  <c r="A56"/>
  <c r="A55"/>
  <c r="A53"/>
  <c r="A52"/>
  <c r="A51"/>
  <c r="A50"/>
  <c r="A49"/>
  <c r="A48"/>
  <c r="A47"/>
  <c r="A46"/>
  <c r="A44"/>
  <c r="A43"/>
  <c r="A42"/>
  <c r="A41"/>
  <c r="A40"/>
  <c r="A39"/>
  <c r="A38"/>
  <c r="A37"/>
  <c r="A35"/>
  <c r="A34"/>
  <c r="A33"/>
  <c r="A32"/>
  <c r="A31"/>
  <c r="A30"/>
  <c r="A29"/>
  <c r="A27"/>
  <c r="A26"/>
  <c r="A25"/>
  <c r="A23"/>
  <c r="A21"/>
  <c r="A20"/>
  <c r="A18"/>
  <c r="A17"/>
  <c r="A16"/>
  <c r="A15"/>
  <c r="A13"/>
  <c r="A12"/>
  <c r="A11"/>
  <c r="A9"/>
  <c r="A8"/>
  <c r="A7"/>
  <c r="A6"/>
  <c r="A5"/>
  <c r="A4"/>
  <c r="A3"/>
  <c r="A2"/>
  <c r="A1"/>
  <c r="B2" i="2"/>
  <c r="E122" i="20" l="1"/>
  <c r="E120"/>
  <c r="E118"/>
  <c r="E112"/>
  <c r="E111"/>
  <c r="E109"/>
  <c r="E107"/>
  <c r="E127"/>
  <c r="E123"/>
  <c r="E121"/>
  <c r="E119"/>
  <c r="E117"/>
  <c r="E113"/>
  <c r="E110"/>
  <c r="E108"/>
  <c r="E102"/>
  <c r="E98"/>
  <c r="E93"/>
  <c r="E92"/>
  <c r="E90"/>
  <c r="D90" s="1"/>
  <c r="E89"/>
  <c r="D89" s="1"/>
  <c r="E88"/>
  <c r="E87"/>
  <c r="E83"/>
  <c r="E82"/>
  <c r="E80"/>
  <c r="D80" s="1"/>
  <c r="E79"/>
  <c r="E77"/>
  <c r="E64"/>
  <c r="E60"/>
  <c r="E57"/>
  <c r="E48"/>
  <c r="E35"/>
  <c r="D35" s="1"/>
  <c r="E34"/>
  <c r="E33"/>
  <c r="E32"/>
  <c r="E29"/>
  <c r="E27"/>
  <c r="E20"/>
  <c r="D20" s="1"/>
  <c r="E19"/>
  <c r="D19" s="1"/>
  <c r="E18"/>
  <c r="E16"/>
  <c r="D16" s="1"/>
  <c r="E15"/>
  <c r="E14"/>
  <c r="E12"/>
  <c r="E9"/>
  <c r="E144" i="23"/>
  <c r="E141"/>
  <c r="E140"/>
  <c r="E139"/>
  <c r="E138"/>
  <c r="E137"/>
  <c r="E136"/>
  <c r="E126"/>
  <c r="E124"/>
  <c r="E122"/>
  <c r="D122" s="1"/>
  <c r="E121"/>
  <c r="E120"/>
  <c r="D120" s="1"/>
  <c r="E119"/>
  <c r="E118"/>
  <c r="E114"/>
  <c r="D114" s="1"/>
  <c r="E113"/>
  <c r="E112"/>
  <c r="E111"/>
  <c r="E110"/>
  <c r="D110" s="1"/>
  <c r="E128" i="20"/>
  <c r="E126"/>
  <c r="D126" s="1"/>
  <c r="E125"/>
  <c r="D125" s="1"/>
  <c r="E124"/>
  <c r="E106"/>
  <c r="D106" s="1"/>
  <c r="E105"/>
  <c r="D105" s="1"/>
  <c r="E104"/>
  <c r="E103"/>
  <c r="E97"/>
  <c r="E96"/>
  <c r="D96" s="1"/>
  <c r="E95"/>
  <c r="E94"/>
  <c r="E91"/>
  <c r="E81"/>
  <c r="E78"/>
  <c r="E76"/>
  <c r="D76" s="1"/>
  <c r="E75"/>
  <c r="E74"/>
  <c r="E73"/>
  <c r="E72"/>
  <c r="E65"/>
  <c r="E63"/>
  <c r="D63" s="1"/>
  <c r="E62"/>
  <c r="E61"/>
  <c r="E59"/>
  <c r="E58"/>
  <c r="E56"/>
  <c r="E55"/>
  <c r="D55" s="1"/>
  <c r="E54"/>
  <c r="E50"/>
  <c r="D50" s="1"/>
  <c r="E49"/>
  <c r="E47"/>
  <c r="D47" s="1"/>
  <c r="E46"/>
  <c r="E45"/>
  <c r="E44"/>
  <c r="E43"/>
  <c r="D43" s="1"/>
  <c r="E42"/>
  <c r="D42" s="1"/>
  <c r="E41"/>
  <c r="E40"/>
  <c r="E39"/>
  <c r="E31"/>
  <c r="D31" s="1"/>
  <c r="E30"/>
  <c r="E28"/>
  <c r="E26"/>
  <c r="E25"/>
  <c r="E24"/>
  <c r="E17"/>
  <c r="E13"/>
  <c r="E11"/>
  <c r="E10"/>
  <c r="E143" i="23"/>
  <c r="D143" s="1"/>
  <c r="E142"/>
  <c r="E135"/>
  <c r="E134"/>
  <c r="E133"/>
  <c r="E129"/>
  <c r="E128"/>
  <c r="E127"/>
  <c r="E125"/>
  <c r="E123"/>
  <c r="E109"/>
  <c r="E107"/>
  <c r="E105"/>
  <c r="E104"/>
  <c r="E99"/>
  <c r="E98"/>
  <c r="D98" s="1"/>
  <c r="E97"/>
  <c r="D97" s="1"/>
  <c r="E96"/>
  <c r="E91"/>
  <c r="D91" s="1"/>
  <c r="E90"/>
  <c r="E88"/>
  <c r="E80"/>
  <c r="E79"/>
  <c r="E78"/>
  <c r="E77"/>
  <c r="E76"/>
  <c r="E75"/>
  <c r="E74"/>
  <c r="E73"/>
  <c r="E72"/>
  <c r="E71"/>
  <c r="E70"/>
  <c r="E69"/>
  <c r="E65"/>
  <c r="E64"/>
  <c r="E63"/>
  <c r="E62"/>
  <c r="E61"/>
  <c r="E60"/>
  <c r="E59"/>
  <c r="E58"/>
  <c r="E57"/>
  <c r="E56"/>
  <c r="E55"/>
  <c r="E54"/>
  <c r="E50"/>
  <c r="D50" s="1"/>
  <c r="E49"/>
  <c r="D49" s="1"/>
  <c r="E48"/>
  <c r="E34"/>
  <c r="D34" s="1"/>
  <c r="E33"/>
  <c r="E32"/>
  <c r="E31"/>
  <c r="E29"/>
  <c r="E27"/>
  <c r="E25"/>
  <c r="E10"/>
  <c r="E9"/>
  <c r="E142" i="14"/>
  <c r="E141"/>
  <c r="E140"/>
  <c r="E139"/>
  <c r="E138"/>
  <c r="E137"/>
  <c r="E136"/>
  <c r="E135"/>
  <c r="E134"/>
  <c r="E133"/>
  <c r="E132"/>
  <c r="E131"/>
  <c r="E127"/>
  <c r="E126"/>
  <c r="E124"/>
  <c r="E121"/>
  <c r="E118"/>
  <c r="E116"/>
  <c r="E112"/>
  <c r="E111"/>
  <c r="E110"/>
  <c r="E109"/>
  <c r="E107"/>
  <c r="D107" s="1"/>
  <c r="E106"/>
  <c r="E104"/>
  <c r="E102"/>
  <c r="E101"/>
  <c r="E97"/>
  <c r="E95"/>
  <c r="E94"/>
  <c r="E91"/>
  <c r="D91" s="1"/>
  <c r="E90"/>
  <c r="E88"/>
  <c r="E65"/>
  <c r="E64"/>
  <c r="E63"/>
  <c r="E62"/>
  <c r="E61"/>
  <c r="E60"/>
  <c r="E59"/>
  <c r="E58"/>
  <c r="E57"/>
  <c r="E56"/>
  <c r="E55"/>
  <c r="E54"/>
  <c r="E50"/>
  <c r="E48"/>
  <c r="E40"/>
  <c r="E33"/>
  <c r="E28"/>
  <c r="E24"/>
  <c r="E18"/>
  <c r="E17"/>
  <c r="E15"/>
  <c r="E11"/>
  <c r="E10"/>
  <c r="E173" i="24"/>
  <c r="E172"/>
  <c r="E171"/>
  <c r="E170"/>
  <c r="E169"/>
  <c r="E168"/>
  <c r="E167"/>
  <c r="E166"/>
  <c r="E165"/>
  <c r="E164"/>
  <c r="E163"/>
  <c r="E162"/>
  <c r="E143"/>
  <c r="E142"/>
  <c r="E141"/>
  <c r="E140"/>
  <c r="E139"/>
  <c r="E138"/>
  <c r="E137"/>
  <c r="E136"/>
  <c r="E135"/>
  <c r="E134"/>
  <c r="E133"/>
  <c r="E132"/>
  <c r="E127"/>
  <c r="E122"/>
  <c r="E120"/>
  <c r="E112"/>
  <c r="E106"/>
  <c r="E95"/>
  <c r="E93"/>
  <c r="E91"/>
  <c r="E90"/>
  <c r="E88"/>
  <c r="E86"/>
  <c r="E84"/>
  <c r="E79"/>
  <c r="E77"/>
  <c r="E75"/>
  <c r="E73"/>
  <c r="E71"/>
  <c r="E69"/>
  <c r="E64"/>
  <c r="E62"/>
  <c r="E61"/>
  <c r="E59"/>
  <c r="E57"/>
  <c r="E55"/>
  <c r="E34"/>
  <c r="E30"/>
  <c r="E26"/>
  <c r="E20"/>
  <c r="E18"/>
  <c r="E16"/>
  <c r="E14"/>
  <c r="E12"/>
  <c r="E113" i="25"/>
  <c r="E112"/>
  <c r="E110"/>
  <c r="E108"/>
  <c r="E106"/>
  <c r="E104"/>
  <c r="E102"/>
  <c r="E82"/>
  <c r="E68"/>
  <c r="E66"/>
  <c r="E64"/>
  <c r="E62"/>
  <c r="E60"/>
  <c r="E57"/>
  <c r="E34"/>
  <c r="E32"/>
  <c r="E30"/>
  <c r="E28"/>
  <c r="E25"/>
  <c r="E20"/>
  <c r="E18"/>
  <c r="E16"/>
  <c r="E14"/>
  <c r="E12"/>
  <c r="E10"/>
  <c r="E108" i="23"/>
  <c r="E106"/>
  <c r="E103"/>
  <c r="E95"/>
  <c r="E94"/>
  <c r="E93"/>
  <c r="D93" s="1"/>
  <c r="E92"/>
  <c r="E89"/>
  <c r="E47"/>
  <c r="D47" s="1"/>
  <c r="E46"/>
  <c r="E45"/>
  <c r="E44"/>
  <c r="E43"/>
  <c r="E42"/>
  <c r="E41"/>
  <c r="D41" s="1"/>
  <c r="E40"/>
  <c r="E39"/>
  <c r="E35"/>
  <c r="E30"/>
  <c r="E28"/>
  <c r="E26"/>
  <c r="E24"/>
  <c r="E20"/>
  <c r="E19"/>
  <c r="E18"/>
  <c r="E17"/>
  <c r="E16"/>
  <c r="E15"/>
  <c r="E14"/>
  <c r="E13"/>
  <c r="E12"/>
  <c r="E11"/>
  <c r="E125" i="14"/>
  <c r="E123"/>
  <c r="E122"/>
  <c r="E120"/>
  <c r="E119"/>
  <c r="E117"/>
  <c r="E108"/>
  <c r="E105"/>
  <c r="E103"/>
  <c r="E96"/>
  <c r="E93"/>
  <c r="E92"/>
  <c r="E89"/>
  <c r="E87"/>
  <c r="E86"/>
  <c r="E79"/>
  <c r="E78"/>
  <c r="E77"/>
  <c r="E76"/>
  <c r="E75"/>
  <c r="E74"/>
  <c r="E73"/>
  <c r="E72"/>
  <c r="E71"/>
  <c r="E70"/>
  <c r="E69"/>
  <c r="E49"/>
  <c r="E47"/>
  <c r="E46"/>
  <c r="E45"/>
  <c r="D45" s="1"/>
  <c r="E44"/>
  <c r="E43"/>
  <c r="E42"/>
  <c r="E41"/>
  <c r="E39"/>
  <c r="E35"/>
  <c r="E34"/>
  <c r="E32"/>
  <c r="E31"/>
  <c r="D31" s="1"/>
  <c r="E30"/>
  <c r="E29"/>
  <c r="E27"/>
  <c r="E26"/>
  <c r="E25"/>
  <c r="E20"/>
  <c r="D20" s="1"/>
  <c r="E19"/>
  <c r="E16"/>
  <c r="E14"/>
  <c r="E13"/>
  <c r="E12"/>
  <c r="E9"/>
  <c r="E158" i="24"/>
  <c r="E157"/>
  <c r="E156"/>
  <c r="E155"/>
  <c r="E154"/>
  <c r="E153"/>
  <c r="E152"/>
  <c r="E151"/>
  <c r="E150"/>
  <c r="E149"/>
  <c r="E148"/>
  <c r="E147"/>
  <c r="E126"/>
  <c r="E125"/>
  <c r="E124"/>
  <c r="E121"/>
  <c r="E119"/>
  <c r="E117"/>
  <c r="E113"/>
  <c r="E111"/>
  <c r="E110"/>
  <c r="E108"/>
  <c r="E107"/>
  <c r="E105"/>
  <c r="E102"/>
  <c r="D102" s="1"/>
  <c r="E50"/>
  <c r="E49"/>
  <c r="E48"/>
  <c r="E47"/>
  <c r="E46"/>
  <c r="E45"/>
  <c r="E44"/>
  <c r="E43"/>
  <c r="E42"/>
  <c r="E41"/>
  <c r="E40"/>
  <c r="E39"/>
  <c r="E35"/>
  <c r="E33"/>
  <c r="E31"/>
  <c r="E29"/>
  <c r="E27"/>
  <c r="E25"/>
  <c r="E10"/>
  <c r="E9"/>
  <c r="E98" i="25"/>
  <c r="E97"/>
  <c r="E96"/>
  <c r="E95"/>
  <c r="E94"/>
  <c r="E93"/>
  <c r="E92"/>
  <c r="E91"/>
  <c r="E90"/>
  <c r="E89"/>
  <c r="E88"/>
  <c r="E87"/>
  <c r="E80"/>
  <c r="E79"/>
  <c r="E78"/>
  <c r="E77"/>
  <c r="E76"/>
  <c r="E75"/>
  <c r="E74"/>
  <c r="E73"/>
  <c r="E72"/>
  <c r="E50"/>
  <c r="E49"/>
  <c r="E48"/>
  <c r="E47"/>
  <c r="E46"/>
  <c r="E45"/>
  <c r="E44"/>
  <c r="E43"/>
  <c r="E42"/>
  <c r="E41"/>
  <c r="E40"/>
  <c r="E39"/>
  <c r="E128" i="24"/>
  <c r="E123"/>
  <c r="E118"/>
  <c r="E109"/>
  <c r="E103"/>
  <c r="E94"/>
  <c r="E92"/>
  <c r="E89"/>
  <c r="E87"/>
  <c r="E85"/>
  <c r="E80"/>
  <c r="E78"/>
  <c r="E76"/>
  <c r="E74"/>
  <c r="E72"/>
  <c r="E70"/>
  <c r="E65"/>
  <c r="E63"/>
  <c r="E60"/>
  <c r="E58"/>
  <c r="E56"/>
  <c r="E54"/>
  <c r="E32"/>
  <c r="E28"/>
  <c r="E24"/>
  <c r="E19"/>
  <c r="E17"/>
  <c r="E15"/>
  <c r="E13"/>
  <c r="E11"/>
  <c r="E111" i="25"/>
  <c r="E109"/>
  <c r="E107"/>
  <c r="E105"/>
  <c r="E103"/>
  <c r="E83"/>
  <c r="E81"/>
  <c r="E67"/>
  <c r="E65"/>
  <c r="E63"/>
  <c r="E61"/>
  <c r="E59"/>
  <c r="E58"/>
  <c r="E35"/>
  <c r="E33"/>
  <c r="E31"/>
  <c r="E29"/>
  <c r="E27"/>
  <c r="E26"/>
  <c r="E24"/>
  <c r="E19"/>
  <c r="E17"/>
  <c r="E15"/>
  <c r="E13"/>
  <c r="E11"/>
  <c r="E9"/>
  <c r="B30" i="7"/>
  <c r="B29"/>
  <c r="T24"/>
  <c r="O23"/>
  <c r="M23"/>
  <c r="J23"/>
  <c r="H23"/>
  <c r="E23"/>
  <c r="C23"/>
  <c r="O22"/>
  <c r="M22"/>
  <c r="J22"/>
  <c r="H22"/>
  <c r="E22"/>
  <c r="C22"/>
  <c r="R21"/>
  <c r="O21"/>
  <c r="M21"/>
  <c r="J21"/>
  <c r="H21"/>
  <c r="E21"/>
  <c r="C21"/>
  <c r="T20"/>
  <c r="O20"/>
  <c r="M20"/>
  <c r="J20"/>
  <c r="H20"/>
  <c r="E20"/>
  <c r="C20"/>
  <c r="T19"/>
  <c r="O19"/>
  <c r="M19"/>
  <c r="J19"/>
  <c r="H19"/>
  <c r="E19"/>
  <c r="C19"/>
  <c r="T18"/>
  <c r="O18"/>
  <c r="M18"/>
  <c r="J18"/>
  <c r="H18"/>
  <c r="E18"/>
  <c r="C18"/>
  <c r="O17"/>
  <c r="M17"/>
  <c r="J17"/>
  <c r="H17"/>
  <c r="E17"/>
  <c r="C17"/>
  <c r="O16"/>
  <c r="M16"/>
  <c r="J16"/>
  <c r="H16"/>
  <c r="E16"/>
  <c r="C16"/>
  <c r="O15"/>
  <c r="M15"/>
  <c r="J15"/>
  <c r="H15"/>
  <c r="E15"/>
  <c r="C15"/>
  <c r="O14"/>
  <c r="M14"/>
  <c r="J14"/>
  <c r="H14"/>
  <c r="E14"/>
  <c r="C14"/>
  <c r="O13"/>
  <c r="M13"/>
  <c r="J13"/>
  <c r="H13"/>
  <c r="E13"/>
  <c r="C13"/>
  <c r="T12"/>
  <c r="O12"/>
  <c r="M12"/>
  <c r="J12"/>
  <c r="H12"/>
  <c r="E12"/>
  <c r="C12"/>
  <c r="T11"/>
  <c r="O11"/>
  <c r="M11"/>
  <c r="J11"/>
  <c r="H11"/>
  <c r="E11"/>
  <c r="C11"/>
  <c r="T10"/>
  <c r="O10"/>
  <c r="M10"/>
  <c r="J10"/>
  <c r="H10"/>
  <c r="E10"/>
  <c r="C10"/>
  <c r="T9"/>
  <c r="O9"/>
  <c r="M9"/>
  <c r="J9"/>
  <c r="H9"/>
  <c r="E9"/>
  <c r="C9"/>
  <c r="O8"/>
  <c r="M8"/>
  <c r="J8"/>
  <c r="H8"/>
  <c r="E8"/>
  <c r="C8"/>
  <c r="O7"/>
  <c r="M7"/>
  <c r="J7"/>
  <c r="H7"/>
  <c r="E7"/>
  <c r="C7"/>
  <c r="O6"/>
  <c r="M6"/>
  <c r="J6"/>
  <c r="H6"/>
  <c r="E6"/>
  <c r="C6"/>
  <c r="B30" i="28"/>
  <c r="B29"/>
  <c r="T24"/>
  <c r="O23"/>
  <c r="M23"/>
  <c r="J23"/>
  <c r="H23"/>
  <c r="E23"/>
  <c r="C23"/>
  <c r="O22"/>
  <c r="M22"/>
  <c r="J22"/>
  <c r="H22"/>
  <c r="E22"/>
  <c r="C22"/>
  <c r="R21"/>
  <c r="O21"/>
  <c r="M21"/>
  <c r="J21"/>
  <c r="H21"/>
  <c r="E21"/>
  <c r="C21"/>
  <c r="T20"/>
  <c r="O20"/>
  <c r="M20"/>
  <c r="J20"/>
  <c r="H20"/>
  <c r="E20"/>
  <c r="C20"/>
  <c r="T19"/>
  <c r="O19"/>
  <c r="M19"/>
  <c r="J19"/>
  <c r="H19"/>
  <c r="E19"/>
  <c r="C19"/>
  <c r="T18"/>
  <c r="O18"/>
  <c r="M18"/>
  <c r="J18"/>
  <c r="H18"/>
  <c r="E18"/>
  <c r="C18"/>
  <c r="O17"/>
  <c r="M17"/>
  <c r="J17"/>
  <c r="H17"/>
  <c r="E17"/>
  <c r="C17"/>
  <c r="O16"/>
  <c r="M16"/>
  <c r="J16"/>
  <c r="H16"/>
  <c r="E16"/>
  <c r="C16"/>
  <c r="O15"/>
  <c r="M15"/>
  <c r="J15"/>
  <c r="H15"/>
  <c r="E15"/>
  <c r="C15"/>
  <c r="O14"/>
  <c r="M14"/>
  <c r="J14"/>
  <c r="H14"/>
  <c r="E14"/>
  <c r="C14"/>
  <c r="T23" l="1"/>
  <c r="B31"/>
  <c r="B31" i="7"/>
  <c r="J38" s="1"/>
  <c r="J37" s="1"/>
  <c r="J36" s="1"/>
  <c r="O24"/>
  <c r="M24" s="1"/>
  <c r="O13" i="28"/>
  <c r="M13"/>
  <c r="J13"/>
  <c r="H13"/>
  <c r="E13"/>
  <c r="C13"/>
  <c r="T12"/>
  <c r="O12"/>
  <c r="M12"/>
  <c r="J12"/>
  <c r="H12"/>
  <c r="E12"/>
  <c r="C12"/>
  <c r="T11"/>
  <c r="O11"/>
  <c r="M11"/>
  <c r="J11"/>
  <c r="H11"/>
  <c r="E11"/>
  <c r="C11"/>
  <c r="T10"/>
  <c r="O10"/>
  <c r="M10"/>
  <c r="J10"/>
  <c r="H10"/>
  <c r="E10"/>
  <c r="C10"/>
  <c r="T9"/>
  <c r="O9"/>
  <c r="M9"/>
  <c r="J9"/>
  <c r="H9"/>
  <c r="E9"/>
  <c r="C9"/>
  <c r="J24" i="7" l="1"/>
  <c r="H24" s="1"/>
  <c r="O27"/>
  <c r="T7" s="1"/>
  <c r="O8" i="28"/>
  <c r="M8"/>
  <c r="J8"/>
  <c r="H8"/>
  <c r="E8"/>
  <c r="C8"/>
  <c r="O7"/>
  <c r="M7"/>
  <c r="J7"/>
  <c r="H7"/>
  <c r="E7"/>
  <c r="C7"/>
  <c r="O6"/>
  <c r="M6"/>
  <c r="J6"/>
  <c r="H6"/>
  <c r="E6"/>
  <c r="C6"/>
  <c r="P477" i="27"/>
  <c r="O477"/>
  <c r="N477"/>
  <c r="M477"/>
  <c r="L477"/>
  <c r="K477"/>
  <c r="P476"/>
  <c r="O476"/>
  <c r="N476"/>
  <c r="M476"/>
  <c r="L476"/>
  <c r="K476"/>
  <c r="P295"/>
  <c r="O295"/>
  <c r="N295"/>
  <c r="M295"/>
  <c r="L295"/>
  <c r="K295"/>
  <c r="P309"/>
  <c r="O309"/>
  <c r="N309"/>
  <c r="M309"/>
  <c r="L309"/>
  <c r="K309"/>
  <c r="P464"/>
  <c r="O464"/>
  <c r="N464"/>
  <c r="M464"/>
  <c r="L464"/>
  <c r="K464"/>
  <c r="P509"/>
  <c r="O509"/>
  <c r="N509"/>
  <c r="M509"/>
  <c r="L509"/>
  <c r="K509"/>
  <c r="P507"/>
  <c r="O507"/>
  <c r="N507"/>
  <c r="M507"/>
  <c r="L507"/>
  <c r="K507"/>
  <c r="P505"/>
  <c r="O505"/>
  <c r="N505"/>
  <c r="M505"/>
  <c r="L505"/>
  <c r="K505"/>
  <c r="P106"/>
  <c r="O106"/>
  <c r="N106"/>
  <c r="M106"/>
  <c r="L106"/>
  <c r="K106"/>
  <c r="P372"/>
  <c r="O372"/>
  <c r="N372"/>
  <c r="M372"/>
  <c r="L372"/>
  <c r="K372"/>
  <c r="P503"/>
  <c r="O503"/>
  <c r="N503"/>
  <c r="M503"/>
  <c r="L503"/>
  <c r="K503"/>
  <c r="P502"/>
  <c r="O502"/>
  <c r="N502"/>
  <c r="M502"/>
  <c r="L502"/>
  <c r="K502"/>
  <c r="P501"/>
  <c r="O501"/>
  <c r="N501"/>
  <c r="M501"/>
  <c r="L501"/>
  <c r="K501"/>
  <c r="P499"/>
  <c r="O499"/>
  <c r="N499"/>
  <c r="M499"/>
  <c r="L499"/>
  <c r="K499"/>
  <c r="P498"/>
  <c r="O498"/>
  <c r="N498"/>
  <c r="M498"/>
  <c r="L498"/>
  <c r="K498"/>
  <c r="P497"/>
  <c r="O497"/>
  <c r="N497"/>
  <c r="M497"/>
  <c r="L497"/>
  <c r="K497"/>
  <c r="P496"/>
  <c r="O496"/>
  <c r="N496"/>
  <c r="M496"/>
  <c r="L496"/>
  <c r="K496"/>
  <c r="P495"/>
  <c r="O495"/>
  <c r="N495"/>
  <c r="M495"/>
  <c r="L495"/>
  <c r="K495"/>
  <c r="P493"/>
  <c r="O493"/>
  <c r="N493"/>
  <c r="M493"/>
  <c r="L493"/>
  <c r="K493"/>
  <c r="P492"/>
  <c r="O492"/>
  <c r="N492"/>
  <c r="M492"/>
  <c r="L492"/>
  <c r="K492"/>
  <c r="P491"/>
  <c r="O491"/>
  <c r="N491"/>
  <c r="M491"/>
  <c r="L491"/>
  <c r="K491"/>
  <c r="P490"/>
  <c r="O490"/>
  <c r="N490"/>
  <c r="M490"/>
  <c r="L490"/>
  <c r="K490"/>
  <c r="P489"/>
  <c r="O489"/>
  <c r="N489"/>
  <c r="M489"/>
  <c r="L489"/>
  <c r="K489"/>
  <c r="P488"/>
  <c r="O488"/>
  <c r="N488"/>
  <c r="M488"/>
  <c r="L488"/>
  <c r="K488"/>
  <c r="P486"/>
  <c r="O486"/>
  <c r="N486"/>
  <c r="M486"/>
  <c r="L486"/>
  <c r="K486"/>
  <c r="P485"/>
  <c r="O485"/>
  <c r="N485"/>
  <c r="M485"/>
  <c r="L485"/>
  <c r="K485"/>
  <c r="P483"/>
  <c r="O483"/>
  <c r="N483"/>
  <c r="M483"/>
  <c r="L483"/>
  <c r="K483"/>
  <c r="P482"/>
  <c r="O482"/>
  <c r="N482"/>
  <c r="M482"/>
  <c r="L482"/>
  <c r="K482"/>
  <c r="P481"/>
  <c r="O481"/>
  <c r="N481"/>
  <c r="M481"/>
  <c r="L481"/>
  <c r="K481"/>
  <c r="P480"/>
  <c r="O480"/>
  <c r="N480"/>
  <c r="M480"/>
  <c r="L480"/>
  <c r="K480"/>
  <c r="P440"/>
  <c r="O440"/>
  <c r="N440"/>
  <c r="M440"/>
  <c r="L440"/>
  <c r="K440"/>
  <c r="P426"/>
  <c r="O426"/>
  <c r="N426"/>
  <c r="M426"/>
  <c r="L426"/>
  <c r="K426"/>
  <c r="P475"/>
  <c r="O475"/>
  <c r="N475"/>
  <c r="M475"/>
  <c r="L475"/>
  <c r="K475"/>
  <c r="P474"/>
  <c r="O474"/>
  <c r="N474"/>
  <c r="M474"/>
  <c r="L474"/>
  <c r="K474"/>
  <c r="P473"/>
  <c r="O473"/>
  <c r="N473"/>
  <c r="M473"/>
  <c r="L473"/>
  <c r="K473"/>
  <c r="P472"/>
  <c r="O472"/>
  <c r="N472"/>
  <c r="M472"/>
  <c r="L472"/>
  <c r="K472"/>
  <c r="P471"/>
  <c r="O471"/>
  <c r="N471"/>
  <c r="M471"/>
  <c r="L471"/>
  <c r="K471"/>
  <c r="P470"/>
  <c r="O470"/>
  <c r="N470"/>
  <c r="M470"/>
  <c r="L470"/>
  <c r="K470"/>
  <c r="P469"/>
  <c r="O469"/>
  <c r="N469"/>
  <c r="M469"/>
  <c r="L469"/>
  <c r="K469"/>
  <c r="P468"/>
  <c r="O468"/>
  <c r="N468"/>
  <c r="M468"/>
  <c r="L468"/>
  <c r="K468"/>
  <c r="P467"/>
  <c r="O467"/>
  <c r="N467"/>
  <c r="M467"/>
  <c r="L467"/>
  <c r="K467"/>
  <c r="P466"/>
  <c r="O466"/>
  <c r="N466"/>
  <c r="M466"/>
  <c r="L466"/>
  <c r="K466"/>
  <c r="P465"/>
  <c r="O465"/>
  <c r="N465"/>
  <c r="M465"/>
  <c r="L465"/>
  <c r="K465"/>
  <c r="P463"/>
  <c r="O463"/>
  <c r="N463"/>
  <c r="M463"/>
  <c r="L463"/>
  <c r="K463"/>
  <c r="P462"/>
  <c r="O462"/>
  <c r="N462"/>
  <c r="M462"/>
  <c r="L462"/>
  <c r="K462"/>
  <c r="P92"/>
  <c r="O92"/>
  <c r="N92"/>
  <c r="M92"/>
  <c r="L92"/>
  <c r="K92"/>
  <c r="P461"/>
  <c r="O461"/>
  <c r="N461"/>
  <c r="M461"/>
  <c r="L461"/>
  <c r="K461"/>
  <c r="P460"/>
  <c r="O460"/>
  <c r="N460"/>
  <c r="M460"/>
  <c r="L460"/>
  <c r="K460"/>
  <c r="P459"/>
  <c r="O459"/>
  <c r="N459"/>
  <c r="M459"/>
  <c r="L459"/>
  <c r="K459"/>
  <c r="P458"/>
  <c r="O458"/>
  <c r="N458"/>
  <c r="M458"/>
  <c r="L458"/>
  <c r="K458"/>
  <c r="P457"/>
  <c r="O457"/>
  <c r="N457"/>
  <c r="M457"/>
  <c r="L457"/>
  <c r="K457"/>
  <c r="P456"/>
  <c r="O456"/>
  <c r="N456"/>
  <c r="M456"/>
  <c r="L456"/>
  <c r="K456"/>
  <c r="P454"/>
  <c r="O454"/>
  <c r="N454"/>
  <c r="M454"/>
  <c r="L454"/>
  <c r="K454"/>
  <c r="P453"/>
  <c r="O453"/>
  <c r="N453"/>
  <c r="M453"/>
  <c r="L453"/>
  <c r="K453"/>
  <c r="P452"/>
  <c r="O452"/>
  <c r="N452"/>
  <c r="M452"/>
  <c r="L452"/>
  <c r="K452"/>
  <c r="P451"/>
  <c r="O451"/>
  <c r="N451"/>
  <c r="M451"/>
  <c r="L451"/>
  <c r="K451"/>
  <c r="P438"/>
  <c r="O438"/>
  <c r="N438"/>
  <c r="M438"/>
  <c r="L438"/>
  <c r="K438"/>
  <c r="P449"/>
  <c r="O449"/>
  <c r="N449"/>
  <c r="M449"/>
  <c r="L449"/>
  <c r="K449"/>
  <c r="P447"/>
  <c r="O447"/>
  <c r="N447"/>
  <c r="M447"/>
  <c r="L447"/>
  <c r="K447"/>
  <c r="P446"/>
  <c r="O446"/>
  <c r="N446"/>
  <c r="M446"/>
  <c r="L446"/>
  <c r="K446"/>
  <c r="P443"/>
  <c r="O443"/>
  <c r="N443"/>
  <c r="M443"/>
  <c r="L443"/>
  <c r="K443"/>
  <c r="P442"/>
  <c r="O442"/>
  <c r="N442"/>
  <c r="M442"/>
  <c r="L442"/>
  <c r="K442"/>
  <c r="P441"/>
  <c r="O441"/>
  <c r="N441"/>
  <c r="M441"/>
  <c r="L441"/>
  <c r="K441"/>
  <c r="P450"/>
  <c r="O450"/>
  <c r="N450"/>
  <c r="M450"/>
  <c r="L450"/>
  <c r="K450"/>
  <c r="P439"/>
  <c r="O439"/>
  <c r="N439"/>
  <c r="M439"/>
  <c r="L439"/>
  <c r="K439"/>
  <c r="P437"/>
  <c r="O437"/>
  <c r="N437"/>
  <c r="M437"/>
  <c r="L437"/>
  <c r="K437"/>
  <c r="P67"/>
  <c r="O67"/>
  <c r="N67"/>
  <c r="M67"/>
  <c r="L67"/>
  <c r="K67"/>
  <c r="P436"/>
  <c r="O436"/>
  <c r="N436"/>
  <c r="M436"/>
  <c r="L436"/>
  <c r="K436"/>
  <c r="P435"/>
  <c r="O435"/>
  <c r="N435"/>
  <c r="M435"/>
  <c r="L435"/>
  <c r="K435"/>
  <c r="P434"/>
  <c r="O434"/>
  <c r="N434"/>
  <c r="M434"/>
  <c r="L434"/>
  <c r="K434"/>
  <c r="P433"/>
  <c r="O433"/>
  <c r="N433"/>
  <c r="M433"/>
  <c r="L433"/>
  <c r="K433"/>
  <c r="P432"/>
  <c r="O432"/>
  <c r="N432"/>
  <c r="M432"/>
  <c r="L432"/>
  <c r="K432"/>
  <c r="P431"/>
  <c r="O431"/>
  <c r="N431"/>
  <c r="M431"/>
  <c r="L431"/>
  <c r="K431"/>
  <c r="P430"/>
  <c r="O430"/>
  <c r="N430"/>
  <c r="M430"/>
  <c r="L430"/>
  <c r="K430"/>
  <c r="P429"/>
  <c r="O429"/>
  <c r="N429"/>
  <c r="M429"/>
  <c r="L429"/>
  <c r="K429"/>
  <c r="P428"/>
  <c r="O428"/>
  <c r="N428"/>
  <c r="M428"/>
  <c r="L428"/>
  <c r="K428"/>
  <c r="P427"/>
  <c r="O427"/>
  <c r="N427"/>
  <c r="M427"/>
  <c r="L427"/>
  <c r="K427"/>
  <c r="P340"/>
  <c r="O340"/>
  <c r="N340"/>
  <c r="M340"/>
  <c r="L340"/>
  <c r="K340"/>
  <c r="P484"/>
  <c r="O484"/>
  <c r="N484"/>
  <c r="M484"/>
  <c r="L484"/>
  <c r="K484"/>
  <c r="P424"/>
  <c r="O424"/>
  <c r="N424"/>
  <c r="M424"/>
  <c r="L424"/>
  <c r="K424"/>
  <c r="P423"/>
  <c r="O423"/>
  <c r="N423"/>
  <c r="M423"/>
  <c r="L423"/>
  <c r="K423"/>
  <c r="P422"/>
  <c r="O422"/>
  <c r="N422"/>
  <c r="M422"/>
  <c r="L422"/>
  <c r="K422"/>
  <c r="P487"/>
  <c r="O487"/>
  <c r="N487"/>
  <c r="M487"/>
  <c r="L487"/>
  <c r="K487"/>
  <c r="P419"/>
  <c r="O419"/>
  <c r="N419"/>
  <c r="M419"/>
  <c r="L419"/>
  <c r="K419"/>
  <c r="P418"/>
  <c r="O418"/>
  <c r="N418"/>
  <c r="M418"/>
  <c r="K418"/>
  <c r="P500"/>
  <c r="O500"/>
  <c r="N500"/>
  <c r="M500"/>
  <c r="L500"/>
  <c r="K500"/>
  <c r="P417"/>
  <c r="O417"/>
  <c r="N417"/>
  <c r="M417"/>
  <c r="L417"/>
  <c r="K417"/>
  <c r="P416"/>
  <c r="O416"/>
  <c r="N416"/>
  <c r="M416"/>
  <c r="L416"/>
  <c r="K416"/>
  <c r="P415"/>
  <c r="O415"/>
  <c r="N415"/>
  <c r="M415"/>
  <c r="L415"/>
  <c r="K415"/>
  <c r="P414"/>
  <c r="O414"/>
  <c r="N414"/>
  <c r="M414"/>
  <c r="L414"/>
  <c r="K414"/>
  <c r="P413"/>
  <c r="O413"/>
  <c r="N413"/>
  <c r="M413"/>
  <c r="L413"/>
  <c r="K413"/>
  <c r="P412"/>
  <c r="O412"/>
  <c r="N412"/>
  <c r="M412"/>
  <c r="L412"/>
  <c r="K412"/>
  <c r="P410"/>
  <c r="O410"/>
  <c r="N410"/>
  <c r="M410"/>
  <c r="L410"/>
  <c r="K410"/>
  <c r="P409"/>
  <c r="O409"/>
  <c r="N409"/>
  <c r="M409"/>
  <c r="L409"/>
  <c r="K409"/>
  <c r="P408"/>
  <c r="O408"/>
  <c r="N408"/>
  <c r="M408"/>
  <c r="L408"/>
  <c r="K408"/>
  <c r="P407"/>
  <c r="O407"/>
  <c r="N407"/>
  <c r="M407"/>
  <c r="L407"/>
  <c r="K407"/>
  <c r="P406"/>
  <c r="O406"/>
  <c r="N406"/>
  <c r="M406"/>
  <c r="L406"/>
  <c r="K406"/>
  <c r="P405"/>
  <c r="O405"/>
  <c r="N405"/>
  <c r="M405"/>
  <c r="L405"/>
  <c r="K405"/>
  <c r="P403"/>
  <c r="O403"/>
  <c r="N403"/>
  <c r="M403"/>
  <c r="L403"/>
  <c r="K403"/>
  <c r="P402"/>
  <c r="O402"/>
  <c r="N402"/>
  <c r="M402"/>
  <c r="L402"/>
  <c r="K402"/>
  <c r="P376"/>
  <c r="O376"/>
  <c r="N376"/>
  <c r="M376"/>
  <c r="L376"/>
  <c r="K376"/>
  <c r="P401"/>
  <c r="O401"/>
  <c r="N401"/>
  <c r="M401"/>
  <c r="L401"/>
  <c r="K401"/>
  <c r="P400"/>
  <c r="O400"/>
  <c r="N400"/>
  <c r="M400"/>
  <c r="L400"/>
  <c r="K400"/>
  <c r="P399"/>
  <c r="O399"/>
  <c r="N399"/>
  <c r="M399"/>
  <c r="L399"/>
  <c r="K399"/>
  <c r="P398"/>
  <c r="O398"/>
  <c r="N398"/>
  <c r="M398"/>
  <c r="L398"/>
  <c r="K398"/>
  <c r="P397"/>
  <c r="O397"/>
  <c r="N397"/>
  <c r="M397"/>
  <c r="L397"/>
  <c r="K397"/>
  <c r="P396"/>
  <c r="O396"/>
  <c r="N396"/>
  <c r="M396"/>
  <c r="L396"/>
  <c r="K396"/>
  <c r="P404"/>
  <c r="O404"/>
  <c r="N404"/>
  <c r="M404"/>
  <c r="L404"/>
  <c r="K404"/>
  <c r="P395"/>
  <c r="O395"/>
  <c r="N395"/>
  <c r="M395"/>
  <c r="L395"/>
  <c r="K395"/>
  <c r="P338"/>
  <c r="O338"/>
  <c r="N338"/>
  <c r="M338"/>
  <c r="L338"/>
  <c r="K338"/>
  <c r="P391"/>
  <c r="O391"/>
  <c r="N391"/>
  <c r="M391"/>
  <c r="L391"/>
  <c r="K391"/>
  <c r="P390"/>
  <c r="O390"/>
  <c r="N390"/>
  <c r="M390"/>
  <c r="L390"/>
  <c r="K390"/>
  <c r="P389"/>
  <c r="O389"/>
  <c r="N389"/>
  <c r="M389"/>
  <c r="L389"/>
  <c r="K389"/>
  <c r="P388"/>
  <c r="O388"/>
  <c r="N388"/>
  <c r="M388"/>
  <c r="L388"/>
  <c r="K388"/>
  <c r="P387"/>
  <c r="O387"/>
  <c r="N387"/>
  <c r="M387"/>
  <c r="L387"/>
  <c r="K387"/>
  <c r="P386"/>
  <c r="O386"/>
  <c r="N386"/>
  <c r="M386"/>
  <c r="L386"/>
  <c r="K386"/>
  <c r="P385"/>
  <c r="O385"/>
  <c r="N385"/>
  <c r="M385"/>
  <c r="L385"/>
  <c r="K385"/>
  <c r="P384"/>
  <c r="O384"/>
  <c r="N384"/>
  <c r="M384"/>
  <c r="L384"/>
  <c r="K384"/>
  <c r="P383"/>
  <c r="O383"/>
  <c r="N383"/>
  <c r="M383"/>
  <c r="L383"/>
  <c r="K383"/>
  <c r="P382"/>
  <c r="O382"/>
  <c r="N382"/>
  <c r="M382"/>
  <c r="L382"/>
  <c r="K382"/>
  <c r="P381"/>
  <c r="O381"/>
  <c r="N381"/>
  <c r="M381"/>
  <c r="L381"/>
  <c r="K381"/>
  <c r="P380"/>
  <c r="O380"/>
  <c r="N380"/>
  <c r="M380"/>
  <c r="L380"/>
  <c r="K380"/>
  <c r="P379"/>
  <c r="O379"/>
  <c r="N379"/>
  <c r="M379"/>
  <c r="L379"/>
  <c r="K379"/>
  <c r="P378"/>
  <c r="O378"/>
  <c r="N378"/>
  <c r="M378"/>
  <c r="L378"/>
  <c r="K378"/>
  <c r="P377"/>
  <c r="O377"/>
  <c r="N377"/>
  <c r="M377"/>
  <c r="L377"/>
  <c r="K377"/>
  <c r="P375"/>
  <c r="O375"/>
  <c r="N375"/>
  <c r="M375"/>
  <c r="L375"/>
  <c r="K375"/>
  <c r="P425"/>
  <c r="O425"/>
  <c r="N425"/>
  <c r="M425"/>
  <c r="L425"/>
  <c r="K425"/>
  <c r="P411"/>
  <c r="O411"/>
  <c r="N411"/>
  <c r="M411"/>
  <c r="L411"/>
  <c r="K411"/>
  <c r="P373"/>
  <c r="O373"/>
  <c r="N373"/>
  <c r="M373"/>
  <c r="L373"/>
  <c r="K373"/>
  <c r="P371"/>
  <c r="O371"/>
  <c r="N371"/>
  <c r="M371"/>
  <c r="L371"/>
  <c r="K371"/>
  <c r="P357"/>
  <c r="O357"/>
  <c r="N357"/>
  <c r="M357"/>
  <c r="L357"/>
  <c r="K357"/>
  <c r="P370"/>
  <c r="O370"/>
  <c r="N370"/>
  <c r="M370"/>
  <c r="L370"/>
  <c r="K370"/>
  <c r="P369"/>
  <c r="O369"/>
  <c r="N369"/>
  <c r="M369"/>
  <c r="L369"/>
  <c r="K369"/>
  <c r="P368"/>
  <c r="O368"/>
  <c r="N368"/>
  <c r="M368"/>
  <c r="L368"/>
  <c r="K368"/>
  <c r="P367"/>
  <c r="O367"/>
  <c r="N367"/>
  <c r="M367"/>
  <c r="L367"/>
  <c r="K367"/>
  <c r="P366"/>
  <c r="O366"/>
  <c r="N366"/>
  <c r="M366"/>
  <c r="L366"/>
  <c r="K366"/>
  <c r="P364"/>
  <c r="O364"/>
  <c r="N364"/>
  <c r="M364"/>
  <c r="L364"/>
  <c r="K364"/>
  <c r="P363"/>
  <c r="O363"/>
  <c r="N363"/>
  <c r="M363"/>
  <c r="L363"/>
  <c r="K363"/>
  <c r="P448"/>
  <c r="O448"/>
  <c r="N448"/>
  <c r="M448"/>
  <c r="L448"/>
  <c r="K448"/>
  <c r="P354"/>
  <c r="O354"/>
  <c r="N354"/>
  <c r="M354"/>
  <c r="L354"/>
  <c r="K354"/>
  <c r="P353"/>
  <c r="O353"/>
  <c r="N353"/>
  <c r="M353"/>
  <c r="L353"/>
  <c r="K353"/>
  <c r="P352"/>
  <c r="O352"/>
  <c r="N352"/>
  <c r="M352"/>
  <c r="L352"/>
  <c r="K352"/>
  <c r="P351"/>
  <c r="O351"/>
  <c r="N351"/>
  <c r="M351"/>
  <c r="L351"/>
  <c r="K351"/>
  <c r="P349"/>
  <c r="O349"/>
  <c r="N349"/>
  <c r="M349"/>
  <c r="L349"/>
  <c r="K349"/>
  <c r="P348"/>
  <c r="O348"/>
  <c r="N348"/>
  <c r="M348"/>
  <c r="L348"/>
  <c r="K348"/>
  <c r="P347"/>
  <c r="O347"/>
  <c r="N347"/>
  <c r="M347"/>
  <c r="L347"/>
  <c r="K347"/>
  <c r="P346"/>
  <c r="O346"/>
  <c r="N346"/>
  <c r="M346"/>
  <c r="L346"/>
  <c r="K346"/>
  <c r="P344"/>
  <c r="O344"/>
  <c r="N344"/>
  <c r="M344"/>
  <c r="L344"/>
  <c r="K344"/>
  <c r="P342"/>
  <c r="O342"/>
  <c r="N342"/>
  <c r="M342"/>
  <c r="L342"/>
  <c r="K342"/>
  <c r="P341"/>
  <c r="O341"/>
  <c r="N341"/>
  <c r="M341"/>
  <c r="L341"/>
  <c r="K341"/>
  <c r="P339"/>
  <c r="O339"/>
  <c r="N339"/>
  <c r="M339"/>
  <c r="L339"/>
  <c r="K339"/>
  <c r="P337"/>
  <c r="O337"/>
  <c r="N337"/>
  <c r="M337"/>
  <c r="L337"/>
  <c r="K337"/>
  <c r="P335"/>
  <c r="O335"/>
  <c r="N335"/>
  <c r="M335"/>
  <c r="L335"/>
  <c r="K335"/>
  <c r="P332"/>
  <c r="O332"/>
  <c r="N332"/>
  <c r="M332"/>
  <c r="L332"/>
  <c r="K332"/>
  <c r="P331"/>
  <c r="O331"/>
  <c r="N331"/>
  <c r="M331"/>
  <c r="L331"/>
  <c r="K331"/>
  <c r="P330"/>
  <c r="O330"/>
  <c r="N330"/>
  <c r="M330"/>
  <c r="L330"/>
  <c r="K330"/>
  <c r="P329"/>
  <c r="O329"/>
  <c r="N329"/>
  <c r="M329"/>
  <c r="L329"/>
  <c r="K329"/>
  <c r="P328"/>
  <c r="O328"/>
  <c r="N328"/>
  <c r="M328"/>
  <c r="L328"/>
  <c r="K328"/>
  <c r="P71"/>
  <c r="O71"/>
  <c r="N71"/>
  <c r="M71"/>
  <c r="L71"/>
  <c r="K71"/>
  <c r="P326"/>
  <c r="O326"/>
  <c r="N326"/>
  <c r="M326"/>
  <c r="L326"/>
  <c r="K326"/>
  <c r="P323"/>
  <c r="O323"/>
  <c r="N323"/>
  <c r="M323"/>
  <c r="L323"/>
  <c r="K323"/>
  <c r="P374"/>
  <c r="O374"/>
  <c r="N374"/>
  <c r="M374"/>
  <c r="L374"/>
  <c r="K374"/>
  <c r="P88"/>
  <c r="O88"/>
  <c r="N88"/>
  <c r="M88"/>
  <c r="L88"/>
  <c r="K88"/>
  <c r="P22"/>
  <c r="O22"/>
  <c r="N22"/>
  <c r="M22"/>
  <c r="L22"/>
  <c r="K22"/>
  <c r="P319"/>
  <c r="O319"/>
  <c r="N319"/>
  <c r="M319"/>
  <c r="P317"/>
  <c r="O317"/>
  <c r="N317"/>
  <c r="M317"/>
  <c r="K317"/>
  <c r="P316"/>
  <c r="O316"/>
  <c r="N316"/>
  <c r="M316"/>
  <c r="L316"/>
  <c r="K316"/>
  <c r="P315"/>
  <c r="O315"/>
  <c r="N315"/>
  <c r="M315"/>
  <c r="L315"/>
  <c r="K315"/>
  <c r="P314"/>
  <c r="O314"/>
  <c r="N314"/>
  <c r="M314"/>
  <c r="L314"/>
  <c r="K314"/>
  <c r="P313"/>
  <c r="O313"/>
  <c r="N313"/>
  <c r="M313"/>
  <c r="L313"/>
  <c r="K313"/>
  <c r="P311"/>
  <c r="O311"/>
  <c r="N311"/>
  <c r="M311"/>
  <c r="L311"/>
  <c r="K311"/>
  <c r="P310"/>
  <c r="O310"/>
  <c r="N310"/>
  <c r="M310"/>
  <c r="L310"/>
  <c r="K310"/>
  <c r="P307"/>
  <c r="O307"/>
  <c r="N307"/>
  <c r="M307"/>
  <c r="L307"/>
  <c r="K307"/>
  <c r="P273"/>
  <c r="O273"/>
  <c r="N273"/>
  <c r="M273"/>
  <c r="L273"/>
  <c r="K273"/>
  <c r="P272"/>
  <c r="O272"/>
  <c r="N272"/>
  <c r="M272"/>
  <c r="L272"/>
  <c r="K272"/>
  <c r="P271"/>
  <c r="O271"/>
  <c r="N271"/>
  <c r="M271"/>
  <c r="L271"/>
  <c r="K271"/>
  <c r="P269"/>
  <c r="O269"/>
  <c r="N269"/>
  <c r="M269"/>
  <c r="L269"/>
  <c r="K269"/>
  <c r="P327"/>
  <c r="O327"/>
  <c r="N327"/>
  <c r="M327"/>
  <c r="L327"/>
  <c r="K327"/>
  <c r="P190"/>
  <c r="O190"/>
  <c r="N190"/>
  <c r="M190"/>
  <c r="L190"/>
  <c r="K190"/>
  <c r="P257"/>
  <c r="O257"/>
  <c r="N257"/>
  <c r="M257"/>
  <c r="L257"/>
  <c r="K257"/>
  <c r="P334"/>
  <c r="O334"/>
  <c r="N334"/>
  <c r="M334"/>
  <c r="L334"/>
  <c r="K334"/>
  <c r="P333"/>
  <c r="O333"/>
  <c r="N333"/>
  <c r="M333"/>
  <c r="L333"/>
  <c r="K333"/>
  <c r="P478"/>
  <c r="O478"/>
  <c r="N478"/>
  <c r="M478"/>
  <c r="L478"/>
  <c r="K478"/>
  <c r="P277"/>
  <c r="O277"/>
  <c r="N277"/>
  <c r="M277"/>
  <c r="L277"/>
  <c r="K277"/>
  <c r="P479"/>
  <c r="O479"/>
  <c r="N479"/>
  <c r="M479"/>
  <c r="L479"/>
  <c r="K479"/>
  <c r="P118"/>
  <c r="O118"/>
  <c r="N118"/>
  <c r="M118"/>
  <c r="L118"/>
  <c r="K118"/>
  <c r="P320"/>
  <c r="O320"/>
  <c r="N320"/>
  <c r="M320"/>
  <c r="K320"/>
  <c r="P276"/>
  <c r="O276"/>
  <c r="N276"/>
  <c r="M276"/>
  <c r="L276"/>
  <c r="K276"/>
  <c r="P336"/>
  <c r="O336"/>
  <c r="N336"/>
  <c r="M336"/>
  <c r="L336"/>
  <c r="K336"/>
  <c r="P394"/>
  <c r="O394"/>
  <c r="N394"/>
  <c r="M394"/>
  <c r="L394"/>
  <c r="K394"/>
  <c r="P393"/>
  <c r="O393"/>
  <c r="N393"/>
  <c r="M393"/>
  <c r="L393"/>
  <c r="K393"/>
  <c r="P392"/>
  <c r="O392"/>
  <c r="N392"/>
  <c r="M392"/>
  <c r="L392"/>
  <c r="K392"/>
  <c r="P275"/>
  <c r="O275"/>
  <c r="N275"/>
  <c r="M275"/>
  <c r="L275"/>
  <c r="K275"/>
  <c r="P293"/>
  <c r="O293"/>
  <c r="N293"/>
  <c r="M293"/>
  <c r="L293"/>
  <c r="K293"/>
  <c r="P292"/>
  <c r="O292"/>
  <c r="N292"/>
  <c r="M292"/>
  <c r="L292"/>
  <c r="K292"/>
  <c r="P291"/>
  <c r="O291"/>
  <c r="N291"/>
  <c r="M291"/>
  <c r="L291"/>
  <c r="K291"/>
  <c r="P289"/>
  <c r="O289"/>
  <c r="N289"/>
  <c r="M289"/>
  <c r="L289"/>
  <c r="K289"/>
  <c r="P506"/>
  <c r="O506"/>
  <c r="N506"/>
  <c r="M506"/>
  <c r="L506"/>
  <c r="K506"/>
  <c r="P288"/>
  <c r="O288"/>
  <c r="N288"/>
  <c r="M288"/>
  <c r="L288"/>
  <c r="K288"/>
  <c r="P287"/>
  <c r="O287"/>
  <c r="N287"/>
  <c r="M287"/>
  <c r="L287"/>
  <c r="K287"/>
  <c r="P286"/>
  <c r="O286"/>
  <c r="N286"/>
  <c r="M286"/>
  <c r="L286"/>
  <c r="K286"/>
  <c r="P284"/>
  <c r="O284"/>
  <c r="N284"/>
  <c r="M284"/>
  <c r="L284"/>
  <c r="K284"/>
  <c r="P86"/>
  <c r="O86"/>
  <c r="N86"/>
  <c r="M86"/>
  <c r="L86"/>
  <c r="K86"/>
  <c r="P283"/>
  <c r="O283"/>
  <c r="N283"/>
  <c r="M283"/>
  <c r="L283"/>
  <c r="K283"/>
  <c r="P268"/>
  <c r="O268"/>
  <c r="N268"/>
  <c r="M268"/>
  <c r="L268"/>
  <c r="K268"/>
  <c r="P267"/>
  <c r="O267"/>
  <c r="N267"/>
  <c r="M267"/>
  <c r="L267"/>
  <c r="K267"/>
  <c r="P266"/>
  <c r="O266"/>
  <c r="N266"/>
  <c r="M266"/>
  <c r="L266"/>
  <c r="K266"/>
  <c r="P325"/>
  <c r="O325"/>
  <c r="N325"/>
  <c r="M325"/>
  <c r="L325"/>
  <c r="K325"/>
  <c r="P318"/>
  <c r="O318"/>
  <c r="N318"/>
  <c r="M318"/>
  <c r="L318"/>
  <c r="K318"/>
  <c r="P259"/>
  <c r="O259"/>
  <c r="N259"/>
  <c r="M259"/>
  <c r="L259"/>
  <c r="K259"/>
  <c r="P258"/>
  <c r="O258"/>
  <c r="N258"/>
  <c r="M258"/>
  <c r="L258"/>
  <c r="K258"/>
  <c r="P256"/>
  <c r="O256"/>
  <c r="N256"/>
  <c r="M256"/>
  <c r="L256"/>
  <c r="K256"/>
  <c r="P255"/>
  <c r="O255"/>
  <c r="N255"/>
  <c r="M255"/>
  <c r="L255"/>
  <c r="K255"/>
  <c r="P322"/>
  <c r="O322"/>
  <c r="N322"/>
  <c r="M322"/>
  <c r="L322"/>
  <c r="K322"/>
  <c r="P290"/>
  <c r="O290"/>
  <c r="N290"/>
  <c r="M290"/>
  <c r="L290"/>
  <c r="K290"/>
  <c r="P176"/>
  <c r="O176"/>
  <c r="N176"/>
  <c r="M176"/>
  <c r="L176"/>
  <c r="K176"/>
  <c r="P175"/>
  <c r="O175"/>
  <c r="N175"/>
  <c r="M175"/>
  <c r="L175"/>
  <c r="K175"/>
  <c r="P174"/>
  <c r="O174"/>
  <c r="N174"/>
  <c r="M174"/>
  <c r="L174"/>
  <c r="K174"/>
  <c r="P173"/>
  <c r="O173"/>
  <c r="N173"/>
  <c r="M173"/>
  <c r="L173"/>
  <c r="K173"/>
  <c r="P253"/>
  <c r="O253"/>
  <c r="N253"/>
  <c r="M253"/>
  <c r="L253"/>
  <c r="K253"/>
  <c r="P252"/>
  <c r="O252"/>
  <c r="N252"/>
  <c r="M252"/>
  <c r="L252"/>
  <c r="K252"/>
  <c r="P251"/>
  <c r="O251"/>
  <c r="N251"/>
  <c r="M251"/>
  <c r="L251"/>
  <c r="K251"/>
  <c r="P250"/>
  <c r="O250"/>
  <c r="N250"/>
  <c r="M250"/>
  <c r="L250"/>
  <c r="K250"/>
  <c r="P249"/>
  <c r="O249"/>
  <c r="N249"/>
  <c r="M249"/>
  <c r="L249"/>
  <c r="K249"/>
  <c r="P247"/>
  <c r="O247"/>
  <c r="N247"/>
  <c r="M247"/>
  <c r="L247"/>
  <c r="K247"/>
  <c r="P246"/>
  <c r="O246"/>
  <c r="N246"/>
  <c r="M246"/>
  <c r="L246"/>
  <c r="K246"/>
  <c r="P245"/>
  <c r="O245"/>
  <c r="N245"/>
  <c r="M245"/>
  <c r="L245"/>
  <c r="K245"/>
  <c r="P195"/>
  <c r="O195"/>
  <c r="N195"/>
  <c r="M195"/>
  <c r="L195"/>
  <c r="K195"/>
  <c r="P244"/>
  <c r="O244"/>
  <c r="N244"/>
  <c r="M244"/>
  <c r="L244"/>
  <c r="K244"/>
  <c r="P243"/>
  <c r="O243"/>
  <c r="N243"/>
  <c r="M243"/>
  <c r="L243"/>
  <c r="K243"/>
  <c r="P242"/>
  <c r="O242"/>
  <c r="N242"/>
  <c r="M242"/>
  <c r="L242"/>
  <c r="K242"/>
  <c r="P241"/>
  <c r="O241"/>
  <c r="N241"/>
  <c r="M241"/>
  <c r="L241"/>
  <c r="K241"/>
  <c r="P240"/>
  <c r="O240"/>
  <c r="N240"/>
  <c r="M240"/>
  <c r="L240"/>
  <c r="K240"/>
  <c r="P239"/>
  <c r="O239"/>
  <c r="N239"/>
  <c r="M239"/>
  <c r="L239"/>
  <c r="K239"/>
  <c r="P238"/>
  <c r="O238"/>
  <c r="N238"/>
  <c r="M238"/>
  <c r="L238"/>
  <c r="K238"/>
  <c r="P237"/>
  <c r="O237"/>
  <c r="N237"/>
  <c r="M237"/>
  <c r="L237"/>
  <c r="K237"/>
  <c r="P236"/>
  <c r="O236"/>
  <c r="N236"/>
  <c r="M236"/>
  <c r="L236"/>
  <c r="K236"/>
  <c r="P235"/>
  <c r="O235"/>
  <c r="N235"/>
  <c r="M235"/>
  <c r="L235"/>
  <c r="K235"/>
  <c r="P234"/>
  <c r="O234"/>
  <c r="N234"/>
  <c r="M234"/>
  <c r="L234"/>
  <c r="K234"/>
  <c r="P233"/>
  <c r="O233"/>
  <c r="N233"/>
  <c r="M233"/>
  <c r="L233"/>
  <c r="K233"/>
  <c r="P232"/>
  <c r="O232"/>
  <c r="N232"/>
  <c r="M232"/>
  <c r="L232"/>
  <c r="K232"/>
  <c r="P231"/>
  <c r="O231"/>
  <c r="N231"/>
  <c r="M231"/>
  <c r="L231"/>
  <c r="K231"/>
  <c r="P230"/>
  <c r="O230"/>
  <c r="N230"/>
  <c r="M230"/>
  <c r="L230"/>
  <c r="K230"/>
  <c r="P229"/>
  <c r="O229"/>
  <c r="N229"/>
  <c r="M229"/>
  <c r="L229"/>
  <c r="K229"/>
  <c r="P228"/>
  <c r="O228"/>
  <c r="N228"/>
  <c r="M228"/>
  <c r="L228"/>
  <c r="K228"/>
  <c r="P227"/>
  <c r="O227"/>
  <c r="N227"/>
  <c r="M227"/>
  <c r="L227"/>
  <c r="K227"/>
  <c r="P226"/>
  <c r="O226"/>
  <c r="N226"/>
  <c r="M226"/>
  <c r="L226"/>
  <c r="K226"/>
  <c r="P225"/>
  <c r="O225"/>
  <c r="N225"/>
  <c r="M225"/>
  <c r="L225"/>
  <c r="K225"/>
  <c r="P254"/>
  <c r="O254"/>
  <c r="N254"/>
  <c r="M254"/>
  <c r="L254"/>
  <c r="K254"/>
  <c r="P248"/>
  <c r="O248"/>
  <c r="N248"/>
  <c r="M248"/>
  <c r="L248"/>
  <c r="K248"/>
  <c r="P210"/>
  <c r="O210"/>
  <c r="N210"/>
  <c r="M210"/>
  <c r="L210"/>
  <c r="K210"/>
  <c r="P209"/>
  <c r="O209"/>
  <c r="N209"/>
  <c r="M209"/>
  <c r="L209"/>
  <c r="K209"/>
  <c r="P218"/>
  <c r="O218"/>
  <c r="N218"/>
  <c r="M218"/>
  <c r="L218"/>
  <c r="K218"/>
  <c r="P217"/>
  <c r="O217"/>
  <c r="N217"/>
  <c r="M217"/>
  <c r="L217"/>
  <c r="K217"/>
  <c r="P216"/>
  <c r="O216"/>
  <c r="N216"/>
  <c r="M216"/>
  <c r="L216"/>
  <c r="K216"/>
  <c r="P215"/>
  <c r="O215"/>
  <c r="N215"/>
  <c r="M215"/>
  <c r="L215"/>
  <c r="K215"/>
  <c r="P214"/>
  <c r="O214"/>
  <c r="N214"/>
  <c r="M214"/>
  <c r="L214"/>
  <c r="K214"/>
  <c r="P213"/>
  <c r="O213"/>
  <c r="N213"/>
  <c r="M213"/>
  <c r="L213"/>
  <c r="K213"/>
  <c r="P212"/>
  <c r="O212"/>
  <c r="N212"/>
  <c r="M212"/>
  <c r="L212"/>
  <c r="K212"/>
  <c r="P211"/>
  <c r="O211"/>
  <c r="N211"/>
  <c r="M211"/>
  <c r="L211"/>
  <c r="K211"/>
  <c r="P208"/>
  <c r="O208"/>
  <c r="N208"/>
  <c r="M208"/>
  <c r="L208"/>
  <c r="K208"/>
  <c r="P297"/>
  <c r="O297"/>
  <c r="N297"/>
  <c r="M297"/>
  <c r="L297"/>
  <c r="K297"/>
  <c r="P206"/>
  <c r="O206"/>
  <c r="N206"/>
  <c r="M206"/>
  <c r="L206"/>
  <c r="K206"/>
  <c r="P205"/>
  <c r="O205"/>
  <c r="N205"/>
  <c r="M205"/>
  <c r="L205"/>
  <c r="K205"/>
  <c r="P204"/>
  <c r="O204"/>
  <c r="N204"/>
  <c r="M204"/>
  <c r="L204"/>
  <c r="K204"/>
  <c r="P203"/>
  <c r="O203"/>
  <c r="N203"/>
  <c r="M203"/>
  <c r="L203"/>
  <c r="K203"/>
  <c r="P202"/>
  <c r="O202"/>
  <c r="N202"/>
  <c r="M202"/>
  <c r="L202"/>
  <c r="K202"/>
  <c r="P201"/>
  <c r="O201"/>
  <c r="N201"/>
  <c r="M201"/>
  <c r="L201"/>
  <c r="K201"/>
  <c r="P200"/>
  <c r="O200"/>
  <c r="N200"/>
  <c r="M200"/>
  <c r="L200"/>
  <c r="K200"/>
  <c r="P199"/>
  <c r="O199"/>
  <c r="N199"/>
  <c r="M199"/>
  <c r="L199"/>
  <c r="K199"/>
  <c r="P198"/>
  <c r="O198"/>
  <c r="N198"/>
  <c r="M198"/>
  <c r="L198"/>
  <c r="K198"/>
  <c r="P197"/>
  <c r="O197"/>
  <c r="N197"/>
  <c r="M197"/>
  <c r="L197"/>
  <c r="K197"/>
  <c r="P196"/>
  <c r="O196"/>
  <c r="N196"/>
  <c r="M196"/>
  <c r="L196"/>
  <c r="K196"/>
  <c r="P194"/>
  <c r="O194"/>
  <c r="N194"/>
  <c r="M194"/>
  <c r="L194"/>
  <c r="K194"/>
  <c r="P193"/>
  <c r="O193"/>
  <c r="N193"/>
  <c r="M193"/>
  <c r="L193"/>
  <c r="K193"/>
  <c r="P192"/>
  <c r="O192"/>
  <c r="N192"/>
  <c r="M192"/>
  <c r="L192"/>
  <c r="K192"/>
  <c r="P191"/>
  <c r="O191"/>
  <c r="N191"/>
  <c r="M191"/>
  <c r="L191"/>
  <c r="K191"/>
  <c r="P189"/>
  <c r="O189"/>
  <c r="N189"/>
  <c r="M189"/>
  <c r="L189"/>
  <c r="K189"/>
  <c r="P68"/>
  <c r="O68"/>
  <c r="N68"/>
  <c r="M68"/>
  <c r="K68"/>
  <c r="P124"/>
  <c r="O124"/>
  <c r="N124"/>
  <c r="M124"/>
  <c r="L124"/>
  <c r="K124"/>
  <c r="P186"/>
  <c r="O186"/>
  <c r="N186"/>
  <c r="M186"/>
  <c r="L186"/>
  <c r="K186"/>
  <c r="P185"/>
  <c r="O185"/>
  <c r="N185"/>
  <c r="M185"/>
  <c r="L185"/>
  <c r="K185"/>
  <c r="P184"/>
  <c r="O184"/>
  <c r="N184"/>
  <c r="M184"/>
  <c r="L184"/>
  <c r="K184"/>
  <c r="P182"/>
  <c r="O182"/>
  <c r="N182"/>
  <c r="M182"/>
  <c r="L182"/>
  <c r="K182"/>
  <c r="P181"/>
  <c r="O181"/>
  <c r="N181"/>
  <c r="M181"/>
  <c r="L181"/>
  <c r="K181"/>
  <c r="P180"/>
  <c r="O180"/>
  <c r="N180"/>
  <c r="M180"/>
  <c r="L180"/>
  <c r="K180"/>
  <c r="P179"/>
  <c r="O179"/>
  <c r="N179"/>
  <c r="M179"/>
  <c r="L179"/>
  <c r="K179"/>
  <c r="P178"/>
  <c r="O178"/>
  <c r="N178"/>
  <c r="M178"/>
  <c r="L178"/>
  <c r="K178"/>
  <c r="P161"/>
  <c r="O161"/>
  <c r="N161"/>
  <c r="M161"/>
  <c r="L161"/>
  <c r="K161"/>
  <c r="P274"/>
  <c r="O274"/>
  <c r="N274"/>
  <c r="M274"/>
  <c r="L274"/>
  <c r="K274"/>
  <c r="P270"/>
  <c r="O270"/>
  <c r="N270"/>
  <c r="M270"/>
  <c r="L270"/>
  <c r="K270"/>
  <c r="P308"/>
  <c r="O308"/>
  <c r="N308"/>
  <c r="M308"/>
  <c r="L308"/>
  <c r="K308"/>
  <c r="P63"/>
  <c r="O63"/>
  <c r="N63"/>
  <c r="M63"/>
  <c r="L63"/>
  <c r="K63"/>
  <c r="P207"/>
  <c r="O207"/>
  <c r="N207"/>
  <c r="M207"/>
  <c r="L207"/>
  <c r="K207"/>
  <c r="P321"/>
  <c r="O321"/>
  <c r="N321"/>
  <c r="M321"/>
  <c r="L321"/>
  <c r="K321"/>
  <c r="P279"/>
  <c r="O279"/>
  <c r="N279"/>
  <c r="M279"/>
  <c r="L279"/>
  <c r="K279"/>
  <c r="P294"/>
  <c r="O294"/>
  <c r="N294"/>
  <c r="M294"/>
  <c r="L294"/>
  <c r="K294"/>
  <c r="P265"/>
  <c r="O265"/>
  <c r="N265"/>
  <c r="M265"/>
  <c r="L265"/>
  <c r="K265"/>
  <c r="P264"/>
  <c r="O264"/>
  <c r="N264"/>
  <c r="M264"/>
  <c r="L264"/>
  <c r="K264"/>
  <c r="P263"/>
  <c r="O263"/>
  <c r="N263"/>
  <c r="M263"/>
  <c r="L263"/>
  <c r="K263"/>
  <c r="P262"/>
  <c r="O262"/>
  <c r="N262"/>
  <c r="M262"/>
  <c r="L262"/>
  <c r="K262"/>
  <c r="P261"/>
  <c r="O261"/>
  <c r="N261"/>
  <c r="M261"/>
  <c r="L261"/>
  <c r="K261"/>
  <c r="P260"/>
  <c r="O260"/>
  <c r="N260"/>
  <c r="M260"/>
  <c r="L260"/>
  <c r="K260"/>
  <c r="P172"/>
  <c r="O172"/>
  <c r="N172"/>
  <c r="M172"/>
  <c r="L172"/>
  <c r="K172"/>
  <c r="P171"/>
  <c r="O171"/>
  <c r="N171"/>
  <c r="M171"/>
  <c r="L171"/>
  <c r="K171"/>
  <c r="P170"/>
  <c r="O170"/>
  <c r="N170"/>
  <c r="M170"/>
  <c r="L170"/>
  <c r="K170"/>
  <c r="P169"/>
  <c r="O169"/>
  <c r="N169"/>
  <c r="M169"/>
  <c r="L169"/>
  <c r="K169"/>
  <c r="P168"/>
  <c r="O168"/>
  <c r="N168"/>
  <c r="M168"/>
  <c r="L168"/>
  <c r="K168"/>
  <c r="P166"/>
  <c r="O166"/>
  <c r="N166"/>
  <c r="M166"/>
  <c r="L166"/>
  <c r="K166"/>
  <c r="P165"/>
  <c r="O165"/>
  <c r="N165"/>
  <c r="M165"/>
  <c r="L165"/>
  <c r="K165"/>
  <c r="P164"/>
  <c r="O164"/>
  <c r="N164"/>
  <c r="M164"/>
  <c r="L164"/>
  <c r="K164"/>
  <c r="P96"/>
  <c r="O96"/>
  <c r="N96"/>
  <c r="M96"/>
  <c r="L96"/>
  <c r="K96"/>
  <c r="P146"/>
  <c r="O146"/>
  <c r="N146"/>
  <c r="M146"/>
  <c r="L146"/>
  <c r="K146"/>
  <c r="P162"/>
  <c r="O162"/>
  <c r="N162"/>
  <c r="M162"/>
  <c r="L162"/>
  <c r="K162"/>
  <c r="P158"/>
  <c r="O158"/>
  <c r="N158"/>
  <c r="M158"/>
  <c r="L158"/>
  <c r="K158"/>
  <c r="P163"/>
  <c r="O163"/>
  <c r="N163"/>
  <c r="M163"/>
  <c r="L163"/>
  <c r="K163"/>
  <c r="P508"/>
  <c r="O508"/>
  <c r="N508"/>
  <c r="M508"/>
  <c r="L508"/>
  <c r="K508"/>
  <c r="P504"/>
  <c r="O504"/>
  <c r="N504"/>
  <c r="M504"/>
  <c r="L504"/>
  <c r="K504"/>
  <c r="P122"/>
  <c r="O122"/>
  <c r="N122"/>
  <c r="M122"/>
  <c r="L122"/>
  <c r="K122"/>
  <c r="P156"/>
  <c r="O156"/>
  <c r="N156"/>
  <c r="M156"/>
  <c r="L156"/>
  <c r="K156"/>
  <c r="P155"/>
  <c r="O155"/>
  <c r="N155"/>
  <c r="M155"/>
  <c r="L155"/>
  <c r="K155"/>
  <c r="P153"/>
  <c r="O153"/>
  <c r="N153"/>
  <c r="M153"/>
  <c r="L153"/>
  <c r="K153"/>
  <c r="P152"/>
  <c r="O152"/>
  <c r="N152"/>
  <c r="M152"/>
  <c r="L152"/>
  <c r="K152"/>
  <c r="P151"/>
  <c r="O151"/>
  <c r="N151"/>
  <c r="M151"/>
  <c r="L151"/>
  <c r="K151"/>
  <c r="P150"/>
  <c r="O150"/>
  <c r="N150"/>
  <c r="M150"/>
  <c r="L150"/>
  <c r="K150"/>
  <c r="P157"/>
  <c r="O157"/>
  <c r="N157"/>
  <c r="M157"/>
  <c r="L157"/>
  <c r="K157"/>
  <c r="P149"/>
  <c r="O149"/>
  <c r="N149"/>
  <c r="M149"/>
  <c r="L149"/>
  <c r="K149"/>
  <c r="P148"/>
  <c r="O148"/>
  <c r="N148"/>
  <c r="M148"/>
  <c r="L148"/>
  <c r="K148"/>
  <c r="P147"/>
  <c r="O147"/>
  <c r="N147"/>
  <c r="M147"/>
  <c r="L147"/>
  <c r="K147"/>
  <c r="P107"/>
  <c r="O107"/>
  <c r="N107"/>
  <c r="M107"/>
  <c r="L107"/>
  <c r="K107"/>
  <c r="P145"/>
  <c r="O145"/>
  <c r="N145"/>
  <c r="M145"/>
  <c r="L145"/>
  <c r="K145"/>
  <c r="P144"/>
  <c r="O144"/>
  <c r="N144"/>
  <c r="M144"/>
  <c r="L144"/>
  <c r="K144"/>
  <c r="P143"/>
  <c r="O143"/>
  <c r="N143"/>
  <c r="M143"/>
  <c r="L143"/>
  <c r="K143"/>
  <c r="P142"/>
  <c r="O142"/>
  <c r="N142"/>
  <c r="M142"/>
  <c r="L142"/>
  <c r="K142"/>
  <c r="P141"/>
  <c r="O141"/>
  <c r="N141"/>
  <c r="M141"/>
  <c r="L141"/>
  <c r="K141"/>
  <c r="P137"/>
  <c r="O137"/>
  <c r="N137"/>
  <c r="M137"/>
  <c r="L137"/>
  <c r="K137"/>
  <c r="P89"/>
  <c r="O89"/>
  <c r="N89"/>
  <c r="M89"/>
  <c r="L89"/>
  <c r="K89"/>
  <c r="P84"/>
  <c r="O84"/>
  <c r="N84"/>
  <c r="M84"/>
  <c r="L84"/>
  <c r="K84"/>
  <c r="P140"/>
  <c r="O140"/>
  <c r="N140"/>
  <c r="M140"/>
  <c r="L140"/>
  <c r="K140"/>
  <c r="P78"/>
  <c r="O78"/>
  <c r="M78"/>
  <c r="P139"/>
  <c r="O139"/>
  <c r="N139"/>
  <c r="M139"/>
  <c r="L139"/>
  <c r="K139"/>
  <c r="P138"/>
  <c r="O138"/>
  <c r="N138"/>
  <c r="M138"/>
  <c r="L138"/>
  <c r="K138"/>
  <c r="P136"/>
  <c r="O136"/>
  <c r="N136"/>
  <c r="M136"/>
  <c r="L136"/>
  <c r="K136"/>
  <c r="P135"/>
  <c r="O135"/>
  <c r="N135"/>
  <c r="M135"/>
  <c r="L135"/>
  <c r="K135"/>
  <c r="P58"/>
  <c r="O58"/>
  <c r="N58"/>
  <c r="M58"/>
  <c r="L58"/>
  <c r="K58"/>
  <c r="P134"/>
  <c r="O134"/>
  <c r="N134"/>
  <c r="M134"/>
  <c r="L134"/>
  <c r="K134"/>
  <c r="P133"/>
  <c r="O133"/>
  <c r="N133"/>
  <c r="M133"/>
  <c r="L133"/>
  <c r="K133"/>
  <c r="P132"/>
  <c r="O132"/>
  <c r="N132"/>
  <c r="M132"/>
  <c r="L132"/>
  <c r="K132"/>
  <c r="P131"/>
  <c r="O131"/>
  <c r="N131"/>
  <c r="M131"/>
  <c r="L131"/>
  <c r="K131"/>
  <c r="P130"/>
  <c r="O130"/>
  <c r="N130"/>
  <c r="M130"/>
  <c r="L130"/>
  <c r="K130"/>
  <c r="P129"/>
  <c r="O129"/>
  <c r="N129"/>
  <c r="M129"/>
  <c r="L129"/>
  <c r="K129"/>
  <c r="P127"/>
  <c r="O127"/>
  <c r="N127"/>
  <c r="M127"/>
  <c r="L127"/>
  <c r="K127"/>
  <c r="P126"/>
  <c r="O126"/>
  <c r="N126"/>
  <c r="M126"/>
  <c r="L126"/>
  <c r="K126"/>
  <c r="P97"/>
  <c r="O97"/>
  <c r="N97"/>
  <c r="M97"/>
  <c r="L97"/>
  <c r="K97"/>
  <c r="P125"/>
  <c r="O125"/>
  <c r="N125"/>
  <c r="M125"/>
  <c r="L125"/>
  <c r="K125"/>
  <c r="P123"/>
  <c r="O123"/>
  <c r="N123"/>
  <c r="M123"/>
  <c r="L123"/>
  <c r="K123"/>
  <c r="P99"/>
  <c r="O99"/>
  <c r="N99"/>
  <c r="M99"/>
  <c r="L99"/>
  <c r="K99"/>
  <c r="P121"/>
  <c r="O121"/>
  <c r="N121"/>
  <c r="M121"/>
  <c r="L121"/>
  <c r="K121"/>
  <c r="P183"/>
  <c r="O183"/>
  <c r="N183"/>
  <c r="M183"/>
  <c r="L183"/>
  <c r="K183"/>
  <c r="P120"/>
  <c r="O120"/>
  <c r="N120"/>
  <c r="M120"/>
  <c r="L120"/>
  <c r="K120"/>
  <c r="P95"/>
  <c r="O95"/>
  <c r="N95"/>
  <c r="M95"/>
  <c r="L95"/>
  <c r="K95"/>
  <c r="P117"/>
  <c r="O117"/>
  <c r="N117"/>
  <c r="M117"/>
  <c r="L117"/>
  <c r="K117"/>
  <c r="P116"/>
  <c r="O116"/>
  <c r="N116"/>
  <c r="M116"/>
  <c r="L116"/>
  <c r="K116"/>
  <c r="P103"/>
  <c r="O103"/>
  <c r="N103"/>
  <c r="M103"/>
  <c r="L103"/>
  <c r="K103"/>
  <c r="P115"/>
  <c r="O115"/>
  <c r="N115"/>
  <c r="M115"/>
  <c r="L115"/>
  <c r="K115"/>
  <c r="P114"/>
  <c r="O114"/>
  <c r="N114"/>
  <c r="M114"/>
  <c r="L114"/>
  <c r="K114"/>
  <c r="P113"/>
  <c r="O113"/>
  <c r="N113"/>
  <c r="M113"/>
  <c r="L113"/>
  <c r="K113"/>
  <c r="P112"/>
  <c r="O112"/>
  <c r="N112"/>
  <c r="M112"/>
  <c r="L112"/>
  <c r="K112"/>
  <c r="P111"/>
  <c r="O111"/>
  <c r="N111"/>
  <c r="M111"/>
  <c r="L111"/>
  <c r="K111"/>
  <c r="P110"/>
  <c r="O110"/>
  <c r="N110"/>
  <c r="M110"/>
  <c r="L110"/>
  <c r="K110"/>
  <c r="P109"/>
  <c r="O109"/>
  <c r="N109"/>
  <c r="M109"/>
  <c r="L109"/>
  <c r="K109"/>
  <c r="P108"/>
  <c r="O108"/>
  <c r="N108"/>
  <c r="M108"/>
  <c r="L108"/>
  <c r="K108"/>
  <c r="P28"/>
  <c r="O28"/>
  <c r="N28"/>
  <c r="M28"/>
  <c r="L28"/>
  <c r="K28"/>
  <c r="P104"/>
  <c r="O104"/>
  <c r="N104"/>
  <c r="M104"/>
  <c r="L104"/>
  <c r="K104"/>
  <c r="P102"/>
  <c r="O102"/>
  <c r="N102"/>
  <c r="M102"/>
  <c r="L102"/>
  <c r="K102"/>
  <c r="P101"/>
  <c r="O101"/>
  <c r="N101"/>
  <c r="M101"/>
  <c r="L101"/>
  <c r="K101"/>
  <c r="P365"/>
  <c r="O365"/>
  <c r="N365"/>
  <c r="M365"/>
  <c r="L365"/>
  <c r="K365"/>
  <c r="P100"/>
  <c r="O100"/>
  <c r="N100"/>
  <c r="M100"/>
  <c r="L100"/>
  <c r="K100"/>
  <c r="P455"/>
  <c r="O455"/>
  <c r="N455"/>
  <c r="M455"/>
  <c r="L455"/>
  <c r="K455"/>
  <c r="P494"/>
  <c r="O494"/>
  <c r="N494"/>
  <c r="M494"/>
  <c r="L494"/>
  <c r="K494"/>
  <c r="P345"/>
  <c r="O345"/>
  <c r="N345"/>
  <c r="M345"/>
  <c r="L345"/>
  <c r="K345"/>
  <c r="P444"/>
  <c r="O444"/>
  <c r="N444"/>
  <c r="M444"/>
  <c r="L444"/>
  <c r="K444"/>
  <c r="P98"/>
  <c r="O98"/>
  <c r="N98"/>
  <c r="M98"/>
  <c r="L98"/>
  <c r="K98"/>
  <c r="P350"/>
  <c r="O350"/>
  <c r="N350"/>
  <c r="M350"/>
  <c r="L350"/>
  <c r="K350"/>
  <c r="P87"/>
  <c r="O87"/>
  <c r="N87"/>
  <c r="M87"/>
  <c r="L87"/>
  <c r="K87"/>
  <c r="P93"/>
  <c r="O93"/>
  <c r="N93"/>
  <c r="M93"/>
  <c r="L93"/>
  <c r="K93"/>
  <c r="P119"/>
  <c r="O119"/>
  <c r="N119"/>
  <c r="M119"/>
  <c r="L119"/>
  <c r="K119"/>
  <c r="P85"/>
  <c r="O85"/>
  <c r="N85"/>
  <c r="M85"/>
  <c r="L85"/>
  <c r="K85"/>
  <c r="P82"/>
  <c r="O82"/>
  <c r="N82"/>
  <c r="M82"/>
  <c r="L82"/>
  <c r="K82"/>
  <c r="P94"/>
  <c r="O94"/>
  <c r="N94"/>
  <c r="M94"/>
  <c r="L94"/>
  <c r="K94"/>
  <c r="P81"/>
  <c r="O81"/>
  <c r="N81"/>
  <c r="M81"/>
  <c r="L81"/>
  <c r="K81"/>
  <c r="P80"/>
  <c r="O80"/>
  <c r="N80"/>
  <c r="M80"/>
  <c r="L80"/>
  <c r="K80"/>
  <c r="P79"/>
  <c r="O79"/>
  <c r="N79"/>
  <c r="M79"/>
  <c r="L79"/>
  <c r="K79"/>
  <c r="P90"/>
  <c r="O90"/>
  <c r="N90"/>
  <c r="M90"/>
  <c r="L90"/>
  <c r="K90"/>
  <c r="P76"/>
  <c r="O76"/>
  <c r="N76"/>
  <c r="M76"/>
  <c r="L76"/>
  <c r="K76"/>
  <c r="P128"/>
  <c r="O128"/>
  <c r="N128"/>
  <c r="M128"/>
  <c r="L128"/>
  <c r="K128"/>
  <c r="P75"/>
  <c r="O75"/>
  <c r="N75"/>
  <c r="M75"/>
  <c r="L75"/>
  <c r="K75"/>
  <c r="P74"/>
  <c r="O74"/>
  <c r="N74"/>
  <c r="M74"/>
  <c r="L74"/>
  <c r="K74"/>
  <c r="P73"/>
  <c r="O73"/>
  <c r="N73"/>
  <c r="M73"/>
  <c r="L73"/>
  <c r="K73"/>
  <c r="P72"/>
  <c r="O72"/>
  <c r="N72"/>
  <c r="M72"/>
  <c r="L72"/>
  <c r="P29"/>
  <c r="O29"/>
  <c r="N29"/>
  <c r="M29"/>
  <c r="L29"/>
  <c r="K29"/>
  <c r="P91"/>
  <c r="O91"/>
  <c r="N91"/>
  <c r="M91"/>
  <c r="L91"/>
  <c r="K91"/>
  <c r="P70"/>
  <c r="O70"/>
  <c r="N70"/>
  <c r="M70"/>
  <c r="L70"/>
  <c r="K70"/>
  <c r="P69"/>
  <c r="O69"/>
  <c r="N69"/>
  <c r="M69"/>
  <c r="L69"/>
  <c r="K69"/>
  <c r="P66"/>
  <c r="O66"/>
  <c r="N66"/>
  <c r="M66"/>
  <c r="L66"/>
  <c r="K66"/>
  <c r="P324"/>
  <c r="O324"/>
  <c r="N324"/>
  <c r="M324"/>
  <c r="L324"/>
  <c r="K324"/>
  <c r="P65"/>
  <c r="O65"/>
  <c r="N65"/>
  <c r="M65"/>
  <c r="L65"/>
  <c r="K65"/>
  <c r="P64"/>
  <c r="O64"/>
  <c r="N64"/>
  <c r="M64"/>
  <c r="L64"/>
  <c r="K64"/>
  <c r="P62"/>
  <c r="O62"/>
  <c r="N62"/>
  <c r="M62"/>
  <c r="L62"/>
  <c r="K62"/>
  <c r="P61"/>
  <c r="O61"/>
  <c r="N61"/>
  <c r="M61"/>
  <c r="L61"/>
  <c r="K61"/>
  <c r="P59"/>
  <c r="O59"/>
  <c r="N59"/>
  <c r="M59"/>
  <c r="L59"/>
  <c r="K59"/>
  <c r="P105"/>
  <c r="O105"/>
  <c r="N105"/>
  <c r="M105"/>
  <c r="L105"/>
  <c r="K105"/>
  <c r="P77"/>
  <c r="O77"/>
  <c r="N77"/>
  <c r="M77"/>
  <c r="L77"/>
  <c r="K77"/>
  <c r="P57"/>
  <c r="O57"/>
  <c r="N57"/>
  <c r="M57"/>
  <c r="L57"/>
  <c r="K57"/>
  <c r="P56"/>
  <c r="O56"/>
  <c r="N56"/>
  <c r="M56"/>
  <c r="L56"/>
  <c r="K56"/>
  <c r="P55"/>
  <c r="O55"/>
  <c r="N55"/>
  <c r="M55"/>
  <c r="L55"/>
  <c r="K55"/>
  <c r="P54"/>
  <c r="O54"/>
  <c r="N54"/>
  <c r="M54"/>
  <c r="L54"/>
  <c r="K54"/>
  <c r="P53"/>
  <c r="O53"/>
  <c r="N53"/>
  <c r="M53"/>
  <c r="L53"/>
  <c r="K53"/>
  <c r="P51"/>
  <c r="O51"/>
  <c r="N51"/>
  <c r="M51"/>
  <c r="L51"/>
  <c r="K51"/>
  <c r="P50"/>
  <c r="O50"/>
  <c r="N50"/>
  <c r="M50"/>
  <c r="L50"/>
  <c r="K50"/>
  <c r="P160"/>
  <c r="O160"/>
  <c r="N160"/>
  <c r="M160"/>
  <c r="L160"/>
  <c r="K160"/>
  <c r="P159"/>
  <c r="O159"/>
  <c r="N159"/>
  <c r="M159"/>
  <c r="L159"/>
  <c r="K159"/>
  <c r="P49"/>
  <c r="O49"/>
  <c r="N49"/>
  <c r="M49"/>
  <c r="L49"/>
  <c r="K49"/>
  <c r="P48"/>
  <c r="O48"/>
  <c r="N48"/>
  <c r="M48"/>
  <c r="L48"/>
  <c r="K48"/>
  <c r="P47"/>
  <c r="O47"/>
  <c r="N47"/>
  <c r="M47"/>
  <c r="L47"/>
  <c r="K47"/>
  <c r="P46"/>
  <c r="O46"/>
  <c r="N46"/>
  <c r="M46"/>
  <c r="L46"/>
  <c r="K46"/>
  <c r="P45"/>
  <c r="O45"/>
  <c r="N45"/>
  <c r="M45"/>
  <c r="L45"/>
  <c r="K45"/>
  <c r="P44"/>
  <c r="O44"/>
  <c r="N44"/>
  <c r="M44"/>
  <c r="L44"/>
  <c r="K44"/>
  <c r="P43"/>
  <c r="O43"/>
  <c r="N43"/>
  <c r="M43"/>
  <c r="L43"/>
  <c r="K43"/>
  <c r="P41"/>
  <c r="O41"/>
  <c r="N41"/>
  <c r="M41"/>
  <c r="L41"/>
  <c r="K41"/>
  <c r="P40"/>
  <c r="O40"/>
  <c r="N40"/>
  <c r="M40"/>
  <c r="L40"/>
  <c r="K40"/>
  <c r="P39"/>
  <c r="O39"/>
  <c r="N39"/>
  <c r="M39"/>
  <c r="L39"/>
  <c r="K39"/>
  <c r="P37"/>
  <c r="O37"/>
  <c r="N37"/>
  <c r="M37"/>
  <c r="L37"/>
  <c r="K37"/>
  <c r="P36"/>
  <c r="O36"/>
  <c r="N36"/>
  <c r="M36"/>
  <c r="L36"/>
  <c r="K36"/>
  <c r="P52"/>
  <c r="O52"/>
  <c r="N52"/>
  <c r="M52"/>
  <c r="L52"/>
  <c r="K52"/>
  <c r="P35"/>
  <c r="O35"/>
  <c r="N35"/>
  <c r="M35"/>
  <c r="L35"/>
  <c r="K35"/>
  <c r="P34"/>
  <c r="O34"/>
  <c r="N34"/>
  <c r="M34"/>
  <c r="L34"/>
  <c r="K34"/>
  <c r="P33"/>
  <c r="O33"/>
  <c r="N33"/>
  <c r="M33"/>
  <c r="L33"/>
  <c r="K33"/>
  <c r="P32"/>
  <c r="O32"/>
  <c r="N32"/>
  <c r="M32"/>
  <c r="L32"/>
  <c r="K32"/>
  <c r="P30"/>
  <c r="O30"/>
  <c r="N30"/>
  <c r="M30"/>
  <c r="L30"/>
  <c r="K30"/>
  <c r="P167"/>
  <c r="O167"/>
  <c r="N167"/>
  <c r="M167"/>
  <c r="L167"/>
  <c r="K167"/>
  <c r="P27"/>
  <c r="O27"/>
  <c r="N27"/>
  <c r="M27"/>
  <c r="L27"/>
  <c r="K27"/>
  <c r="P26"/>
  <c r="O26"/>
  <c r="N26"/>
  <c r="M26"/>
  <c r="L26"/>
  <c r="K26"/>
  <c r="P21"/>
  <c r="O21"/>
  <c r="N21"/>
  <c r="M21"/>
  <c r="L21"/>
  <c r="K21"/>
  <c r="P25"/>
  <c r="O25"/>
  <c r="N25"/>
  <c r="M25"/>
  <c r="L25"/>
  <c r="K25"/>
  <c r="P24"/>
  <c r="O24"/>
  <c r="N24"/>
  <c r="M24"/>
  <c r="L24"/>
  <c r="K24"/>
  <c r="P23"/>
  <c r="O23"/>
  <c r="N23"/>
  <c r="M23"/>
  <c r="L23"/>
  <c r="K23"/>
  <c r="P20"/>
  <c r="O20"/>
  <c r="N20"/>
  <c r="M20"/>
  <c r="L20"/>
  <c r="K20"/>
  <c r="P19"/>
  <c r="O19"/>
  <c r="N19"/>
  <c r="M19"/>
  <c r="L19"/>
  <c r="K19"/>
  <c r="P18"/>
  <c r="O18"/>
  <c r="N18"/>
  <c r="M18"/>
  <c r="L18"/>
  <c r="K18"/>
  <c r="P17"/>
  <c r="O17"/>
  <c r="N17"/>
  <c r="M17"/>
  <c r="L17"/>
  <c r="K17"/>
  <c r="P16"/>
  <c r="O16"/>
  <c r="N16"/>
  <c r="M16"/>
  <c r="L16"/>
  <c r="K16"/>
  <c r="P15"/>
  <c r="O15"/>
  <c r="N15"/>
  <c r="M15"/>
  <c r="L15"/>
  <c r="K15"/>
  <c r="P14"/>
  <c r="O14"/>
  <c r="N14"/>
  <c r="M14"/>
  <c r="L14"/>
  <c r="K14"/>
  <c r="P13"/>
  <c r="O13"/>
  <c r="N13"/>
  <c r="M13"/>
  <c r="L13"/>
  <c r="K13"/>
  <c r="P12"/>
  <c r="O12"/>
  <c r="N12"/>
  <c r="M12"/>
  <c r="L12"/>
  <c r="K12"/>
  <c r="P10"/>
  <c r="O10"/>
  <c r="N10"/>
  <c r="M10"/>
  <c r="L10"/>
  <c r="K10"/>
  <c r="P9"/>
  <c r="O9"/>
  <c r="N9"/>
  <c r="M9"/>
  <c r="L9"/>
  <c r="K9"/>
  <c r="P8"/>
  <c r="O8"/>
  <c r="N8"/>
  <c r="M8"/>
  <c r="L8"/>
  <c r="K8"/>
  <c r="P31"/>
  <c r="O31"/>
  <c r="N31"/>
  <c r="M31"/>
  <c r="L31"/>
  <c r="K31"/>
  <c r="P6"/>
  <c r="O6"/>
  <c r="N6"/>
  <c r="M6"/>
  <c r="L6"/>
  <c r="K6"/>
  <c r="P5"/>
  <c r="O5"/>
  <c r="N5"/>
  <c r="M5"/>
  <c r="L5"/>
  <c r="K5"/>
  <c r="P4"/>
  <c r="O4"/>
  <c r="N4"/>
  <c r="M4"/>
  <c r="L4"/>
  <c r="K4"/>
  <c r="P3"/>
  <c r="O3"/>
  <c r="N3"/>
  <c r="M3"/>
  <c r="L3"/>
  <c r="K3"/>
  <c r="P83"/>
  <c r="O83"/>
  <c r="N83"/>
  <c r="M83"/>
  <c r="L83"/>
  <c r="K83"/>
  <c r="P7"/>
  <c r="O7"/>
  <c r="N7"/>
  <c r="M7"/>
  <c r="L7"/>
  <c r="K7"/>
  <c r="P2"/>
  <c r="O2"/>
  <c r="N2"/>
  <c r="M2"/>
  <c r="L2"/>
  <c r="K2"/>
  <c r="P1"/>
  <c r="O1"/>
  <c r="N1"/>
  <c r="M1"/>
  <c r="L1"/>
  <c r="K1"/>
  <c r="H24" i="28" l="1"/>
  <c r="E24"/>
  <c r="J24"/>
  <c r="O24"/>
  <c r="M24"/>
  <c r="C24"/>
  <c r="E24" i="7"/>
  <c r="C24" s="1"/>
  <c r="J27"/>
  <c r="T6" s="1"/>
  <c r="J25"/>
  <c r="E27" i="28" l="1"/>
  <c r="T5" s="1"/>
  <c r="J27"/>
  <c r="T6" s="1"/>
  <c r="O26"/>
  <c r="J26" s="1"/>
  <c r="E26" s="1"/>
  <c r="O27"/>
  <c r="T7" s="1"/>
  <c r="E25" i="7"/>
  <c r="O25" i="28"/>
  <c r="J25" s="1"/>
  <c r="E25" s="1"/>
  <c r="T23" i="7"/>
  <c r="E27"/>
  <c r="T8" i="28" l="1"/>
  <c r="L30" s="1"/>
  <c r="O26" i="7"/>
  <c r="J26" s="1"/>
  <c r="E26" s="1"/>
  <c r="O25" s="1"/>
  <c r="T5"/>
  <c r="T8" s="1"/>
  <c r="T13" i="28" l="1"/>
  <c r="T15" s="1"/>
  <c r="L31"/>
  <c r="L29"/>
  <c r="L31" i="7"/>
  <c r="L30"/>
  <c r="L29"/>
  <c r="T13"/>
  <c r="T15" s="1"/>
</calcChain>
</file>

<file path=xl/comments1.xml><?xml version="1.0" encoding="utf-8"?>
<comments xmlns="http://schemas.openxmlformats.org/spreadsheetml/2006/main">
  <authors>
    <author>DIAF</author>
    <author>ilhaway_32</author>
    <author>CI</author>
    <author>Ilhaway-02</author>
    <author>controle int</author>
    <author>DINF</author>
    <author>PEPG</author>
    <author>DIPROM</author>
    <author>CEEBEJA</author>
  </authors>
  <commentList>
    <comment ref="D7" authorId="0">
      <text>
        <r>
          <rPr>
            <b/>
            <sz val="8"/>
            <color indexed="81"/>
            <rFont val="Tahoma"/>
            <family val="2"/>
          </rPr>
          <t>Chegada em 24/08/16.</t>
        </r>
      </text>
    </comment>
    <comment ref="D11" authorId="1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ORIUNDO 13ª S.D.P.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Oriundo da CPHS em 08/04/15, art. 129 (lesão corporal)</t>
        </r>
      </text>
    </comment>
    <comment ref="D14" authorId="2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
04/07/2017</t>
        </r>
      </text>
    </comment>
    <comment ref="D15" authorId="3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PALMEIRA
18/06/2019</t>
        </r>
      </text>
    </comment>
    <comment ref="D17" authorId="4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TIBAGI
03/09/2018</t>
        </r>
      </text>
    </comment>
    <comment ref="D18" authorId="3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</t>
        </r>
      </text>
    </comment>
    <comment ref="D24" authorId="4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HILDEBRANDO
 28/05/2018</t>
        </r>
      </text>
    </comment>
    <comment ref="D37" authorId="5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HILDEBRANDO
16/01/2020
</t>
        </r>
      </text>
    </comment>
    <comment ref="D44" authorId="1">
      <text>
        <r>
          <rPr>
            <b/>
            <sz val="9"/>
            <color indexed="81"/>
            <rFont val="Tahoma"/>
            <family val="2"/>
          </rPr>
          <t xml:space="preserve">13ª SDP 25/07/2020
</t>
        </r>
      </text>
    </comment>
    <comment ref="D53" authorId="1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13SDP 18/08</t>
        </r>
      </text>
    </comment>
    <comment ref="D54" authorId="1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13 SDP 18/08</t>
        </r>
      </text>
    </comment>
    <comment ref="D55" authorId="1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13 SDP 18/08</t>
        </r>
      </text>
    </comment>
    <comment ref="D56" authorId="1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13 SDP 18/08</t>
        </r>
      </text>
    </comment>
    <comment ref="D64" authorId="3">
      <text>
        <r>
          <rPr>
            <sz val="9"/>
            <color indexed="81"/>
            <rFont val="Segoe UI"/>
            <family val="2"/>
          </rPr>
          <t>CCC 
10/07/2019
Permuta
Jonathan W. Santos Ribas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D67" authorId="3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Pirai do Sul
26/03/2019</t>
        </r>
      </text>
    </comment>
    <comment ref="D80" authorId="1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HILDEBRANDO
27/12/2019</t>
        </r>
      </text>
    </comment>
    <comment ref="D86" authorId="4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CASTRO
29/07/2018</t>
        </r>
      </text>
    </comment>
    <comment ref="D87" authorId="6">
      <text>
        <r>
          <rPr>
            <sz val="8"/>
            <color indexed="81"/>
            <rFont val="Tahoma"/>
            <family val="2"/>
          </rPr>
          <t>HILDEBRANDO
07/04/2011
Regressão
Art 129, 15 e 163,129,121
23 anos, 9m e 10d.</t>
        </r>
      </text>
    </comment>
    <comment ref="D88" authorId="3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W. BRAZ
27/02/2019</t>
        </r>
      </text>
    </comment>
    <comment ref="D90" authorId="1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HILDEBRANDO
27/12/2019</t>
        </r>
      </text>
    </comment>
    <comment ref="D103" authorId="7">
      <text>
        <r>
          <rPr>
            <sz val="8"/>
            <color indexed="81"/>
            <rFont val="Tahoma"/>
            <family val="2"/>
          </rPr>
          <t xml:space="preserve">HILDEBRANDO
26/06/2014
</t>
        </r>
      </text>
    </comment>
    <comment ref="D106" authorId="3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HILDEBRANDO
12/02/2019
Permuta
Creisson Jose da Silva</t>
        </r>
      </text>
    </comment>
    <comment ref="D109" authorId="2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PIRAI DO SUL
19/07/2017
</t>
        </r>
      </text>
    </comment>
    <comment ref="D113" authorId="5">
      <text>
        <r>
          <rPr>
            <sz val="9"/>
            <color indexed="81"/>
            <rFont val="Tahoma"/>
            <family val="2"/>
          </rPr>
          <t>TELEMACO BORBA 
07/12/2016</t>
        </r>
      </text>
    </comment>
    <comment ref="D115" authorId="1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Regressão UP
25/09/2019</t>
        </r>
      </text>
    </comment>
    <comment ref="D116" authorId="1">
      <text>
        <r>
          <rPr>
            <sz val="9"/>
            <color indexed="81"/>
            <rFont val="Tahoma"/>
            <family val="2"/>
          </rPr>
          <t xml:space="preserve">HILDEBRANDO
 20/09/2019
</t>
        </r>
      </text>
    </comment>
    <comment ref="D117" authorId="1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HILDEBRANDO
16/01/2020</t>
        </r>
      </text>
    </comment>
    <comment ref="D120" authorId="1">
      <text>
        <r>
          <rPr>
            <b/>
            <sz val="9"/>
            <color indexed="81"/>
            <rFont val="Tahoma"/>
            <family val="2"/>
          </rPr>
          <t xml:space="preserve">TELEMACO BORBA
06/08/2020
</t>
        </r>
      </text>
    </comment>
    <comment ref="D155" authorId="4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TIBAGI
06/09/2018</t>
        </r>
      </text>
    </comment>
    <comment ref="D161" authorId="1">
      <text>
        <r>
          <rPr>
            <sz val="9"/>
            <color indexed="81"/>
            <rFont val="Tahoma"/>
            <family val="2"/>
          </rPr>
          <t>HILDEBRANDO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20/09/2019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2" authorId="2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
22/12/2017
</t>
        </r>
      </text>
    </comment>
    <comment ref="D164" authorId="1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HILDEBRANDO
10/10/2019</t>
        </r>
      </text>
    </comment>
    <comment ref="D165" authorId="1">
      <text>
        <r>
          <rPr>
            <sz val="9"/>
            <color indexed="81"/>
            <rFont val="Tahoma"/>
            <family val="2"/>
          </rPr>
          <t>HILDEBRANDO 20/09/2019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70" authorId="3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PALMEIRA
18/06/2019</t>
        </r>
      </text>
    </comment>
    <comment ref="D176" authorId="3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W. BRAZ
27/02/2019</t>
        </r>
      </text>
    </comment>
    <comment ref="E182" authorId="3">
      <text>
        <r>
          <rPr>
            <b/>
            <sz val="9"/>
            <color indexed="81"/>
            <rFont val="Segoe UI"/>
            <family val="2"/>
          </rPr>
          <t xml:space="preserve">Comarca de Tibagi
08/05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190" authorId="3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PEP 2
06/02/2019</t>
        </r>
      </text>
    </comment>
    <comment ref="D193" authorId="1">
      <text>
        <r>
          <rPr>
            <b/>
            <sz val="9"/>
            <color indexed="81"/>
            <rFont val="Tahoma"/>
            <family val="2"/>
          </rPr>
          <t>22/04/2020
13ª SDP</t>
        </r>
      </text>
    </comment>
    <comment ref="D194" authorId="3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PEP 2
06/02/2019</t>
        </r>
      </text>
    </comment>
    <comment ref="D199" authorId="1">
      <text>
        <r>
          <rPr>
            <sz val="9"/>
            <color indexed="81"/>
            <rFont val="Tahoma"/>
            <family val="2"/>
          </rPr>
          <t>ORTIGUEIRA
04/12/2019</t>
        </r>
      </text>
    </comment>
    <comment ref="D200" authorId="1">
      <text>
        <r>
          <rPr>
            <sz val="9"/>
            <color indexed="81"/>
            <rFont val="Tahoma"/>
            <family val="2"/>
          </rPr>
          <t>TELEMACO BORBA
 04/12/2019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3" authorId="3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PEP 2
06/02/2019
</t>
        </r>
      </text>
    </comment>
    <comment ref="D209" authorId="3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</t>
        </r>
      </text>
    </comment>
    <comment ref="D210" authorId="1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CASTRO
26/03/2020</t>
        </r>
      </text>
    </comment>
    <comment ref="D237" authorId="3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PEP 2
06/02/2019
</t>
        </r>
      </text>
    </comment>
    <comment ref="D240" authorId="2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 05/07
</t>
        </r>
      </text>
    </comment>
    <comment ref="D244" authorId="1">
      <text>
        <r>
          <rPr>
            <sz val="9"/>
            <color indexed="81"/>
            <rFont val="Tahoma"/>
            <family val="2"/>
          </rPr>
          <t xml:space="preserve">TELEMACO BORBA
 04/12/2019
</t>
        </r>
      </text>
    </comment>
    <comment ref="D246" authorId="1">
      <text>
        <r>
          <rPr>
            <sz val="9"/>
            <color indexed="81"/>
            <rFont val="Tahoma"/>
            <family val="2"/>
          </rPr>
          <t>ORTIGUEIRA
04/12/2019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D254" authorId="1">
      <text>
        <r>
          <rPr>
            <b/>
            <sz val="9"/>
            <color indexed="81"/>
            <rFont val="Tahoma"/>
            <family val="2"/>
          </rPr>
          <t>22/04/2020
13ª SDP</t>
        </r>
      </text>
    </comment>
    <comment ref="D258" authorId="3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
</t>
        </r>
      </text>
    </comment>
    <comment ref="D259" authorId="1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CPHS 25/06/2020</t>
        </r>
      </text>
    </comment>
    <comment ref="D260" authorId="1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CPHS 25/06/2020</t>
        </r>
      </text>
    </comment>
    <comment ref="D261" authorId="1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CPHS 26/06/2020
</t>
        </r>
      </text>
    </comment>
    <comment ref="D262" authorId="1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CPHS 25/06/2020</t>
        </r>
      </text>
    </comment>
    <comment ref="D263" authorId="1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CPHS 25/06/2020</t>
        </r>
      </text>
    </comment>
    <comment ref="D264" authorId="3">
      <text>
        <r>
          <rPr>
            <sz val="9"/>
            <color indexed="81"/>
            <rFont val="Segoe UI"/>
            <family val="2"/>
          </rPr>
          <t>HILDEBRANDO
10/07/2019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D266" authorId="1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13 SDP 20/05/2020</t>
        </r>
      </text>
    </comment>
    <comment ref="D270" authorId="3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
</t>
        </r>
      </text>
    </comment>
    <comment ref="D271" authorId="7">
      <text>
        <r>
          <rPr>
            <sz val="8"/>
            <color indexed="81"/>
            <rFont val="Tahoma"/>
            <family val="2"/>
          </rPr>
          <t>ENTRADA
28/04/2014</t>
        </r>
      </text>
    </comment>
    <comment ref="D273" authorId="3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PEP 2
06/02/2019
</t>
        </r>
      </text>
    </comment>
    <comment ref="D274" authorId="3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PEP 2
06/02/2019</t>
        </r>
      </text>
    </comment>
    <comment ref="D276" authorId="0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PIRAI DO SUL-PR
14/12/2015
Art. </t>
        </r>
      </text>
    </comment>
    <comment ref="D277" authorId="2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TELEMACO BORBA
08/12/2017
</t>
        </r>
      </text>
    </comment>
    <comment ref="D278" authorId="3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
</t>
        </r>
      </text>
    </comment>
    <comment ref="D286" authorId="1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13 SDP 20/05/2020</t>
        </r>
      </text>
    </comment>
    <comment ref="D316" authorId="1">
      <text>
        <r>
          <rPr>
            <sz val="9"/>
            <color indexed="81"/>
            <rFont val="Tahoma"/>
            <family val="2"/>
          </rPr>
          <t xml:space="preserve">HHILDEBRANDO 20/09/2019
</t>
        </r>
      </text>
    </comment>
    <comment ref="D319" authorId="1">
      <text>
        <r>
          <rPr>
            <sz val="9"/>
            <color indexed="81"/>
            <rFont val="Tahoma"/>
            <family val="2"/>
          </rPr>
          <t>CASTRO 
20/09/2019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1" authorId="3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
</t>
        </r>
      </text>
    </comment>
    <comment ref="D324" authorId="1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HILDEBRANDO
12/08/2019
</t>
        </r>
      </text>
    </comment>
    <comment ref="D333" authorId="1">
      <text>
        <r>
          <rPr>
            <sz val="9"/>
            <color indexed="81"/>
            <rFont val="Tahoma"/>
            <family val="2"/>
          </rPr>
          <t>13 SDP
23/09/2020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8" authorId="0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20/10/2016
</t>
        </r>
      </text>
    </comment>
    <comment ref="D340" authorId="2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PIRAI DO SUL
</t>
        </r>
      </text>
    </comment>
    <comment ref="D347" authorId="1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13 SDP 25/06/2020
</t>
        </r>
      </text>
    </comment>
    <comment ref="D349" authorId="1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13 SDP 25/06/2020</t>
        </r>
      </text>
    </comment>
    <comment ref="D350" authorId="1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U P
05/09/2019
</t>
        </r>
      </text>
    </comment>
    <comment ref="D351" authorId="1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Regressão UP
01/08/2018
</t>
        </r>
      </text>
    </comment>
    <comment ref="D355" authorId="8">
      <text>
        <r>
          <rPr>
            <sz val="8"/>
            <color indexed="81"/>
            <rFont val="Tahoma"/>
            <family val="2"/>
          </rPr>
          <t>18/02/2014</t>
        </r>
      </text>
    </comment>
    <comment ref="D357" authorId="2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CASTRO
26/12/2017
</t>
        </r>
      </text>
    </comment>
    <comment ref="D358" authorId="0">
      <text>
        <r>
          <rPr>
            <sz val="8"/>
            <color indexed="81"/>
            <rFont val="Tahoma"/>
            <family val="2"/>
          </rPr>
          <t>HILDEBRANDO 29/04/2016</t>
        </r>
      </text>
    </comment>
    <comment ref="D359" authorId="4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HILDEBRANDO
18/09/2018</t>
        </r>
      </text>
    </comment>
    <comment ref="D363" authorId="3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</t>
        </r>
      </text>
    </comment>
    <comment ref="D366" authorId="0">
      <text>
        <r>
          <rPr>
            <sz val="8"/>
            <color indexed="81"/>
            <rFont val="Tahoma"/>
            <family val="2"/>
          </rPr>
          <t>20/05/2015.</t>
        </r>
      </text>
    </comment>
    <comment ref="D372" authorId="4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HILDEBRANDO
28/05/2018
</t>
        </r>
      </text>
    </comment>
    <comment ref="D373" authorId="3">
      <text>
        <r>
          <rPr>
            <sz val="9"/>
            <color indexed="81"/>
            <rFont val="Segoe UI"/>
            <family val="2"/>
          </rPr>
          <t xml:space="preserve">HILDEBRANDO
09/07/2019
</t>
        </r>
      </text>
    </comment>
    <comment ref="D376" authorId="0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CASTRO
19/09/2016</t>
        </r>
      </text>
    </comment>
    <comment ref="D379" authorId="4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HILDEBRANDO
25/09/2018</t>
        </r>
      </text>
    </comment>
    <comment ref="D382" authorId="1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13 SDP 25/06/2020</t>
        </r>
      </text>
    </comment>
    <comment ref="D383" authorId="1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CPHS 25/06/2020</t>
        </r>
      </text>
    </comment>
    <comment ref="D390" authorId="0">
      <text>
        <r>
          <rPr>
            <sz val="8"/>
            <color indexed="81"/>
            <rFont val="Tahoma"/>
            <family val="2"/>
          </rPr>
          <t>FOZ DO IGUAÇU
05/05/2016 permuta</t>
        </r>
      </text>
    </comment>
    <comment ref="D393" authorId="1">
      <text>
        <r>
          <rPr>
            <b/>
            <sz val="9"/>
            <color indexed="81"/>
            <rFont val="Tahoma"/>
            <family val="2"/>
          </rPr>
          <t>Entrada 04/05/2020
oriundo da 13ª SDP</t>
        </r>
      </text>
    </comment>
    <comment ref="D395" authorId="1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13 SDP 25/06/2020</t>
        </r>
      </text>
    </comment>
    <comment ref="D397" authorId="1">
      <text>
        <r>
          <rPr>
            <sz val="9"/>
            <color indexed="81"/>
            <rFont val="Tahoma"/>
            <family val="2"/>
          </rPr>
          <t>CASTRO
11/09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99" authorId="0">
      <text>
        <r>
          <rPr>
            <sz val="8"/>
            <color indexed="81"/>
            <rFont val="Tahoma"/>
            <family val="2"/>
          </rPr>
          <t xml:space="preserve">HILDEBRANDO
24/11/2015
</t>
        </r>
      </text>
    </comment>
    <comment ref="D402" authorId="6">
      <text>
        <r>
          <rPr>
            <sz val="8"/>
            <color indexed="81"/>
            <rFont val="Tahoma"/>
            <family val="2"/>
          </rPr>
          <t>SIQUEIRA CAMPOS-PR 17/06/2011
Art. 33</t>
        </r>
      </text>
    </comment>
    <comment ref="D405" authorId="4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HILDEBRANDO
28/05/2018</t>
        </r>
      </text>
    </comment>
    <comment ref="D411" authorId="0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16/09/2016
</t>
        </r>
      </text>
    </comment>
    <comment ref="D412" authorId="2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 05/07
</t>
        </r>
      </text>
    </comment>
    <comment ref="D413" authorId="8">
      <text>
        <r>
          <rPr>
            <sz val="8"/>
            <color indexed="81"/>
            <rFont val="Tahoma"/>
            <family val="2"/>
          </rPr>
          <t xml:space="preserve"> 
18/02/2014</t>
        </r>
      </text>
    </comment>
    <comment ref="D415" authorId="0">
      <text>
        <r>
          <rPr>
            <sz val="8"/>
            <color indexed="81"/>
            <rFont val="Tahoma"/>
            <family val="2"/>
          </rPr>
          <t>HILDEBRANDO 17/02/2016</t>
        </r>
      </text>
    </comment>
    <comment ref="D417" authorId="0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JAGUARIAIVA
22/12/2015</t>
        </r>
      </text>
    </comment>
    <comment ref="D419" authorId="0">
      <text>
        <r>
          <rPr>
            <sz val="8"/>
            <color indexed="81"/>
            <rFont val="Tahoma"/>
            <family val="2"/>
          </rPr>
          <t xml:space="preserve">25/04/2016
ART: 155 </t>
        </r>
      </text>
    </comment>
    <comment ref="D420" authorId="1">
      <text>
        <r>
          <rPr>
            <b/>
            <sz val="9"/>
            <color indexed="81"/>
            <rFont val="Tahoma"/>
            <family val="2"/>
          </rPr>
          <t>13/10/2020
oriundo de Castro</t>
        </r>
      </text>
    </comment>
    <comment ref="D422" authorId="4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HILDEBRANDO
18/09/2018</t>
        </r>
      </text>
    </comment>
    <comment ref="D424" authorId="3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</t>
        </r>
      </text>
    </comment>
    <comment ref="D428" authorId="2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CASTRO
26/12/2017
</t>
        </r>
      </text>
    </comment>
    <comment ref="D430" authorId="3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</t>
        </r>
      </text>
    </comment>
    <comment ref="D431" authorId="0">
      <text>
        <r>
          <rPr>
            <sz val="8"/>
            <color indexed="81"/>
            <rFont val="Tahoma"/>
            <family val="2"/>
          </rPr>
          <t>TEIXEIRA SOARES 27/08/2015
art. 217 estupro de vulnerável.</t>
        </r>
      </text>
    </comment>
    <comment ref="D433" authorId="0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CASTRO
19/09/2016</t>
        </r>
      </text>
    </comment>
    <comment ref="D436" authorId="2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TELEMACO BORBA</t>
        </r>
      </text>
    </comment>
    <comment ref="D437" authorId="2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
04/07/2017</t>
        </r>
      </text>
    </comment>
    <comment ref="D438" authorId="2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PIRAI DO SUL
19/07/2017</t>
        </r>
      </text>
    </comment>
    <comment ref="D439" authorId="0">
      <text>
        <r>
          <rPr>
            <sz val="8"/>
            <color indexed="81"/>
            <rFont val="Tahoma"/>
            <family val="2"/>
          </rPr>
          <t>CASTRO
08/09/2015
art. 33.</t>
        </r>
      </text>
    </comment>
    <comment ref="D446" authorId="0">
      <text>
        <r>
          <rPr>
            <sz val="8"/>
            <color indexed="81"/>
            <rFont val="Tahoma"/>
            <family val="2"/>
          </rPr>
          <t>HILDEBRANDO
20/04/2016</t>
        </r>
      </text>
    </comment>
    <comment ref="D454" authorId="4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CASTRO
29/07/2018</t>
        </r>
      </text>
    </comment>
    <comment ref="D456" authorId="3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PEP 2
06/02/2019</t>
        </r>
      </text>
    </comment>
    <comment ref="D459" authorId="3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
</t>
        </r>
      </text>
    </comment>
    <comment ref="D461" authorId="3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CCP
06/02/2019</t>
        </r>
      </text>
    </comment>
    <comment ref="D464" authorId="2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PIRAI DO SUL
19/07/2017</t>
        </r>
      </text>
    </comment>
    <comment ref="D486" authorId="5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CCP 09/12/2016</t>
        </r>
      </text>
    </comment>
    <comment ref="D492" authorId="8">
      <text>
        <r>
          <rPr>
            <sz val="8"/>
            <color indexed="81"/>
            <rFont val="Tahoma"/>
            <family val="2"/>
          </rPr>
          <t>ORTIGUEIRA-PR
22/11/13 
Art. 157
35 anos</t>
        </r>
      </text>
    </comment>
    <comment ref="D496" authorId="6">
      <text>
        <r>
          <rPr>
            <sz val="8"/>
            <color indexed="81"/>
            <rFont val="Tahoma"/>
            <family val="2"/>
          </rPr>
          <t>HILDEBRANDO
30/05/2011
Art. 121, 211, 213, 157 e 69
31 anos e 24 d</t>
        </r>
      </text>
    </comment>
    <comment ref="D499" authorId="0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20/10/2016</t>
        </r>
      </text>
    </comment>
    <comment ref="D503" authorId="2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TELEMACO BORBA</t>
        </r>
      </text>
    </comment>
  </commentList>
</comments>
</file>

<file path=xl/comments2.xml><?xml version="1.0" encoding="utf-8"?>
<comments xmlns="http://schemas.openxmlformats.org/spreadsheetml/2006/main">
  <authors>
    <author>PEPG</author>
    <author>DIAF</author>
    <author>DIPROM</author>
    <author>CI</author>
    <author>CEEBEJA</author>
    <author>DEPEN-4401</author>
    <author>ilhaway_32</author>
    <author>CRAPG</author>
    <author>DINF</author>
    <author>controle int</author>
    <author>Ilhaway-02</author>
  </authors>
  <commentList>
    <comment ref="C4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24/11/2010
Art. 157 r 121
18 anos</t>
        </r>
      </text>
    </comment>
    <comment ref="C7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01/04/2009
Art. 214 e 226
06 anos e 06 m</t>
        </r>
      </text>
    </comment>
    <comment ref="C8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01/04/2015
</t>
        </r>
      </text>
    </comment>
    <comment ref="C9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T. BORBA-PR
14/07/2014
Art. 157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ARAPOTI-PR
19/05/2011
Art. 157, 148, 214, 123
26 anos e 4 m</t>
        </r>
      </text>
    </comment>
    <comment ref="A24" authorId="1">
      <text>
        <r>
          <rPr>
            <b/>
            <sz val="8"/>
            <color indexed="81"/>
            <rFont val="Tahoma"/>
            <family val="2"/>
          </rPr>
          <t xml:space="preserve">ORIUNDO DE CASTRO EM 09/07/15 COM O RABO CHEIO DE CHIP...
</t>
        </r>
      </text>
    </comment>
    <comment ref="C24" authorId="1">
      <text>
        <r>
          <rPr>
            <b/>
            <sz val="8"/>
            <color indexed="81"/>
            <rFont val="Tahoma"/>
            <family val="2"/>
          </rPr>
          <t xml:space="preserve">ORIUNDO DE CASTRO EM 09/07/15 COM O RABO CHEIO DE CHIP...
</t>
        </r>
      </text>
    </comment>
    <comment ref="C27" authorId="2">
      <text>
        <r>
          <rPr>
            <b/>
            <sz val="8"/>
            <color indexed="81"/>
            <rFont val="Tahoma"/>
            <family val="2"/>
          </rPr>
          <t>DIPROM:</t>
        </r>
        <r>
          <rPr>
            <sz val="8"/>
            <color indexed="81"/>
            <rFont val="Tahoma"/>
            <family val="2"/>
          </rPr>
          <t xml:space="preserve">
HILDEBRANDO
06/01/2010
Art. 309, 330, 33
11 anos, 09 m
</t>
        </r>
      </text>
    </comment>
    <comment ref="C31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26/02/2016
</t>
        </r>
      </text>
    </comment>
    <comment ref="C33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28/05/2012
7 anos, 11 m e 07 d</t>
        </r>
      </text>
    </comment>
    <comment ref="C34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10/03/2011
Art. 33 e 16
8 anos</t>
        </r>
      </text>
    </comment>
    <comment ref="C35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31/03/2015</t>
        </r>
      </text>
    </comment>
    <comment ref="C40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02/08/2016</t>
        </r>
      </text>
    </comment>
    <comment ref="C62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22/12/2017
oriundo da CPHS</t>
        </r>
      </text>
    </comment>
    <comment ref="C63" authorId="1">
      <text>
        <r>
          <rPr>
            <b/>
            <sz val="8"/>
            <color indexed="81"/>
            <rFont val="Tahoma"/>
            <family val="2"/>
          </rPr>
          <t>Chegou em 01/12/2015</t>
        </r>
      </text>
    </comment>
    <comment ref="C67" authorId="4">
      <text>
        <r>
          <rPr>
            <sz val="8"/>
            <color indexed="81"/>
            <rFont val="Tahoma"/>
            <family val="2"/>
          </rPr>
          <t xml:space="preserve">PEP II
09/04/2014
</t>
        </r>
      </text>
    </comment>
    <comment ref="C79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01/06/2010
Art. 157, 14 e 213
15 anos e 09 m</t>
        </r>
      </text>
    </comment>
    <comment ref="C82" authorId="2">
      <text>
        <r>
          <rPr>
            <sz val="8"/>
            <color indexed="81"/>
            <rFont val="Tahoma"/>
            <family val="2"/>
          </rPr>
          <t xml:space="preserve">HILDEBRANDO
05/09/2014
</t>
        </r>
      </text>
    </comment>
    <comment ref="C95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 - 25/08/2011
Art. 157 
7 anos</t>
        </r>
      </text>
    </comment>
    <comment ref="C99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20/10/2016</t>
        </r>
      </text>
    </comment>
    <comment ref="C104" authorId="2">
      <text>
        <r>
          <rPr>
            <sz val="8"/>
            <color indexed="81"/>
            <rFont val="Tahoma"/>
            <family val="2"/>
          </rPr>
          <t xml:space="preserve">Regressão CRAPG
30/05/2014
</t>
        </r>
      </text>
    </comment>
    <comment ref="C106" authorId="2">
      <text>
        <r>
          <rPr>
            <sz val="8"/>
            <color indexed="81"/>
            <rFont val="Tahoma"/>
            <family val="2"/>
          </rPr>
          <t xml:space="preserve">HILDEBRANDO
09/09/2014
</t>
        </r>
      </text>
    </comment>
    <comment ref="C108" authorId="4">
      <text>
        <r>
          <rPr>
            <b/>
            <sz val="8"/>
            <color indexed="81"/>
            <rFont val="Tahoma"/>
            <family val="2"/>
          </rPr>
          <t>CEEBEJA:</t>
        </r>
        <r>
          <rPr>
            <sz val="8"/>
            <color indexed="81"/>
            <rFont val="Tahoma"/>
            <family val="2"/>
          </rPr>
          <t xml:space="preserve">
HILDEBRANDO
28/12/2012
</t>
        </r>
      </text>
    </comment>
    <comment ref="C110" authorId="0">
      <text>
        <r>
          <rPr>
            <sz val="8"/>
            <color indexed="81"/>
            <rFont val="Tahoma"/>
            <family val="2"/>
          </rPr>
          <t>SENGÉS-PR
25/01/2012.
Art. 121
12 anos</t>
        </r>
      </text>
    </comment>
    <comment ref="C111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JAGUARIAIVA 14/07/17</t>
        </r>
      </text>
    </comment>
    <comment ref="C122" authorId="2">
      <text>
        <r>
          <rPr>
            <b/>
            <sz val="8"/>
            <color indexed="81"/>
            <rFont val="Tahoma"/>
            <family val="2"/>
          </rPr>
          <t>ENTRADA
28/04/14</t>
        </r>
      </text>
    </comment>
    <comment ref="C125" authorId="2">
      <text>
        <r>
          <rPr>
            <sz val="8"/>
            <color indexed="81"/>
            <rFont val="Tahoma"/>
            <family val="2"/>
          </rPr>
          <t>HILDEBRANDO
05/09/2014</t>
        </r>
      </text>
    </comment>
    <comment ref="C129" authorId="5">
      <text>
        <r>
          <rPr>
            <b/>
            <sz val="8"/>
            <color indexed="81"/>
            <rFont val="Tahoma"/>
            <family val="2"/>
          </rPr>
          <t>DEPEN-4401:</t>
        </r>
        <r>
          <rPr>
            <sz val="8"/>
            <color indexed="81"/>
            <rFont val="Tahoma"/>
            <family val="2"/>
          </rPr>
          <t xml:space="preserve">
JAGUARÍAIVA 05/05/09.</t>
        </r>
      </text>
    </comment>
    <comment ref="C131" authorId="4">
      <text>
        <r>
          <rPr>
            <b/>
            <sz val="8"/>
            <color indexed="81"/>
            <rFont val="Tahoma"/>
            <family val="2"/>
          </rPr>
          <t>CEEBEJA:</t>
        </r>
        <r>
          <rPr>
            <sz val="8"/>
            <color indexed="81"/>
            <rFont val="Tahoma"/>
            <family val="2"/>
          </rPr>
          <t xml:space="preserve">
TIBAGI
02/06/2010
Art. 213, 224 e 226
9 anos</t>
        </r>
      </text>
    </comment>
    <comment ref="C133" authorId="2">
      <text>
        <r>
          <rPr>
            <sz val="8"/>
            <color indexed="81"/>
            <rFont val="Tahoma"/>
            <family val="2"/>
          </rPr>
          <t xml:space="preserve">HILDEBRANDO
29/05/2014
</t>
        </r>
      </text>
    </comment>
    <comment ref="C141" authorId="6">
      <text>
        <r>
          <rPr>
            <sz val="9"/>
            <color indexed="81"/>
            <rFont val="Tahoma"/>
            <family val="2"/>
          </rPr>
          <t>HILDEBRANDO 20/09/2019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2" authorId="2">
      <text>
        <r>
          <rPr>
            <b/>
            <sz val="8"/>
            <color indexed="81"/>
            <rFont val="Tahoma"/>
            <family val="2"/>
          </rPr>
          <t>HILDEBRANDO 04/09/14.</t>
        </r>
      </text>
    </comment>
    <comment ref="C146" authorId="1">
      <text>
        <r>
          <rPr>
            <b/>
            <sz val="8"/>
            <color indexed="81"/>
            <rFont val="Tahoma"/>
            <family val="2"/>
          </rPr>
          <t>20/01/2016
PCE</t>
        </r>
      </text>
    </comment>
    <comment ref="C151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PCC 04/05/2015</t>
        </r>
      </text>
    </comment>
    <comment ref="C160" authorId="7">
      <text>
        <r>
          <rPr>
            <b/>
            <sz val="8"/>
            <color indexed="81"/>
            <rFont val="Tahoma"/>
            <family val="2"/>
          </rPr>
          <t>CRAPG:</t>
        </r>
        <r>
          <rPr>
            <sz val="8"/>
            <color indexed="81"/>
            <rFont val="Tahoma"/>
            <family val="2"/>
          </rPr>
          <t xml:space="preserve">
HILDEBRAMDO
16/04/2013
RETORNOU
17/04/2013
</t>
        </r>
      </text>
    </comment>
    <comment ref="C161" authorId="8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HILDEBRANDO
05/04/2017</t>
        </r>
      </text>
    </comment>
    <comment ref="C165" authorId="1">
      <text>
        <r>
          <rPr>
            <b/>
            <sz val="8"/>
            <color indexed="81"/>
            <rFont val="Tahoma"/>
            <family val="2"/>
          </rPr>
          <t>CPHS 29/04/2016</t>
        </r>
      </text>
    </comment>
    <comment ref="A168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PEP2 20/12/2018
Permuta Eberton Rodolfo da silva Lopes</t>
        </r>
      </text>
    </comment>
    <comment ref="C168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PEP2 20/12/2018
Permuta Eberton Rodolfo da silva Lopes</t>
        </r>
      </text>
    </comment>
    <comment ref="C170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28/05/2012
Art. 155
12 anos, 09 m e 15 d</t>
        </r>
      </text>
    </comment>
    <comment ref="C172" authorId="1">
      <text>
        <r>
          <rPr>
            <b/>
            <sz val="8"/>
            <color indexed="81"/>
            <rFont val="Tahoma"/>
            <family val="2"/>
          </rPr>
          <t xml:space="preserve">CHEGADA EM 25/04/2016
ART: </t>
        </r>
      </text>
    </comment>
    <comment ref="C174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Palmeira
05/05/09
</t>
        </r>
      </text>
    </comment>
    <comment ref="C184" authorId="4">
      <text>
        <r>
          <rPr>
            <sz val="8"/>
            <color indexed="81"/>
            <rFont val="Tahoma"/>
            <family val="2"/>
          </rPr>
          <t xml:space="preserve">HILDEBRANDO
14/03/2014
</t>
        </r>
      </text>
    </comment>
    <comment ref="C205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13/05/2011
</t>
        </r>
      </text>
    </comment>
    <comment ref="C206" authorId="2">
      <text>
        <r>
          <rPr>
            <sz val="8"/>
            <color indexed="81"/>
            <rFont val="Tahoma"/>
            <family val="2"/>
          </rPr>
          <t xml:space="preserve">HILDEBRANDO
05/09/2014
</t>
        </r>
      </text>
    </comment>
    <comment ref="C211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CCC
12/01/2016</t>
        </r>
      </text>
    </comment>
    <comment ref="C212" authorId="6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13 SDP 25/03/2020</t>
        </r>
      </text>
    </comment>
    <comment ref="C213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T. BORBA 27/07/17
CARNEIRO</t>
        </r>
      </text>
    </comment>
    <comment ref="C216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T. BORBA
12/05/2016
</t>
        </r>
      </text>
    </comment>
    <comment ref="A221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RETORNO DO CMP 09/10/17
</t>
        </r>
      </text>
    </comment>
    <comment ref="C221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RETORNO DO CMP 09/10/17
</t>
        </r>
      </text>
    </comment>
    <comment ref="C225" authorId="1">
      <text>
        <r>
          <rPr>
            <b/>
            <sz val="8"/>
            <color indexed="81"/>
            <rFont val="Tahoma"/>
            <family val="2"/>
          </rPr>
          <t>Chegada em 12/08/15.</t>
        </r>
      </text>
    </comment>
    <comment ref="C232" authorId="2">
      <text>
        <r>
          <rPr>
            <sz val="8"/>
            <color indexed="81"/>
            <rFont val="Tahoma"/>
            <family val="2"/>
          </rPr>
          <t>ANDERSON DOS SANTOS
HILDEBRANDO 12/12/2014. TENTATIVA DE FUGA CRAPG 01/12/2015</t>
        </r>
      </text>
    </comment>
    <comment ref="C233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CMP 06/05/2014</t>
        </r>
      </text>
    </comment>
    <comment ref="C236" authorId="6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FOZ DO IGUAÇU
09/03/2020</t>
        </r>
      </text>
    </comment>
    <comment ref="C246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T. BORBA</t>
        </r>
      </text>
    </comment>
    <comment ref="A247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SIQUEIRA CAMPOS
04/07/2017</t>
        </r>
      </text>
    </comment>
    <comment ref="C247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SIQUEIRA CAMPOS
04/07/2017</t>
        </r>
      </text>
    </comment>
    <comment ref="C252" authorId="2">
      <text>
        <r>
          <rPr>
            <b/>
            <sz val="8"/>
            <color indexed="81"/>
            <rFont val="Tahoma"/>
            <family val="2"/>
          </rPr>
          <t>DIPROM:</t>
        </r>
        <r>
          <rPr>
            <sz val="8"/>
            <color indexed="81"/>
            <rFont val="Tahoma"/>
            <family val="2"/>
          </rPr>
          <t xml:space="preserve">
ENTRADA
28/04/2014</t>
        </r>
      </text>
    </comment>
    <comment ref="A253" authorId="2">
      <text>
        <r>
          <rPr>
            <b/>
            <sz val="8"/>
            <color indexed="81"/>
            <rFont val="Tahoma"/>
            <family val="2"/>
          </rPr>
          <t>HILDEBRANDO 04/09/14</t>
        </r>
      </text>
    </comment>
    <comment ref="C254" authorId="2">
      <text>
        <r>
          <rPr>
            <b/>
            <sz val="8"/>
            <color indexed="81"/>
            <rFont val="Tahoma"/>
            <family val="2"/>
          </rPr>
          <t>HILDEBRANDO 04/09/14</t>
        </r>
      </text>
    </comment>
    <comment ref="A258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
04/07/2017</t>
        </r>
      </text>
    </comment>
    <comment ref="C259" authorId="10">
      <text>
        <r>
          <rPr>
            <sz val="9"/>
            <color indexed="81"/>
            <rFont val="Segoe UI"/>
            <family val="2"/>
          </rPr>
          <t>HILDEBRANDO
 10/07/2019</t>
        </r>
      </text>
    </comment>
    <comment ref="C263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14/10/2016</t>
        </r>
      </text>
    </comment>
    <comment ref="C264" authorId="3">
      <text>
        <r>
          <rPr>
            <b/>
            <sz val="9"/>
            <color indexed="81"/>
            <rFont val="Segoe UI"/>
            <family val="2"/>
          </rPr>
          <t xml:space="preserve">CI:
</t>
        </r>
        <r>
          <rPr>
            <sz val="9"/>
            <color indexed="81"/>
            <rFont val="Segoe UI"/>
            <family val="2"/>
          </rPr>
          <t xml:space="preserve">CASTRO
26/12/2017
</t>
        </r>
      </text>
    </comment>
    <comment ref="A265" authorId="1">
      <text>
        <r>
          <rPr>
            <sz val="8"/>
            <color indexed="81"/>
            <rFont val="Tahoma"/>
            <family val="2"/>
          </rPr>
          <t>T. BORBA
06/05/2015</t>
        </r>
      </text>
    </comment>
    <comment ref="C265" authorId="8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SIQUEIRA CAMPOS
11/05/2017</t>
        </r>
      </text>
    </comment>
    <comment ref="C266" authorId="1">
      <text>
        <r>
          <rPr>
            <b/>
            <sz val="8"/>
            <color indexed="81"/>
            <rFont val="Tahoma"/>
            <family val="2"/>
          </rPr>
          <t>Retorno CMP 14/03/2016</t>
        </r>
      </text>
    </comment>
    <comment ref="C272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02/03/2011
Art. 214 e 224
7 anos</t>
        </r>
      </text>
    </comment>
    <comment ref="C275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05/01/2011
Art. 155 e 33
4 anos e 2 m</t>
        </r>
      </text>
    </comment>
    <comment ref="C276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07/04/2015
</t>
        </r>
      </text>
    </comment>
    <comment ref="C294" authorId="5">
      <text>
        <r>
          <rPr>
            <b/>
            <sz val="8"/>
            <color indexed="81"/>
            <rFont val="Tahoma"/>
            <family val="2"/>
          </rPr>
          <t>DEPEN-4401:</t>
        </r>
        <r>
          <rPr>
            <sz val="8"/>
            <color indexed="81"/>
            <rFont val="Tahoma"/>
            <family val="2"/>
          </rPr>
          <t xml:space="preserve">
ORIUNDO DE IMBITUVA
15/06/09
</t>
        </r>
      </text>
    </comment>
    <comment ref="C306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Hildebrando, chegou em 17/05/2011. Tráfico. Pena de 10 anos e 25 dias.</t>
        </r>
      </text>
    </comment>
    <comment ref="C307" authorId="8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HSPG 12/12/16</t>
        </r>
      </text>
    </comment>
    <comment ref="C309" authorId="2">
      <text>
        <r>
          <rPr>
            <sz val="8"/>
            <color indexed="81"/>
            <rFont val="Tahoma"/>
            <family val="2"/>
          </rPr>
          <t xml:space="preserve">HILDEBRANDO
09/09/2014
Art. 157
</t>
        </r>
      </text>
    </comment>
    <comment ref="C310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CADEIA DE JAGUARIAIVA
22/12/2015</t>
        </r>
      </text>
    </comment>
    <comment ref="C314" authorId="5">
      <text>
        <r>
          <rPr>
            <b/>
            <sz val="8"/>
            <color indexed="81"/>
            <rFont val="Tahoma"/>
            <family val="2"/>
          </rPr>
          <t>DEPEN-4401:</t>
        </r>
        <r>
          <rPr>
            <sz val="8"/>
            <color indexed="81"/>
            <rFont val="Tahoma"/>
            <family val="2"/>
          </rPr>
          <t xml:space="preserve">
ORIUNDO DE T.BORBA             15/06/09
</t>
        </r>
      </text>
    </comment>
    <comment ref="C315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04/01/2009
Art. 313 e 14
07 anos e 07 m</t>
        </r>
      </text>
    </comment>
    <comment ref="C316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  04/05/10
Art. 33
6 anos e 2 m</t>
        </r>
      </text>
    </comment>
    <comment ref="C318" authorId="7">
      <text>
        <r>
          <rPr>
            <b/>
            <sz val="8"/>
            <color indexed="81"/>
            <rFont val="Tahoma"/>
            <family val="2"/>
          </rPr>
          <t>CRAPG:</t>
        </r>
        <r>
          <rPr>
            <sz val="8"/>
            <color indexed="81"/>
            <rFont val="Tahoma"/>
            <family val="2"/>
          </rPr>
          <t xml:space="preserve">
03/11/2009
Art. 121 e 224
09 anos</t>
        </r>
      </text>
    </comment>
    <comment ref="C329" authorId="2">
      <text>
        <r>
          <rPr>
            <sz val="8"/>
            <color indexed="81"/>
            <rFont val="Tahoma"/>
            <family val="2"/>
          </rPr>
          <t xml:space="preserve">HILDEBRANDO
09/09/2014
</t>
        </r>
      </text>
    </comment>
    <comment ref="C331" authorId="8">
      <text>
        <r>
          <rPr>
            <b/>
            <sz val="9"/>
            <color indexed="81"/>
            <rFont val="Tahoma"/>
            <family val="2"/>
          </rPr>
          <t>ORIUNDO DA CPHS EM 07/12/2016</t>
        </r>
      </text>
    </comment>
    <comment ref="C354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T. BORBA</t>
        </r>
      </text>
    </comment>
    <comment ref="C356" authorId="1">
      <text>
        <r>
          <rPr>
            <b/>
            <sz val="8"/>
            <color indexed="81"/>
            <rFont val="Tahoma"/>
            <family val="2"/>
          </rPr>
          <t>Chegou em 01/12/2015</t>
        </r>
      </text>
    </comment>
    <comment ref="C360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PIRAI DO SUL-PR
14/12/2015
Art. 33 e 35</t>
        </r>
      </text>
    </comment>
    <comment ref="C364" authorId="2">
      <text>
        <r>
          <rPr>
            <sz val="8"/>
            <color indexed="81"/>
            <rFont val="Tahoma"/>
            <family val="2"/>
          </rPr>
          <t>HILDEBRANDO
22/08/2014
Art. 213</t>
        </r>
      </text>
    </comment>
    <comment ref="C371" authorId="1">
      <text>
        <r>
          <rPr>
            <b/>
            <sz val="8"/>
            <color indexed="81"/>
            <rFont val="Tahoma"/>
            <family val="2"/>
          </rPr>
          <t>Retorno ao Setor em 16/06/2016</t>
        </r>
      </text>
    </comment>
    <comment ref="C375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CASTRO :01/04/2009</t>
        </r>
      </text>
    </comment>
    <comment ref="C376" authorId="4">
      <text>
        <r>
          <rPr>
            <b/>
            <sz val="8"/>
            <color indexed="81"/>
            <rFont val="Tahoma"/>
            <family val="2"/>
          </rPr>
          <t>ENTRADA 
18/02/14</t>
        </r>
      </text>
    </comment>
    <comment ref="C379" authorId="5">
      <text>
        <r>
          <rPr>
            <b/>
            <sz val="8"/>
            <color indexed="81"/>
            <rFont val="Tahoma"/>
            <family val="2"/>
          </rPr>
          <t>DEPEN-4401:</t>
        </r>
        <r>
          <rPr>
            <sz val="8"/>
            <color indexed="81"/>
            <rFont val="Tahoma"/>
            <family val="2"/>
          </rPr>
          <t xml:space="preserve">
HILDEBRANDO DE SOUZA 14/10/09.</t>
        </r>
      </text>
    </comment>
    <comment ref="C383" authorId="4">
      <text>
        <r>
          <rPr>
            <b/>
            <sz val="8"/>
            <color indexed="81"/>
            <rFont val="Tahoma"/>
            <family val="2"/>
          </rPr>
          <t>CEEBEJA:</t>
        </r>
        <r>
          <rPr>
            <sz val="8"/>
            <color indexed="81"/>
            <rFont val="Tahoma"/>
            <family val="2"/>
          </rPr>
          <t xml:space="preserve">
TIBAGI
18/05/2012
9anos 04 m</t>
        </r>
      </text>
    </comment>
    <comment ref="C388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 05/07
</t>
        </r>
      </text>
    </comment>
    <comment ref="C389" authorId="4">
      <text>
        <r>
          <rPr>
            <sz val="8"/>
            <color indexed="81"/>
            <rFont val="Tahoma"/>
            <family val="2"/>
          </rPr>
          <t>ENTRADA  20/11/13</t>
        </r>
      </text>
    </comment>
    <comment ref="C390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T. BORBA
19/09/2010
Art. 121
14 anos 7 m</t>
        </r>
      </text>
    </comment>
    <comment ref="C392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18/03/2013</t>
        </r>
      </text>
    </comment>
    <comment ref="C395" authorId="8">
      <text>
        <r>
          <rPr>
            <b/>
            <sz val="9"/>
            <color indexed="81"/>
            <rFont val="Tahoma"/>
            <family val="2"/>
          </rPr>
          <t xml:space="preserve">26/04/2017
TOMAZINA
art. 157
</t>
        </r>
      </text>
    </comment>
    <comment ref="C397" authorId="4">
      <text>
        <r>
          <rPr>
            <b/>
            <sz val="8"/>
            <color indexed="81"/>
            <rFont val="Tahoma"/>
            <family val="2"/>
          </rPr>
          <t>CEEBEJA:</t>
        </r>
        <r>
          <rPr>
            <sz val="8"/>
            <color indexed="81"/>
            <rFont val="Tahoma"/>
            <family val="2"/>
          </rPr>
          <t xml:space="preserve">
HILDEBRANDO
18/03/2013</t>
        </r>
      </text>
    </comment>
    <comment ref="C398" authorId="9">
      <text>
        <r>
          <rPr>
            <b/>
            <sz val="9"/>
            <color indexed="81"/>
            <rFont val="Segoe UI"/>
            <family val="2"/>
          </rPr>
          <t xml:space="preserve">controle int:
</t>
        </r>
        <r>
          <rPr>
            <sz val="9"/>
            <color indexed="81"/>
            <rFont val="Segoe UI"/>
            <family val="2"/>
          </rPr>
          <t>PERMUTA PCE 26/4/18</t>
        </r>
      </text>
    </comment>
    <comment ref="C399" authorId="9">
      <text>
        <r>
          <rPr>
            <b/>
            <sz val="9"/>
            <color indexed="81"/>
            <rFont val="Segoe UI"/>
            <family val="2"/>
          </rPr>
          <t xml:space="preserve">controle int:
</t>
        </r>
        <r>
          <rPr>
            <sz val="9"/>
            <color indexed="81"/>
            <rFont val="Segoe UI"/>
            <family val="2"/>
          </rPr>
          <t>PERMUTA PCE 26/4/18</t>
        </r>
      </text>
    </comment>
    <comment ref="C408" authorId="2">
      <text>
        <r>
          <rPr>
            <sz val="8"/>
            <color indexed="81"/>
            <rFont val="Tahoma"/>
            <family val="2"/>
          </rPr>
          <t>CCC
22/08/2014
Permuta (João Claudio Bueno da Silva)</t>
        </r>
      </text>
    </comment>
    <comment ref="C418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Castor</t>
        </r>
      </text>
    </comment>
    <comment ref="C420" authorId="1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CCP
06/02/2019
</t>
        </r>
      </text>
    </comment>
    <comment ref="C423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HIDELBRANDO
10/03/2011</t>
        </r>
      </text>
    </comment>
    <comment ref="A440" authorId="8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HILDEBRANDO
12/12/2016</t>
        </r>
      </text>
    </comment>
    <comment ref="C440" authorId="1">
      <text>
        <r>
          <rPr>
            <sz val="8"/>
            <color indexed="81"/>
            <rFont val="Tahoma"/>
            <family val="2"/>
          </rPr>
          <t>HILDEBRANDO
14/04.</t>
        </r>
      </text>
    </comment>
    <comment ref="C443" authorId="8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HILDEBRANDO
31/03/2017</t>
        </r>
      </text>
    </comment>
    <comment ref="C447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CPHS 28/05/18</t>
        </r>
      </text>
    </comment>
    <comment ref="C448" authorId="4">
      <text>
        <r>
          <rPr>
            <b/>
            <sz val="8"/>
            <color indexed="81"/>
            <rFont val="Tahoma"/>
            <family val="2"/>
          </rPr>
          <t>Entrada
04/04/2014</t>
        </r>
      </text>
    </comment>
    <comment ref="C452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14/09/2010
Art. 33
05 anos e 10 m</t>
        </r>
      </text>
    </comment>
    <comment ref="C453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12/12/2014</t>
        </r>
      </text>
    </comment>
    <comment ref="C454" authorId="0">
      <text>
        <r>
          <rPr>
            <sz val="8"/>
            <color indexed="81"/>
            <rFont val="Tahoma"/>
            <family val="2"/>
          </rPr>
          <t>Art.157, 306 e 121
14 anos</t>
        </r>
      </text>
    </comment>
    <comment ref="C460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01/06/2010
Art. 
15 anos, 1 m e 6 d  </t>
        </r>
      </text>
    </comment>
    <comment ref="C465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RETORNO CMP
20.07.2010</t>
        </r>
      </text>
    </comment>
    <comment ref="C485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02/08/2016
</t>
        </r>
      </text>
    </comment>
    <comment ref="C486" authorId="8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HILDEBRANDO
12/12/2016
</t>
        </r>
      </text>
    </comment>
    <comment ref="C487" authorId="2">
      <text>
        <r>
          <rPr>
            <sz val="8"/>
            <color indexed="81"/>
            <rFont val="Tahoma"/>
            <family val="2"/>
          </rPr>
          <t>HILDEBRANDO
03/09/2014
Art. 33</t>
        </r>
      </text>
    </comment>
    <comment ref="C494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10/09/2009
</t>
        </r>
      </text>
    </comment>
    <comment ref="C498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SIQUEIRA CAMPOS
04/07/2017</t>
        </r>
      </text>
    </comment>
    <comment ref="C500" authorId="5">
      <text>
        <r>
          <rPr>
            <b/>
            <sz val="8"/>
            <color indexed="81"/>
            <rFont val="Tahoma"/>
            <family val="2"/>
          </rPr>
          <t>DEPEN-4401:</t>
        </r>
        <r>
          <rPr>
            <sz val="8"/>
            <color indexed="81"/>
            <rFont val="Tahoma"/>
            <family val="2"/>
          </rPr>
          <t xml:space="preserve">
HILDEBRANDO 09/10/2009
</t>
        </r>
      </text>
    </comment>
    <comment ref="C504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14/04/2015</t>
        </r>
      </text>
    </comment>
    <comment ref="C510" authorId="1">
      <text>
        <r>
          <rPr>
            <sz val="8"/>
            <color indexed="81"/>
            <rFont val="Tahoma"/>
            <family val="2"/>
          </rPr>
          <t>HILDEBRANDO
14/02/2015</t>
        </r>
      </text>
    </comment>
    <comment ref="C514" authorId="2">
      <text>
        <r>
          <rPr>
            <sz val="8"/>
            <color indexed="81"/>
            <rFont val="Tahoma"/>
            <family val="2"/>
          </rPr>
          <t xml:space="preserve">HILDEBRANDO
29/05/2014
</t>
        </r>
      </text>
    </comment>
    <comment ref="C517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 
11/12/2015
</t>
        </r>
      </text>
    </comment>
    <comment ref="C518" authorId="4">
      <text>
        <r>
          <rPr>
            <b/>
            <sz val="8"/>
            <color indexed="81"/>
            <rFont val="Tahoma"/>
            <family val="2"/>
          </rPr>
          <t>CEEBEJA:</t>
        </r>
        <r>
          <rPr>
            <sz val="8"/>
            <color indexed="81"/>
            <rFont val="Tahoma"/>
            <family val="2"/>
          </rPr>
          <t xml:space="preserve">
03/11/2009
Art. 155, 71 e 10
24 anos e 03 m</t>
        </r>
      </text>
    </comment>
    <comment ref="C525" authorId="2">
      <text>
        <r>
          <rPr>
            <sz val="8"/>
            <color indexed="81"/>
            <rFont val="Tahoma"/>
            <family val="2"/>
          </rPr>
          <t xml:space="preserve">T. BORBA 14/07/2014
</t>
        </r>
        <r>
          <rPr>
            <b/>
            <sz val="8"/>
            <color indexed="81"/>
            <rFont val="Tahoma"/>
            <family val="2"/>
          </rPr>
          <t>CLEVERTON VIEIRA ALMEIDA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527" authorId="4">
      <text>
        <r>
          <rPr>
            <sz val="8"/>
            <color indexed="81"/>
            <rFont val="Tahoma"/>
            <family val="2"/>
          </rPr>
          <t xml:space="preserve">HILDEBRANDO
13/03/2014
</t>
        </r>
      </text>
    </comment>
    <comment ref="C531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SENGES
07/01/2019
</t>
        </r>
      </text>
    </comment>
    <comment ref="C536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14/12/2012
CMP
22/02/2013 a 05/03/2013
</t>
        </r>
      </text>
    </comment>
    <comment ref="C537" authorId="2">
      <text>
        <r>
          <rPr>
            <b/>
            <sz val="8"/>
            <color indexed="81"/>
            <rFont val="Tahoma"/>
            <family val="2"/>
          </rPr>
          <t>Eu sou do PCC.</t>
        </r>
      </text>
    </comment>
    <comment ref="C540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CPHS
25/09/18</t>
        </r>
      </text>
    </comment>
    <comment ref="C542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IMBITUVA-PR
13/02/2015</t>
        </r>
      </text>
    </comment>
    <comment ref="C547" authorId="5">
      <text>
        <r>
          <rPr>
            <b/>
            <sz val="8"/>
            <color indexed="81"/>
            <rFont val="Tahoma"/>
            <family val="2"/>
          </rPr>
          <t>DEPEN-4401:</t>
        </r>
        <r>
          <rPr>
            <sz val="8"/>
            <color indexed="81"/>
            <rFont val="Tahoma"/>
            <family val="2"/>
          </rPr>
          <t xml:space="preserve">
Oriundos de Tex Borba 10/06/09.</t>
        </r>
      </text>
    </comment>
    <comment ref="C554" authorId="6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HILDEBRANDO
16/01/2020</t>
        </r>
      </text>
    </comment>
    <comment ref="C561" authorId="1">
      <text>
        <r>
          <rPr>
            <sz val="8"/>
            <color indexed="81"/>
            <rFont val="Tahoma"/>
            <family val="2"/>
          </rPr>
          <t xml:space="preserve">HILDEBRANDO
14/02/2015
</t>
        </r>
      </text>
    </comment>
    <comment ref="C563" authorId="2">
      <text>
        <r>
          <rPr>
            <sz val="8"/>
            <color indexed="81"/>
            <rFont val="Tahoma"/>
            <family val="2"/>
          </rPr>
          <t>T. BORBA
14/07/2014
Art. 121</t>
        </r>
      </text>
    </comment>
    <comment ref="C565" authorId="1">
      <text>
        <r>
          <rPr>
            <b/>
            <sz val="8"/>
            <color indexed="81"/>
            <rFont val="Tahoma"/>
            <family val="2"/>
          </rPr>
          <t>22/09/2016
oriundos do Hidebtando</t>
        </r>
      </text>
    </comment>
    <comment ref="C566" authorId="5">
      <text>
        <r>
          <rPr>
            <b/>
            <sz val="8"/>
            <color indexed="81"/>
            <rFont val="Tahoma"/>
            <family val="2"/>
          </rPr>
          <t>DEPEN-4401:</t>
        </r>
        <r>
          <rPr>
            <sz val="8"/>
            <color indexed="81"/>
            <rFont val="Tahoma"/>
            <family val="2"/>
          </rPr>
          <t xml:space="preserve">
EVADIDO 26/03/09</t>
        </r>
      </text>
    </comment>
    <comment ref="C568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22/12/2017
oriundo da CPHS</t>
        </r>
      </text>
    </comment>
    <comment ref="A574" authorId="1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CCP
06/02/2019</t>
        </r>
      </text>
    </comment>
    <comment ref="C576" authorId="1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CCP
06/02/2019</t>
        </r>
      </text>
    </comment>
    <comment ref="C579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 05/07
</t>
        </r>
      </text>
    </comment>
    <comment ref="C580" authorId="6">
      <text>
        <r>
          <rPr>
            <b/>
            <sz val="9"/>
            <color indexed="81"/>
            <rFont val="Tahoma"/>
            <family val="2"/>
          </rPr>
          <t>21/07
Oriundo da 13ª SDP</t>
        </r>
      </text>
    </comment>
    <comment ref="A588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ORIUNDO DE ARAPOTI
11/05/2016</t>
        </r>
      </text>
    </comment>
    <comment ref="C588" authorId="2">
      <text>
        <r>
          <rPr>
            <b/>
            <sz val="8"/>
            <color indexed="81"/>
            <rFont val="Tahoma"/>
            <family val="2"/>
          </rPr>
          <t>DIPROM:</t>
        </r>
        <r>
          <rPr>
            <sz val="8"/>
            <color indexed="81"/>
            <rFont val="Tahoma"/>
            <family val="2"/>
          </rPr>
          <t xml:space="preserve">
ENTRADA
08/10/2013</t>
        </r>
      </text>
    </comment>
    <comment ref="C589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ORIUNDO DE ARAPOTI
11/05/2016</t>
        </r>
      </text>
    </comment>
    <comment ref="C590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TELEMACO BORBA 
27/07/2017</t>
        </r>
      </text>
    </comment>
    <comment ref="C597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ret. CMP 20/09/2017</t>
        </r>
      </text>
    </comment>
    <comment ref="C601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T. BORBA-PR
13/05/2015
Art. 35 e 36</t>
        </r>
      </text>
    </comment>
    <comment ref="C602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T. BORBA
12/05/2016
</t>
        </r>
      </text>
    </comment>
    <comment ref="C605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ORIUNDO DE ARAPOTI
11/05/2016</t>
        </r>
      </text>
    </comment>
    <comment ref="C606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03/06/2009
Art. 155 e 33
5 anos</t>
        </r>
      </text>
    </comment>
    <comment ref="C607" authorId="1">
      <text>
        <r>
          <rPr>
            <sz val="8"/>
            <color indexed="81"/>
            <rFont val="Tahoma"/>
            <family val="2"/>
          </rPr>
          <t xml:space="preserve">CASTRO-PR
28/10/2015
</t>
        </r>
      </text>
    </comment>
    <comment ref="C612" authorId="2">
      <text>
        <r>
          <rPr>
            <sz val="8"/>
            <color indexed="81"/>
            <rFont val="Tahoma"/>
            <family val="2"/>
          </rPr>
          <t xml:space="preserve">HILDEBRANDO
27/06/2014
</t>
        </r>
      </text>
    </comment>
    <comment ref="A613" authorId="1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CCJP
06/02/2019</t>
        </r>
      </text>
    </comment>
    <comment ref="C613" authorId="1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CCJP
06/02/2019</t>
        </r>
      </text>
    </comment>
    <comment ref="C615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26/12/2017
oriundo de Castro</t>
        </r>
      </text>
    </comment>
    <comment ref="C617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04/09/2014
</t>
        </r>
      </text>
    </comment>
    <comment ref="C627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T. BORBA
NÊ</t>
        </r>
      </text>
    </comment>
    <comment ref="A628" authorId="1">
      <text>
        <r>
          <rPr>
            <b/>
            <sz val="8"/>
            <color indexed="81"/>
            <rFont val="Tahoma"/>
            <family val="2"/>
          </rPr>
          <t>Chegada em 24/08/16.</t>
        </r>
      </text>
    </comment>
    <comment ref="C631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CASTRO</t>
        </r>
      </text>
    </comment>
    <comment ref="C640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HILDEBRANDO
25/09/2018</t>
        </r>
      </text>
    </comment>
    <comment ref="C642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25/08/2011
Art. 217 
7 anos</t>
        </r>
      </text>
    </comment>
    <comment ref="C644" authorId="2">
      <text>
        <r>
          <rPr>
            <b/>
            <sz val="8"/>
            <color indexed="81"/>
            <rFont val="Tahoma"/>
            <family val="2"/>
          </rPr>
          <t>ENTRADA 28/04/14</t>
        </r>
      </text>
    </comment>
    <comment ref="C645" authorId="1">
      <text>
        <r>
          <rPr>
            <b/>
            <sz val="8"/>
            <color indexed="81"/>
            <rFont val="Tahoma"/>
            <family val="2"/>
          </rPr>
          <t>Entrada da CPHS em 20/04/2016</t>
        </r>
      </text>
    </comment>
    <comment ref="C648" authorId="2">
      <text>
        <r>
          <rPr>
            <b/>
            <sz val="8"/>
            <color indexed="81"/>
            <rFont val="Tahoma"/>
            <family val="2"/>
          </rPr>
          <t>DIPROM:</t>
        </r>
        <r>
          <rPr>
            <sz val="8"/>
            <color indexed="81"/>
            <rFont val="Tahoma"/>
            <family val="2"/>
          </rPr>
          <t xml:space="preserve">
HILDEBRANDO
03/09/2014
Art. 121
</t>
        </r>
      </text>
    </comment>
    <comment ref="C651" authorId="5">
      <text>
        <r>
          <rPr>
            <b/>
            <sz val="8"/>
            <color indexed="81"/>
            <rFont val="Tahoma"/>
            <family val="2"/>
          </rPr>
          <t>DEPEN-4401:</t>
        </r>
        <r>
          <rPr>
            <sz val="8"/>
            <color indexed="81"/>
            <rFont val="Tahoma"/>
            <family val="2"/>
          </rPr>
          <t xml:space="preserve">
ORIUNDO DE PG 07/05/09</t>
        </r>
      </text>
    </comment>
    <comment ref="C654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27/10/2006
Art. 157, 61, 69, 148 e 29
36 anos, 03 m e 22 d</t>
        </r>
      </text>
    </comment>
    <comment ref="C659" authorId="0">
      <text>
        <r>
          <rPr>
            <sz val="8"/>
            <color indexed="81"/>
            <rFont val="Tahoma"/>
            <family val="2"/>
          </rPr>
          <t>TIBAGI-PR
18/05/2012
08 anos e 4m</t>
        </r>
      </text>
    </comment>
    <comment ref="C665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CADEIA DE JAGUARIAIVA
22/12/2015</t>
        </r>
      </text>
    </comment>
    <comment ref="C699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05/09/2008
Art. 29, 14 e 18
38 anos</t>
        </r>
      </text>
    </comment>
    <comment ref="C713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regressão
28/09/2010</t>
        </r>
      </text>
    </comment>
    <comment ref="C714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CPHS 28/05/18
</t>
        </r>
      </text>
    </comment>
    <comment ref="C716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P. DO SUL
27/07/2011
Art.157
11 anos</t>
        </r>
      </text>
    </comment>
    <comment ref="C740" authorId="8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HILDEBRANDO 13/12/2016</t>
        </r>
      </text>
    </comment>
    <comment ref="C741" authorId="8">
      <text>
        <r>
          <rPr>
            <b/>
            <sz val="9"/>
            <color indexed="81"/>
            <rFont val="Tahoma"/>
            <family val="2"/>
          </rPr>
          <t>ORIUNDO DE TELEMACO EM 07/12/2016</t>
        </r>
      </text>
    </comment>
    <comment ref="C742" authorId="0">
      <text>
        <r>
          <rPr>
            <sz val="8"/>
            <color indexed="81"/>
            <rFont val="Tahoma"/>
            <family val="2"/>
          </rPr>
          <t>HILDEBRANDO
09/07/2012
Art. .....
07 anos e 06m</t>
        </r>
      </text>
    </comment>
    <comment ref="C743" authorId="5">
      <text>
        <r>
          <rPr>
            <b/>
            <sz val="8"/>
            <color indexed="81"/>
            <rFont val="Tahoma"/>
            <family val="2"/>
          </rPr>
          <t>Ligações com o pcc</t>
        </r>
      </text>
    </comment>
    <comment ref="C751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CURIÚVA
 23/04/2010
Art. 213, 214, 69 e 71
18 anos, 1 m e 23 d
</t>
        </r>
        <r>
          <rPr>
            <b/>
            <sz val="8"/>
            <color indexed="81"/>
            <rFont val="Arial Black"/>
            <family val="2"/>
          </rPr>
          <t xml:space="preserve">
</t>
        </r>
      </text>
    </comment>
    <comment ref="C759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Briga, Carlos Rosnei cesáro caio.
</t>
        </r>
      </text>
    </comment>
    <comment ref="C762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15/02/2008
Art. 157
24 anos e 6 m</t>
        </r>
      </text>
    </comment>
    <comment ref="C773" authorId="1">
      <text>
        <r>
          <rPr>
            <b/>
            <sz val="8"/>
            <color indexed="81"/>
            <rFont val="Tahoma"/>
            <family val="2"/>
          </rPr>
          <t>Chegada em 07/07/15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775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02/08/2016</t>
        </r>
      </text>
    </comment>
    <comment ref="C780" authorId="5">
      <text>
        <r>
          <rPr>
            <b/>
            <sz val="8"/>
            <color indexed="81"/>
            <rFont val="Tahoma"/>
            <family val="2"/>
          </rPr>
          <t>DEPEN-4401:</t>
        </r>
        <r>
          <rPr>
            <sz val="8"/>
            <color indexed="81"/>
            <rFont val="Tahoma"/>
            <family val="2"/>
          </rPr>
          <t xml:space="preserve">
ORIUNDO DE IMBITUVA 01/04/09</t>
        </r>
      </text>
    </comment>
    <comment ref="C795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Alojado no A211 no SPR</t>
        </r>
      </text>
    </comment>
    <comment ref="C803" authorId="1">
      <text>
        <r>
          <rPr>
            <b/>
            <sz val="8"/>
            <color indexed="81"/>
            <rFont val="Tahoma"/>
            <family val="2"/>
          </rPr>
          <t>Oriundo de Jaguariaiva em 16/07/15, art. 155</t>
        </r>
      </text>
    </comment>
    <comment ref="C809" authorId="2">
      <text>
        <r>
          <rPr>
            <b/>
            <sz val="8"/>
            <color indexed="81"/>
            <rFont val="Tahoma"/>
            <family val="2"/>
          </rPr>
          <t>DIPROM:</t>
        </r>
        <r>
          <rPr>
            <sz val="8"/>
            <color indexed="81"/>
            <rFont val="Tahoma"/>
            <family val="2"/>
          </rPr>
          <t xml:space="preserve">
HILDEBRANDO
04/09/2014</t>
        </r>
      </text>
    </comment>
    <comment ref="C820" authorId="1">
      <text>
        <r>
          <rPr>
            <b/>
            <sz val="8"/>
            <color indexed="81"/>
            <rFont val="Tahoma"/>
            <family val="2"/>
          </rPr>
          <t>Oriundo da CPHS em 08/04/15, art. 332 (trafico influencia)</t>
        </r>
      </text>
    </comment>
    <comment ref="C823" authorId="2">
      <text>
        <r>
          <rPr>
            <sz val="8"/>
            <color indexed="81"/>
            <rFont val="Tahoma"/>
            <family val="2"/>
          </rPr>
          <t xml:space="preserve">HILDEBRANDO
09/09/2014
Art. 33
</t>
        </r>
      </text>
    </comment>
    <comment ref="C824" authorId="2">
      <text>
        <r>
          <rPr>
            <sz val="8"/>
            <color indexed="81"/>
            <rFont val="Tahoma"/>
            <family val="2"/>
          </rPr>
          <t>13ª SDP
08/12/2014</t>
        </r>
      </text>
    </comment>
    <comment ref="C827" authorId="2">
      <text>
        <r>
          <rPr>
            <b/>
            <sz val="8"/>
            <color indexed="81"/>
            <rFont val="Tahoma"/>
            <family val="2"/>
          </rPr>
          <t>HILDEBRANDO 04/09/14</t>
        </r>
      </text>
    </comment>
    <comment ref="C829" authorId="2">
      <text>
        <r>
          <rPr>
            <sz val="8"/>
            <color indexed="81"/>
            <rFont val="Tahoma"/>
            <family val="2"/>
          </rPr>
          <t xml:space="preserve">HILDEBRANDO
26/05/2014 
Art 155-4 (4x) 
09 anos, 11m e 8d
</t>
        </r>
      </text>
    </comment>
    <comment ref="C830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Regressão CRAPG
10/04/2018</t>
        </r>
      </text>
    </comment>
    <comment ref="C831" authorId="4">
      <text>
        <r>
          <rPr>
            <sz val="8"/>
            <color indexed="81"/>
            <rFont val="Tahoma"/>
            <family val="2"/>
          </rPr>
          <t xml:space="preserve">HILDEBRANDO
17/03/2014
</t>
        </r>
      </text>
    </comment>
    <comment ref="A844" authorId="6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CASTRO
06/12/2019</t>
        </r>
      </text>
    </comment>
    <comment ref="C844" authorId="6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CASTRO
06/12/2019</t>
        </r>
      </text>
    </comment>
    <comment ref="C847" authorId="1">
      <text>
        <r>
          <rPr>
            <b/>
            <sz val="8"/>
            <color indexed="81"/>
            <rFont val="Tahoma"/>
            <family val="2"/>
          </rPr>
          <t>Chegada em 20/05/2015.</t>
        </r>
      </text>
    </comment>
    <comment ref="C850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18/11/2005
Art. 157
20 anos</t>
        </r>
      </text>
    </comment>
    <comment ref="C851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CADEIA PUBLICA DE TOMAZINA, 17/07/17
</t>
        </r>
      </text>
    </comment>
    <comment ref="C852" authorId="0">
      <text>
        <r>
          <rPr>
            <b/>
            <sz val="8"/>
            <color indexed="81"/>
            <rFont val="Tahoma"/>
            <family val="2"/>
          </rPr>
          <t xml:space="preserve">PEPG:
</t>
        </r>
        <r>
          <rPr>
            <sz val="8"/>
            <color indexed="81"/>
            <rFont val="Tahoma"/>
            <family val="2"/>
          </rPr>
          <t>Regressão</t>
        </r>
        <r>
          <rPr>
            <sz val="8"/>
            <color indexed="81"/>
            <rFont val="Tahoma"/>
            <family val="2"/>
          </rPr>
          <t xml:space="preserve">
HILDEBRANDO
31/08/2010
Art. 250, 163 e 121
14 anos</t>
        </r>
      </text>
    </comment>
    <comment ref="C853" authorId="1">
      <text>
        <r>
          <rPr>
            <sz val="8"/>
            <color indexed="81"/>
            <rFont val="Tahoma"/>
            <family val="2"/>
          </rPr>
          <t>T. BORBA
06/05/2015</t>
        </r>
      </text>
    </comment>
    <comment ref="A854" authorId="1">
      <text>
        <r>
          <rPr>
            <b/>
            <sz val="8"/>
            <color indexed="81"/>
            <rFont val="Tahoma"/>
            <family val="2"/>
          </rPr>
          <t>17/08/2016
Oriundo da CPHS</t>
        </r>
      </text>
    </comment>
    <comment ref="C854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Alojado no A211 no SPR</t>
        </r>
      </text>
    </comment>
    <comment ref="C856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Dentinho
PCE
04/06/2016
Permuta
ANDERSON GOBBI FERREIRA</t>
        </r>
      </text>
    </comment>
    <comment ref="C865" authorId="8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HILDEBRANDO 19/12/2016</t>
        </r>
      </text>
    </comment>
    <comment ref="C867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Tentativa de fuga da
Ala Ìntima 04/03/2016
</t>
        </r>
      </text>
    </comment>
    <comment ref="C869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04/01/2011
Art. 157, 14 e 69
23 anos
</t>
        </r>
      </text>
    </comment>
    <comment ref="C874" authorId="1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HILDEBRANDO
26/03/2019</t>
        </r>
      </text>
    </comment>
    <comment ref="C876" authorId="0">
      <text>
        <r>
          <rPr>
            <sz val="8"/>
            <color indexed="81"/>
            <rFont val="Tahoma"/>
            <family val="2"/>
          </rPr>
          <t>FOZ DO IGUAÇU-PR
04/05/2012</t>
        </r>
      </text>
    </comment>
    <comment ref="C877" authorId="2">
      <text>
        <r>
          <rPr>
            <b/>
            <sz val="8"/>
            <color indexed="81"/>
            <rFont val="Tahoma"/>
            <family val="2"/>
          </rPr>
          <t>HILDEBRANDO
 04/09/2014</t>
        </r>
      </text>
    </comment>
    <comment ref="C878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ORIUNDO DA CARCERAGEM DE ARAPOTI</t>
        </r>
      </text>
    </comment>
    <comment ref="C884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13ª SDP
10/04/2018</t>
        </r>
      </text>
    </comment>
    <comment ref="C890" authorId="1">
      <text>
        <r>
          <rPr>
            <sz val="8"/>
            <color indexed="81"/>
            <rFont val="Tahoma"/>
            <family val="2"/>
          </rPr>
          <t>HILDEBRANDO
31/03/2015</t>
        </r>
      </text>
    </comment>
    <comment ref="C891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CCP 04/05/15</t>
        </r>
      </text>
    </comment>
    <comment ref="C898" authorId="1">
      <text>
        <r>
          <rPr>
            <b/>
            <sz val="8"/>
            <color indexed="81"/>
            <rFont val="Tahoma"/>
            <family val="2"/>
          </rPr>
          <t>Chegada em 20/05/2015.</t>
        </r>
      </text>
    </comment>
    <comment ref="C899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22/12/2017
oriundo da CPHS</t>
        </r>
      </text>
    </comment>
    <comment ref="C902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02/08/2010
</t>
        </r>
      </text>
    </comment>
    <comment ref="C909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Retorno CMP
14/09/2018</t>
        </r>
      </text>
    </comment>
    <comment ref="C911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 07/06/2010
Art. 33
5 anos</t>
        </r>
      </text>
    </comment>
    <comment ref="C917" authorId="2">
      <text>
        <r>
          <rPr>
            <sz val="8"/>
            <color indexed="81"/>
            <rFont val="Tahoma"/>
            <family val="2"/>
          </rPr>
          <t xml:space="preserve">HILDEBRANDO
05/09/2014
</t>
        </r>
      </text>
    </comment>
    <comment ref="C918" authorId="1">
      <text>
        <r>
          <rPr>
            <sz val="8"/>
            <color indexed="81"/>
            <rFont val="Tahoma"/>
            <family val="2"/>
          </rPr>
          <t xml:space="preserve">CASTRO-PR
28/10/2015
</t>
        </r>
      </text>
    </comment>
    <comment ref="C920" authorId="5">
      <text>
        <r>
          <rPr>
            <b/>
            <sz val="8"/>
            <color indexed="81"/>
            <rFont val="Tahoma"/>
            <family val="2"/>
          </rPr>
          <t>DEPEN-4401:</t>
        </r>
        <r>
          <rPr>
            <sz val="8"/>
            <color indexed="81"/>
            <rFont val="Tahoma"/>
            <family val="2"/>
          </rPr>
          <t xml:space="preserve">
DE IMBITUVA: 24/09/09.</t>
        </r>
      </text>
    </comment>
    <comment ref="C926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PIRAI DO SUL- PR
14/12/2015
Art. 155
</t>
        </r>
      </text>
    </comment>
    <comment ref="C928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27/04/2010</t>
        </r>
      </text>
    </comment>
    <comment ref="C929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05/01/2011
Art. 121
13 anos</t>
        </r>
      </text>
    </comment>
    <comment ref="C944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CURIUVA</t>
        </r>
      </text>
    </comment>
    <comment ref="C946" authorId="2">
      <text>
        <r>
          <rPr>
            <b/>
            <sz val="8"/>
            <color indexed="81"/>
            <rFont val="Tahoma"/>
            <family val="2"/>
          </rPr>
          <t>HILDEBRANDO 04/09/14</t>
        </r>
      </text>
    </comment>
    <comment ref="C949" authorId="2">
      <text>
        <r>
          <rPr>
            <b/>
            <sz val="8"/>
            <color indexed="81"/>
            <rFont val="Tahoma"/>
            <family val="2"/>
          </rPr>
          <t>DIPROM:</t>
        </r>
        <r>
          <rPr>
            <sz val="8"/>
            <color indexed="81"/>
            <rFont val="Tahoma"/>
            <family val="2"/>
          </rPr>
          <t xml:space="preserve">
PRUDENTÓPOLIS
27/07/2011</t>
        </r>
      </text>
    </comment>
    <comment ref="C952" authorId="2">
      <text>
        <r>
          <rPr>
            <sz val="8"/>
            <color indexed="81"/>
            <rFont val="Tahoma"/>
            <family val="2"/>
          </rPr>
          <t>HILDEBRANDO
09/09/2014
Art.213</t>
        </r>
      </text>
    </comment>
    <comment ref="C954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T. BORBA
08/01/10</t>
        </r>
      </text>
    </comment>
    <comment ref="C955" authorId="2">
      <text>
        <r>
          <rPr>
            <b/>
            <sz val="8"/>
            <color indexed="81"/>
            <rFont val="Tahoma"/>
            <family val="2"/>
          </rPr>
          <t>ENTRADA EM 04/09/14, ORIUNDO DA CPHS.</t>
        </r>
      </text>
    </comment>
    <comment ref="C956" authorId="2">
      <text>
        <r>
          <rPr>
            <b/>
            <sz val="8"/>
            <color indexed="81"/>
            <rFont val="Tahoma"/>
            <family val="2"/>
          </rPr>
          <t>ENTRADA 
28/04/2014</t>
        </r>
      </text>
    </comment>
    <comment ref="C957" authorId="2">
      <text>
        <r>
          <rPr>
            <b/>
            <sz val="8"/>
            <color indexed="81"/>
            <rFont val="Tahoma"/>
            <family val="2"/>
          </rPr>
          <t>DIPROM:</t>
        </r>
        <r>
          <rPr>
            <sz val="8"/>
            <color indexed="81"/>
            <rFont val="Tahoma"/>
            <family val="2"/>
          </rPr>
          <t xml:space="preserve">
W. BRAZ
16/09/2010
Art. 33 e 35
7 anos</t>
        </r>
      </text>
    </comment>
    <comment ref="C962" authorId="0">
      <text>
        <r>
          <rPr>
            <sz val="8"/>
            <color indexed="81"/>
            <rFont val="Tahoma"/>
            <family val="2"/>
          </rPr>
          <t xml:space="preserve">05/11/2009
Art. 157 e 29
27 anos e 9 d
</t>
        </r>
      </text>
    </comment>
    <comment ref="C963" authorId="1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CCP
06/02/2019</t>
        </r>
      </text>
    </comment>
    <comment ref="C966" authorId="2">
      <text>
        <r>
          <rPr>
            <b/>
            <sz val="8"/>
            <color indexed="81"/>
            <rFont val="Tahoma"/>
            <family val="2"/>
          </rPr>
          <t>DIPROM:</t>
        </r>
        <r>
          <rPr>
            <sz val="8"/>
            <color indexed="81"/>
            <rFont val="Tahoma"/>
            <family val="2"/>
          </rPr>
          <t xml:space="preserve">
Art. 157
8 anos, 10 m e 15 d</t>
        </r>
      </text>
    </comment>
    <comment ref="C971" authorId="1">
      <text>
        <r>
          <rPr>
            <sz val="8"/>
            <color indexed="81"/>
            <rFont val="Tahoma"/>
            <family val="2"/>
          </rPr>
          <t>CADEIA PÚBLICA DE SIQUEIRA CAMPOS 25/06/15</t>
        </r>
      </text>
    </comment>
    <comment ref="C972" authorId="1">
      <text>
        <r>
          <rPr>
            <sz val="8"/>
            <color indexed="81"/>
            <rFont val="Tahoma"/>
            <family val="2"/>
          </rPr>
          <t>HILDEBRANDO
01/04/2015</t>
        </r>
      </text>
    </comment>
    <comment ref="A980" authorId="1">
      <text>
        <r>
          <rPr>
            <b/>
            <sz val="8"/>
            <color indexed="81"/>
            <rFont val="Tahoma"/>
            <family val="2"/>
          </rPr>
          <t>CHEGADA EM 25/04/2016
ART: 157</t>
        </r>
      </text>
    </comment>
    <comment ref="C981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HILDEBRANDO
28/03/2018</t>
        </r>
      </text>
    </comment>
    <comment ref="C982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28/05/2012
07 anos, 03 m e 03 d</t>
        </r>
      </text>
    </comment>
    <comment ref="C988" authorId="8">
      <text>
        <r>
          <rPr>
            <b/>
            <sz val="9"/>
            <color indexed="81"/>
            <rFont val="Tahoma"/>
            <family val="2"/>
          </rPr>
          <t>07/02/2017
HILDEBRANDO</t>
        </r>
      </text>
    </comment>
    <comment ref="A991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26/12/2017
oriundo de Castro</t>
        </r>
      </text>
    </comment>
    <comment ref="C995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26/12/2017
oriundo de Castro</t>
        </r>
      </text>
    </comment>
    <comment ref="C1002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05/09/2017
Permuta oriundo do Hildebrando</t>
        </r>
      </text>
    </comment>
    <comment ref="C1003" authorId="2">
      <text>
        <r>
          <rPr>
            <sz val="8"/>
            <color indexed="81"/>
            <rFont val="Tahoma"/>
            <family val="2"/>
          </rPr>
          <t>HILDEBRANDO
08/09/2014</t>
        </r>
      </text>
    </comment>
    <comment ref="A1004" authorId="6">
      <text>
        <r>
          <rPr>
            <b/>
            <sz val="9"/>
            <color indexed="81"/>
            <rFont val="Tahoma"/>
            <family val="2"/>
          </rPr>
          <t>22/04/2020
13ª SDP</t>
        </r>
      </text>
    </comment>
    <comment ref="C1009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Regressão CRAPG
20/02/2018</t>
        </r>
      </text>
    </comment>
    <comment ref="C1012" authorId="4">
      <text>
        <r>
          <rPr>
            <b/>
            <sz val="8"/>
            <color indexed="81"/>
            <rFont val="Tahoma"/>
            <family val="2"/>
          </rPr>
          <t>Entrada 04/04/14</t>
        </r>
      </text>
    </comment>
    <comment ref="C1017" authorId="1">
      <text>
        <r>
          <rPr>
            <b/>
            <sz val="8"/>
            <color indexed="81"/>
            <rFont val="Tahoma"/>
            <family val="2"/>
          </rPr>
          <t>24/11/2015
Oriundo de Curiúva
Art. 129 e 359</t>
        </r>
      </text>
    </comment>
    <comment ref="C1018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
04/07/2017</t>
        </r>
      </text>
    </comment>
    <comment ref="C1019" authorId="1">
      <text>
        <r>
          <rPr>
            <b/>
            <sz val="8"/>
            <color indexed="81"/>
            <rFont val="Tahoma"/>
            <family val="2"/>
          </rPr>
          <t>Entrada em 16/06/2016, da CPHS; PCC.</t>
        </r>
      </text>
    </comment>
    <comment ref="C1021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T. BORBA
27/05/2009
</t>
        </r>
      </text>
    </comment>
    <comment ref="C1022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CCC / CMP
22/04/2015
Permuta DANIEL DOS SANTOS</t>
        </r>
      </text>
    </comment>
    <comment ref="C1024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COT 03/08/2011
retorno 05/08/2011</t>
        </r>
      </text>
    </comment>
    <comment ref="C1029" authorId="4">
      <text>
        <r>
          <rPr>
            <b/>
            <sz val="8"/>
            <color indexed="81"/>
            <rFont val="Tahoma"/>
            <family val="2"/>
          </rPr>
          <t>CEEBEJA:</t>
        </r>
        <r>
          <rPr>
            <sz val="8"/>
            <color indexed="81"/>
            <rFont val="Tahoma"/>
            <family val="2"/>
          </rPr>
          <t xml:space="preserve">
HILDEBRANDO
29/08/2012
Art 33
17 anos
CMP 12/03 a 23/09/2013</t>
        </r>
      </text>
    </comment>
    <comment ref="C1034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JAGUARIAIVA
28/01/2010
Art. 307, 155, 157
9 anos e 6 m</t>
        </r>
      </text>
    </comment>
    <comment ref="C1039" authorId="1">
      <text>
        <r>
          <rPr>
            <sz val="8"/>
            <color indexed="81"/>
            <rFont val="Tahoma"/>
            <family val="2"/>
          </rPr>
          <t xml:space="preserve">HILDEBRANDO 22/10/2015
</t>
        </r>
      </text>
    </comment>
    <comment ref="C1040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22/12/2017
oriundo da CPHS</t>
        </r>
      </text>
    </comment>
    <comment ref="C1041" authorId="8">
      <text>
        <r>
          <rPr>
            <b/>
            <sz val="9"/>
            <color indexed="81"/>
            <rFont val="Tahoma"/>
            <family val="2"/>
          </rPr>
          <t>07/02/2017
HILDEBRANDO</t>
        </r>
      </text>
    </comment>
    <comment ref="C1043" authorId="6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13 SDP 25/03/2020</t>
        </r>
      </text>
    </comment>
    <comment ref="C1048" authorId="2">
      <text>
        <r>
          <rPr>
            <sz val="8"/>
            <color indexed="81"/>
            <rFont val="Tahoma"/>
            <family val="2"/>
          </rPr>
          <t>Art 121 
15 anos, 07m e 15d</t>
        </r>
      </text>
    </comment>
    <comment ref="C1049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04/01/2011
(Regressão)</t>
        </r>
      </text>
    </comment>
    <comment ref="C1052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CCP 30/08/2017
Permuta
DANILO VIEIRA CANDIDO</t>
        </r>
      </text>
    </comment>
    <comment ref="C1054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HILDEBRANDO
28/03/2018</t>
        </r>
      </text>
    </comment>
    <comment ref="C1055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
22/12/2017
</t>
        </r>
      </text>
    </comment>
    <comment ref="C1056" authorId="0">
      <text>
        <r>
          <rPr>
            <sz val="8"/>
            <color indexed="81"/>
            <rFont val="Tahoma"/>
            <family val="2"/>
          </rPr>
          <t>HILDEBRANDO 19/07/11
art 214. 28a 9m</t>
        </r>
      </text>
    </comment>
    <comment ref="C1063" authorId="3">
      <text>
        <r>
          <rPr>
            <b/>
            <sz val="9"/>
            <color indexed="81"/>
            <rFont val="Segoe UI"/>
            <family val="2"/>
          </rPr>
          <t>Oriundo da CCP em 20/07/17 de permuta.</t>
        </r>
      </text>
    </comment>
    <comment ref="C1064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28/03/2012
9 anos 11 m e 12 d</t>
        </r>
      </text>
    </comment>
    <comment ref="C1068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ORIUNDO DE ARAPOTI
11/05/2016</t>
        </r>
      </text>
    </comment>
    <comment ref="C1072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28/05/2012
23 anos, 01 m e 01 d
</t>
        </r>
      </text>
    </comment>
    <comment ref="C1076" authorId="2">
      <text>
        <r>
          <rPr>
            <sz val="8"/>
            <color indexed="81"/>
            <rFont val="Tahoma"/>
            <family val="2"/>
          </rPr>
          <t>Art.157,Art.12 e Art.14
30 anos, 08m e 25d</t>
        </r>
      </text>
    </comment>
    <comment ref="C1079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25/01/2012
Evadido CRAPG; 5 anos</t>
        </r>
      </text>
    </comment>
    <comment ref="C1082" authorId="1">
      <text>
        <r>
          <rPr>
            <b/>
            <sz val="8"/>
            <color indexed="81"/>
            <rFont val="Tahoma"/>
            <family val="2"/>
          </rPr>
          <t>CHEGADA EM 11/06/15</t>
        </r>
      </text>
    </comment>
    <comment ref="C1087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CPHS 03/08/2016</t>
        </r>
      </text>
    </comment>
    <comment ref="C1090" authorId="8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HILDEBRANDO
12/12/2016</t>
        </r>
      </text>
    </comment>
    <comment ref="C1095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10/05/2010
Art. 33
8a, 6 m e 20 d
(irmão de Vilmar Sebastião)
</t>
        </r>
      </text>
    </comment>
    <comment ref="C1098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16/09/2016</t>
        </r>
      </text>
    </comment>
    <comment ref="C1106" authorId="4">
      <text>
        <r>
          <rPr>
            <b/>
            <sz val="8"/>
            <color indexed="81"/>
            <rFont val="Tahoma"/>
            <family val="2"/>
          </rPr>
          <t>Entrada 04/04/14</t>
        </r>
      </text>
    </comment>
    <comment ref="A1114" authorId="3">
      <text>
        <r>
          <rPr>
            <b/>
            <sz val="9"/>
            <color indexed="81"/>
            <rFont val="Segoe UI"/>
            <family val="2"/>
          </rPr>
          <t xml:space="preserve">Proveniente do HSPG
</t>
        </r>
      </text>
    </comment>
    <comment ref="C1114" authorId="2">
      <text>
        <r>
          <rPr>
            <sz val="8"/>
            <color indexed="81"/>
            <rFont val="Tahoma"/>
            <family val="2"/>
          </rPr>
          <t>HILDEBRANDO
26/05/2014</t>
        </r>
      </text>
    </comment>
    <comment ref="C1119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22/12/2017
oriundo da CPHS</t>
        </r>
      </text>
    </comment>
    <comment ref="C1128" authorId="1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CASTRO
05/06/2019</t>
        </r>
      </text>
    </comment>
    <comment ref="C1131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
04/07/2017</t>
        </r>
      </text>
    </comment>
    <comment ref="D1141" authorId="10">
      <text>
        <r>
          <rPr>
            <b/>
            <sz val="9"/>
            <color indexed="81"/>
            <rFont val="Segoe UI"/>
            <family val="2"/>
          </rPr>
          <t xml:space="preserve">Comarca de Tibagi
08/05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144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CPHS 03/08/2016</t>
        </r>
      </text>
    </comment>
    <comment ref="C1149" authorId="1">
      <text>
        <r>
          <rPr>
            <b/>
            <sz val="8"/>
            <color indexed="81"/>
            <rFont val="Tahoma"/>
            <family val="2"/>
          </rPr>
          <t>Oriundo da CPHS em 08/04/15, art. 33 (trafico)</t>
        </r>
      </text>
    </comment>
    <comment ref="C1153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07/11/2016</t>
        </r>
      </text>
    </comment>
    <comment ref="A1154" authorId="1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HILDEBRANDO
27/02/2019</t>
        </r>
      </text>
    </comment>
    <comment ref="C1154" authorId="0">
      <text>
        <r>
          <rPr>
            <sz val="8"/>
            <color indexed="81"/>
            <rFont val="Tahoma"/>
            <family val="2"/>
          </rPr>
          <t>HILDEBRAMDO
04/2/2013</t>
        </r>
      </text>
    </comment>
    <comment ref="C1155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PIRAI DO SUL 11/05/2010
Art. 33
5 anos e 3 m
</t>
        </r>
      </text>
    </comment>
    <comment ref="C1156" authorId="8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ORIUNDO DA PEPII 
17/02/2017
EXCLUIDO DO PCC </t>
        </r>
      </text>
    </comment>
    <comment ref="C1160" authorId="0">
      <text>
        <r>
          <rPr>
            <sz val="8"/>
            <color indexed="81"/>
            <rFont val="Tahoma"/>
            <family val="2"/>
          </rPr>
          <t xml:space="preserve">CASTRO-PR 11/06/12.
Art. 157
14 anos.
</t>
        </r>
      </text>
    </comment>
    <comment ref="C1177" authorId="0">
      <text>
        <r>
          <rPr>
            <sz val="8"/>
            <color indexed="81"/>
            <rFont val="Tahoma"/>
            <family val="2"/>
          </rPr>
          <t xml:space="preserve">HILDEBRANDO
09/02/2011 (regressão)
Art. 316, 157, 213, 29, 69  e 19
03 anos e 06m
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C1182" authorId="2">
      <text>
        <r>
          <rPr>
            <b/>
            <sz val="8"/>
            <color indexed="81"/>
            <rFont val="Tahoma"/>
            <family val="2"/>
          </rPr>
          <t>DIPROM:</t>
        </r>
        <r>
          <rPr>
            <sz val="8"/>
            <color indexed="81"/>
            <rFont val="Tahoma"/>
            <family val="2"/>
          </rPr>
          <t xml:space="preserve">
Art 157 Par 2(3x) 20a9m6d</t>
        </r>
      </text>
    </comment>
    <comment ref="C1186" authorId="1">
      <text>
        <r>
          <rPr>
            <b/>
            <sz val="8"/>
            <color indexed="81"/>
            <rFont val="Tahoma"/>
            <family val="2"/>
          </rPr>
          <t>Oriundo de Jaguariaiva em 16/07/15, REGRESSÃO</t>
        </r>
      </text>
    </comment>
    <comment ref="C1187" authorId="1">
      <text>
        <r>
          <rPr>
            <b/>
            <sz val="8"/>
            <color indexed="81"/>
            <rFont val="Tahoma"/>
            <family val="2"/>
          </rPr>
          <t>04/05/2016
JAGUARIAIVA</t>
        </r>
      </text>
    </comment>
    <comment ref="C1188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12/06/2007
Art. 157, 14 e 155
11 anos, 7 m e 3 d</t>
        </r>
      </text>
    </comment>
    <comment ref="C1193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08/12/2010
Art. 33
3 anos e 4 meses</t>
        </r>
      </text>
    </comment>
    <comment ref="A1198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HILDEBRANDO
28/03/2018</t>
        </r>
      </text>
    </comment>
    <comment ref="C1199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HILDEBRANDO
28/03/2018</t>
        </r>
      </text>
    </comment>
    <comment ref="C1201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W.  BRAZ
12/05/2010
Caiu com celular
</t>
        </r>
      </text>
    </comment>
    <comment ref="C1212" authorId="1">
      <text>
        <r>
          <rPr>
            <b/>
            <sz val="8"/>
            <color indexed="81"/>
            <rFont val="Tahoma"/>
            <family val="2"/>
          </rPr>
          <t>Chegada em 07/07/15</t>
        </r>
      </text>
    </comment>
    <comment ref="C1213" authorId="2">
      <text>
        <r>
          <rPr>
            <b/>
            <sz val="8"/>
            <color indexed="81"/>
            <rFont val="Tahoma"/>
            <family val="2"/>
          </rPr>
          <t>DIPROM:</t>
        </r>
        <r>
          <rPr>
            <sz val="8"/>
            <color indexed="81"/>
            <rFont val="Tahoma"/>
            <family val="2"/>
          </rPr>
          <t xml:space="preserve">
HILDEBRANDO
22/03/2010
Art. 33
5 anos</t>
        </r>
      </text>
    </comment>
    <comment ref="A1221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CCC / CMP
22/04/2015
Permuta DANIEL DOS SANTOS</t>
        </r>
      </text>
    </comment>
    <comment ref="C1223" authorId="1">
      <text>
        <r>
          <rPr>
            <sz val="8"/>
            <color indexed="81"/>
            <rFont val="Tahoma"/>
            <family val="2"/>
          </rPr>
          <t>TELEMACO BORBA
13/05/2015</t>
        </r>
      </text>
    </comment>
    <comment ref="C1225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COT
19/03/2010</t>
        </r>
      </text>
    </comment>
    <comment ref="C1234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PERMUTA
ROGERIO FRANCISCHINI
PCE</t>
        </r>
      </text>
    </comment>
    <comment ref="C1238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 De Souza 17/02/12</t>
        </r>
      </text>
    </comment>
    <comment ref="A1239" authorId="8">
      <text>
        <r>
          <rPr>
            <b/>
            <sz val="9"/>
            <color indexed="81"/>
            <rFont val="Tahoma"/>
            <family val="2"/>
          </rPr>
          <t>ORIUNDO DA CPHS EM 07/12/2016</t>
        </r>
      </text>
    </comment>
    <comment ref="C1241" authorId="8">
      <text>
        <r>
          <rPr>
            <b/>
            <sz val="9"/>
            <color indexed="81"/>
            <rFont val="Tahoma"/>
            <family val="2"/>
          </rPr>
          <t>ORIUNDO DA CPHS EM 07/12/2016</t>
        </r>
      </text>
    </comment>
    <comment ref="C1244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SENGÉS
25/09/2018</t>
        </r>
      </text>
    </comment>
    <comment ref="C1246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14/10/2016</t>
        </r>
      </text>
    </comment>
    <comment ref="C1247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20/12/2011</t>
        </r>
      </text>
    </comment>
    <comment ref="C1248" authorId="1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CCP
06/02/2019</t>
        </r>
      </text>
    </comment>
    <comment ref="C1258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15/03/2010</t>
        </r>
      </text>
    </comment>
    <comment ref="C1266" authorId="4">
      <text>
        <r>
          <rPr>
            <b/>
            <sz val="8"/>
            <color indexed="81"/>
            <rFont val="Tahoma"/>
            <family val="2"/>
          </rPr>
          <t>ORTIGUEIRA-PR
22/11/13 
Art. 157- 29 anos, 10 meses e 25 dias
(Moisés)</t>
        </r>
      </text>
    </comment>
    <comment ref="C1268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CPHS 03/08/2016</t>
        </r>
      </text>
    </comment>
    <comment ref="C1270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15/03/10</t>
        </r>
      </text>
    </comment>
    <comment ref="C1280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CPHS
02/08/2018</t>
        </r>
      </text>
    </comment>
    <comment ref="C1282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 DE SOUZA: 22/08/11.
art. 33 - 06 anos, 03meses e 17 dias</t>
        </r>
      </text>
    </comment>
    <comment ref="C1289" authorId="2">
      <text>
        <r>
          <rPr>
            <b/>
            <sz val="8"/>
            <color indexed="81"/>
            <rFont val="Tahoma"/>
            <family val="2"/>
          </rPr>
          <t>DIPROM:</t>
        </r>
        <r>
          <rPr>
            <sz val="8"/>
            <color indexed="81"/>
            <rFont val="Tahoma"/>
            <family val="2"/>
          </rPr>
          <t xml:space="preserve">
T. BPRBA
26/09/2014
</t>
        </r>
      </text>
    </comment>
    <comment ref="C1290" authorId="2">
      <text>
        <r>
          <rPr>
            <sz val="8"/>
            <color indexed="81"/>
            <rFont val="Tahoma"/>
            <family val="2"/>
          </rPr>
          <t>HILDEBRANDO
08/09/2014</t>
        </r>
      </text>
    </comment>
    <comment ref="B1297" authorId="6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97" authorId="1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</t>
        </r>
      </text>
    </comment>
    <comment ref="C1306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26/12/2017
oriundo de Castro</t>
        </r>
      </text>
    </comment>
    <comment ref="C1308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TEL. BORBA
08/12/17
</t>
        </r>
      </text>
    </comment>
    <comment ref="C1315" authorId="4">
      <text>
        <r>
          <rPr>
            <sz val="8"/>
            <color indexed="81"/>
            <rFont val="Tahoma"/>
            <family val="2"/>
          </rPr>
          <t xml:space="preserve">HILDEBRANDO 17/03/2014
</t>
        </r>
      </text>
    </comment>
    <comment ref="C1320" authorId="2">
      <text>
        <r>
          <rPr>
            <sz val="8"/>
            <color indexed="81"/>
            <rFont val="Tahoma"/>
            <family val="2"/>
          </rPr>
          <t xml:space="preserve">Art 35,33,121
14anos
</t>
        </r>
      </text>
    </comment>
    <comment ref="C1325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COT
19/03/2010
</t>
        </r>
      </text>
    </comment>
    <comment ref="C1332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CCC
29/07/2016
Permuta
LEANDRO JONAS</t>
        </r>
      </text>
    </comment>
    <comment ref="C1334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CPHS 14/10/2016</t>
        </r>
      </text>
    </comment>
    <comment ref="C1342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Regressão CRAPG
23/03/2011
</t>
        </r>
      </text>
    </comment>
    <comment ref="C1349" authorId="10">
      <text>
        <r>
          <rPr>
            <b/>
            <sz val="9"/>
            <color indexed="81"/>
            <rFont val="Segoe UI"/>
            <family val="2"/>
          </rPr>
          <t>MPHSPG - 10/07/19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353" authorId="2">
      <text>
        <r>
          <rPr>
            <b/>
            <sz val="8"/>
            <color indexed="81"/>
            <rFont val="Tahoma"/>
            <family val="2"/>
          </rPr>
          <t>DIPROM:</t>
        </r>
        <r>
          <rPr>
            <sz val="8"/>
            <color indexed="81"/>
            <rFont val="Tahoma"/>
            <family val="2"/>
          </rPr>
          <t xml:space="preserve">
HILDEBRANDO
22/08/2014
Art. 14</t>
        </r>
      </text>
    </comment>
    <comment ref="C1355" authorId="1">
      <text>
        <r>
          <rPr>
            <b/>
            <sz val="8"/>
            <color indexed="81"/>
            <rFont val="Tahoma"/>
            <family val="2"/>
          </rPr>
          <t>28/09/2015 - CASTRO
ART. 157</t>
        </r>
      </text>
    </comment>
    <comment ref="C1356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ENTRADA
11/06/2015
</t>
        </r>
      </text>
    </comment>
    <comment ref="F1358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DEMORO PARA ECONTRAR O TINHOSO
</t>
        </r>
      </text>
    </comment>
    <comment ref="F1362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DEMORO PARA ECONTRAR O TINHOSO
</t>
        </r>
      </text>
    </comment>
    <comment ref="C1369" authorId="10">
      <text>
        <r>
          <rPr>
            <sz val="9"/>
            <color indexed="81"/>
            <rFont val="Segoe UI"/>
            <family val="2"/>
          </rPr>
          <t xml:space="preserve">HILDEBRANDO
10/07/19
</t>
        </r>
      </text>
    </comment>
    <comment ref="C1371" authorId="4">
      <text>
        <r>
          <rPr>
            <sz val="8"/>
            <color indexed="81"/>
            <rFont val="Tahoma"/>
            <family val="2"/>
          </rPr>
          <t xml:space="preserve">HILDEBRANDO
13/03/2014
</t>
        </r>
      </text>
    </comment>
    <comment ref="C1372" authorId="1">
      <text>
        <r>
          <rPr>
            <b/>
            <sz val="8"/>
            <color indexed="81"/>
            <rFont val="Tahoma"/>
            <family val="2"/>
          </rPr>
          <t>Chegada em 24/08/16.</t>
        </r>
      </text>
    </comment>
    <comment ref="C1374" authorId="2">
      <text>
        <r>
          <rPr>
            <sz val="8"/>
            <color indexed="81"/>
            <rFont val="Tahoma"/>
            <family val="2"/>
          </rPr>
          <t>HILDEBRANDO
05/09/2014</t>
        </r>
      </text>
    </comment>
    <comment ref="C1375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T.BORBA-PR
14/07/2014
</t>
        </r>
      </text>
    </comment>
    <comment ref="C1379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</t>
        </r>
      </text>
    </comment>
    <comment ref="C1382" authorId="2">
      <text>
        <r>
          <rPr>
            <sz val="8"/>
            <color indexed="81"/>
            <rFont val="Tahoma"/>
            <family val="2"/>
          </rPr>
          <t xml:space="preserve">HILDEBRANDO
05/09/2014
</t>
        </r>
      </text>
    </comment>
    <comment ref="C1384" authorId="8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HILDEBRANDO
12/12/2016</t>
        </r>
      </text>
    </comment>
    <comment ref="C1401" authorId="0">
      <text>
        <r>
          <rPr>
            <sz val="8"/>
            <color indexed="81"/>
            <rFont val="Tahoma"/>
            <family val="2"/>
          </rPr>
          <t>W. BRAZ 
05/07/10
Art. 121</t>
        </r>
      </text>
    </comment>
    <comment ref="C1402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07/05/2009
</t>
        </r>
      </text>
    </comment>
    <comment ref="C1406" authorId="2">
      <text>
        <r>
          <rPr>
            <sz val="8"/>
            <color indexed="81"/>
            <rFont val="Tahoma"/>
            <family val="2"/>
          </rPr>
          <t>CCC
Permuta Mauricio Jorge brener 01/10/2014</t>
        </r>
      </text>
    </comment>
    <comment ref="C1407" authorId="1">
      <text>
        <r>
          <rPr>
            <b/>
            <sz val="8"/>
            <color indexed="81"/>
            <rFont val="Tahoma"/>
            <family val="2"/>
          </rPr>
          <t>CHEGADA EM 25/04/2016
ART: 157</t>
        </r>
      </text>
    </comment>
    <comment ref="C1409" authorId="8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HILDEBRANDO 19/12/2016</t>
        </r>
      </text>
    </comment>
    <comment ref="C1412" authorId="1">
      <text>
        <r>
          <rPr>
            <b/>
            <sz val="8"/>
            <color indexed="81"/>
            <rFont val="Tahoma"/>
            <family val="2"/>
          </rPr>
          <t>Oriundo de Jaguariaiva em 16/07/15, art. 157 (roubo agravado; corrupção de menores)</t>
        </r>
      </text>
    </comment>
    <comment ref="C1423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 05/07
</t>
        </r>
      </text>
    </comment>
    <comment ref="C1425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CPHS 13/09/18
</t>
        </r>
      </text>
    </comment>
    <comment ref="A1426" authorId="0">
      <text>
        <r>
          <rPr>
            <sz val="8"/>
            <color indexed="81"/>
            <rFont val="Tahoma"/>
            <family val="2"/>
          </rPr>
          <t>HIDELBRANDO 28/12/12</t>
        </r>
      </text>
    </comment>
    <comment ref="C1426" authorId="2">
      <text>
        <r>
          <rPr>
            <b/>
            <sz val="8"/>
            <color indexed="81"/>
            <rFont val="Tahoma"/>
            <family val="2"/>
          </rPr>
          <t>ENTRADA 28/04/14</t>
        </r>
      </text>
    </comment>
    <comment ref="C1429" authorId="4">
      <text>
        <r>
          <rPr>
            <sz val="8"/>
            <color indexed="81"/>
            <rFont val="Tahoma"/>
            <family val="2"/>
          </rPr>
          <t xml:space="preserve">HILDEBRANDO
13/03/2014
</t>
        </r>
      </text>
    </comment>
    <comment ref="C1430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07/11/2016</t>
        </r>
      </text>
    </comment>
    <comment ref="C1431" authorId="0">
      <text>
        <r>
          <rPr>
            <sz val="8"/>
            <color indexed="81"/>
            <rFont val="Tahoma"/>
            <family val="2"/>
          </rPr>
          <t>HIDELBRANDO 28/12/12</t>
        </r>
      </text>
    </comment>
    <comment ref="C1434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 De Souza 17/02/12</t>
        </r>
      </text>
    </comment>
    <comment ref="A1439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CPHS 13/09/18
</t>
        </r>
      </text>
    </comment>
    <comment ref="C1440" authorId="1">
      <text>
        <r>
          <rPr>
            <b/>
            <sz val="8"/>
            <color indexed="81"/>
            <rFont val="Tahoma"/>
            <family val="2"/>
          </rPr>
          <t>Chegada em 20/05/2015.</t>
        </r>
      </text>
    </comment>
    <comment ref="A1441" authorId="6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CASTRO
06/12/2019</t>
        </r>
      </text>
    </comment>
    <comment ref="C1442" authorId="6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CASTRO
06/12/2019</t>
        </r>
      </text>
    </comment>
    <comment ref="C1450" authorId="1">
      <text>
        <r>
          <rPr>
            <b/>
            <sz val="8"/>
            <color indexed="81"/>
            <rFont val="Tahoma"/>
            <family val="2"/>
          </rPr>
          <t>TIBAGI 19/10/2015
Art. 33
Art. 35</t>
        </r>
      </text>
    </comment>
    <comment ref="C1452" authorId="1">
      <text>
        <r>
          <rPr>
            <sz val="8"/>
            <color indexed="81"/>
            <rFont val="Tahoma"/>
            <family val="2"/>
          </rPr>
          <t>HILDEBRANDO
14/02/2015</t>
        </r>
      </text>
    </comment>
    <comment ref="C1455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 07/06/10 
</t>
        </r>
        <r>
          <rPr>
            <b/>
            <sz val="8"/>
            <color indexed="81"/>
            <rFont val="Tahoma"/>
            <family val="2"/>
          </rPr>
          <t>JORGINHO</t>
        </r>
      </text>
    </comment>
    <comment ref="C1463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29/08/2012
Art. 121
06 anos e 06 m</t>
        </r>
      </text>
    </comment>
    <comment ref="C1466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BEIÇO</t>
        </r>
      </text>
    </comment>
    <comment ref="C1471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TOMAZINA
15/06/2011
Art. 155
8 anos e 6 m</t>
        </r>
      </text>
    </comment>
    <comment ref="C1474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ORIUNDO : Guarapuava. 30/11/15 art. 12
</t>
        </r>
      </text>
    </comment>
    <comment ref="C1477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ART: 157 3X;  121 2X; ART19, ART16. 51a4m19d</t>
        </r>
      </text>
    </comment>
    <comment ref="C1487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REGRESSÃO
17/02/2011</t>
        </r>
      </text>
    </comment>
    <comment ref="C1505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JAGUARIAIVA 14/07/17
</t>
        </r>
      </text>
    </comment>
    <comment ref="C1508" authorId="2">
      <text>
        <r>
          <rPr>
            <sz val="8"/>
            <color indexed="81"/>
            <rFont val="Tahoma"/>
            <family val="2"/>
          </rPr>
          <t xml:space="preserve">HILDEBRANDO
05/09/2014
</t>
        </r>
      </text>
    </comment>
    <comment ref="C1509" authorId="1">
      <text>
        <r>
          <rPr>
            <sz val="8"/>
            <color indexed="81"/>
            <rFont val="Tahoma"/>
            <family val="2"/>
          </rPr>
          <t>HILDEBRANDO
31/03/2015</t>
        </r>
      </text>
    </comment>
    <comment ref="C1513" authorId="1">
      <text>
        <r>
          <rPr>
            <b/>
            <sz val="8"/>
            <color indexed="81"/>
            <rFont val="Tahoma"/>
            <family val="2"/>
          </rPr>
          <t>17/08/2016
Oriundo da CPHS</t>
        </r>
      </text>
    </comment>
    <comment ref="C1517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14/07/2010</t>
        </r>
      </text>
    </comment>
    <comment ref="C1518" authorId="1">
      <text>
        <r>
          <rPr>
            <sz val="8"/>
            <color indexed="81"/>
            <rFont val="Tahoma"/>
            <family val="2"/>
          </rPr>
          <t>HILDEBRANDO
07/04/2015</t>
        </r>
      </text>
    </comment>
    <comment ref="C1519" authorId="5">
      <text>
        <r>
          <rPr>
            <b/>
            <sz val="8"/>
            <color indexed="81"/>
            <rFont val="Tahoma"/>
            <family val="2"/>
          </rPr>
          <t>DEPEN-4401:</t>
        </r>
        <r>
          <rPr>
            <sz val="8"/>
            <color indexed="81"/>
            <rFont val="Tahoma"/>
            <family val="2"/>
          </rPr>
          <t xml:space="preserve">
T. SOARES 22/09/09.</t>
        </r>
      </text>
    </comment>
    <comment ref="C1527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Vulgo:</t>
        </r>
        <r>
          <rPr>
            <b/>
            <sz val="8"/>
            <color indexed="81"/>
            <rFont val="Tahoma"/>
            <family val="2"/>
          </rPr>
          <t>CURITIBA</t>
        </r>
      </text>
    </comment>
    <comment ref="C1546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IMBITUVA-PR
Art.155,121,163,171,217 a
77 anos, 08 m e 15 d</t>
        </r>
      </text>
    </comment>
    <comment ref="E1550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LIVRAMENTO CONDICIONAL 28/04/2011.</t>
        </r>
      </text>
    </comment>
    <comment ref="C1551" authorId="1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552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13/05/2011
Art. 33
2 anos e 5 meses</t>
        </r>
      </text>
    </comment>
    <comment ref="C1553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T. BORBA
12/05/2016</t>
        </r>
      </text>
    </comment>
    <comment ref="A1555" authorId="1">
      <text>
        <r>
          <rPr>
            <sz val="8"/>
            <color indexed="81"/>
            <rFont val="Tahoma"/>
            <family val="2"/>
          </rPr>
          <t>HILDEBRANDO
30/05/2014
Art.12</t>
        </r>
      </text>
    </comment>
    <comment ref="C1557" authorId="8">
      <text>
        <r>
          <rPr>
            <b/>
            <sz val="9"/>
            <color indexed="81"/>
            <rFont val="Tahoma"/>
            <family val="2"/>
          </rPr>
          <t xml:space="preserve">HILDEBRANDO
12/04/17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63" authorId="2">
      <text>
        <r>
          <rPr>
            <sz val="8"/>
            <color indexed="81"/>
            <rFont val="Tahoma"/>
            <family val="2"/>
          </rPr>
          <t xml:space="preserve">HILDEBRANDO
27/06/2014
</t>
        </r>
      </text>
    </comment>
    <comment ref="C1565" authorId="4">
      <text>
        <r>
          <rPr>
            <b/>
            <sz val="8"/>
            <color indexed="81"/>
            <rFont val="Tahoma"/>
            <family val="2"/>
          </rPr>
          <t>CEEBEJA:</t>
        </r>
        <r>
          <rPr>
            <sz val="8"/>
            <color indexed="81"/>
            <rFont val="Tahoma"/>
            <family val="2"/>
          </rPr>
          <t xml:space="preserve">
HILDEBRANDO
18/03/2013
</t>
        </r>
      </text>
    </comment>
    <comment ref="C1569" authorId="1">
      <text>
        <r>
          <rPr>
            <b/>
            <sz val="8"/>
            <color indexed="81"/>
            <rFont val="Tahoma"/>
            <family val="2"/>
          </rPr>
          <t>Chegou em 01/152/2015</t>
        </r>
      </text>
    </comment>
    <comment ref="C1571" authorId="4">
      <text>
        <r>
          <rPr>
            <b/>
            <sz val="8"/>
            <color indexed="81"/>
            <rFont val="Tahoma"/>
            <family val="2"/>
          </rPr>
          <t>CEEBEJA:</t>
        </r>
        <r>
          <rPr>
            <sz val="8"/>
            <color indexed="81"/>
            <rFont val="Tahoma"/>
            <family val="2"/>
          </rPr>
          <t xml:space="preserve">
HILDEBRANDO
01/07/2011
</t>
        </r>
      </text>
    </comment>
    <comment ref="C1572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TELEMACO BORBA
12/06/2009</t>
        </r>
      </text>
    </comment>
    <comment ref="C1574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14/10/2016
PCC</t>
        </r>
      </text>
    </comment>
    <comment ref="C1581" authorId="0">
      <text>
        <r>
          <rPr>
            <sz val="8"/>
            <color indexed="81"/>
            <rFont val="Tahoma"/>
            <family val="2"/>
          </rPr>
          <t>HILDEBRANDO
10/05/2010 
Art. 33
10 anos</t>
        </r>
      </text>
    </comment>
    <comment ref="C1582" authorId="0">
      <text>
        <r>
          <rPr>
            <sz val="8"/>
            <color indexed="81"/>
            <rFont val="Tahoma"/>
            <family val="2"/>
          </rPr>
          <t>PIRAÍ DO SUL-PR
15/05/2012.
2 anos e 8m</t>
        </r>
      </text>
    </comment>
    <comment ref="C1597" authorId="1">
      <text>
        <r>
          <rPr>
            <sz val="8"/>
            <color indexed="81"/>
            <rFont val="Tahoma"/>
            <family val="2"/>
          </rPr>
          <t xml:space="preserve">HILDEBRANDO
31/03/2015
</t>
        </r>
      </text>
    </comment>
    <comment ref="C1599" authorId="4">
      <text>
        <r>
          <rPr>
            <sz val="8"/>
            <color indexed="81"/>
            <rFont val="Tahoma"/>
            <family val="2"/>
          </rPr>
          <t xml:space="preserve">HILDEBRANDO
14/03/2014
</t>
        </r>
      </text>
    </comment>
    <comment ref="C1601" authorId="2">
      <text>
        <r>
          <rPr>
            <sz val="8"/>
            <color indexed="81"/>
            <rFont val="Tahoma"/>
            <family val="2"/>
          </rPr>
          <t>HILDEBRANDO
09/09/2014
Art. 213</t>
        </r>
      </text>
    </comment>
    <comment ref="A1602" authorId="8">
      <text>
        <r>
          <rPr>
            <b/>
            <sz val="9"/>
            <color indexed="81"/>
            <rFont val="Tahoma"/>
            <family val="2"/>
          </rPr>
          <t xml:space="preserve">HILDEBRANDO
12/04/17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03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07/06/2010</t>
        </r>
      </text>
    </comment>
    <comment ref="C1608" authorId="2">
      <text>
        <r>
          <rPr>
            <b/>
            <sz val="8"/>
            <color indexed="81"/>
            <rFont val="Tahoma"/>
            <family val="2"/>
          </rPr>
          <t>DIPROM:</t>
        </r>
        <r>
          <rPr>
            <sz val="8"/>
            <color indexed="81"/>
            <rFont val="Tahoma"/>
            <family val="2"/>
          </rPr>
          <t xml:space="preserve">
Jogou merda no
funcionário
09/05/2014</t>
        </r>
      </text>
    </comment>
    <comment ref="C1609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 05/07
</t>
        </r>
      </text>
    </comment>
    <comment ref="C1619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15/06/2011
Art. 157 e 14
25 anos, 10 meses</t>
        </r>
      </text>
    </comment>
    <comment ref="C1621" authorId="1">
      <text>
        <r>
          <rPr>
            <sz val="8"/>
            <color indexed="81"/>
            <rFont val="Tahoma"/>
            <family val="2"/>
          </rPr>
          <t xml:space="preserve">HILDEBRANDO
31/03/2015
</t>
        </r>
      </text>
    </comment>
    <comment ref="C1624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16/09/2016
</t>
        </r>
      </text>
    </comment>
    <comment ref="C1628" authorId="2">
      <text>
        <r>
          <rPr>
            <sz val="8"/>
            <color indexed="81"/>
            <rFont val="Tahoma"/>
            <family val="2"/>
          </rPr>
          <t>HILDEBRANDO
03/09/2014
ART. 33, 36, 16</t>
        </r>
      </text>
    </comment>
    <comment ref="C1633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T. BORBA
08/01/2010</t>
        </r>
      </text>
    </comment>
    <comment ref="C1638" authorId="8">
      <text>
        <r>
          <rPr>
            <b/>
            <sz val="9"/>
            <color indexed="81"/>
            <rFont val="Tahoma"/>
            <family val="2"/>
          </rPr>
          <t>ORIUNDO DE TELEMACO EM 07/12/2016</t>
        </r>
      </text>
    </comment>
    <comment ref="C1640" authorId="2">
      <text>
        <r>
          <rPr>
            <sz val="8"/>
            <color indexed="81"/>
            <rFont val="Tahoma"/>
            <family val="2"/>
          </rPr>
          <t>HILDEBRANDO
08/09/2014</t>
        </r>
      </text>
    </comment>
    <comment ref="C1641" authorId="2">
      <text>
        <r>
          <rPr>
            <b/>
            <sz val="8"/>
            <color indexed="81"/>
            <rFont val="Tahoma"/>
            <family val="2"/>
          </rPr>
          <t>DIPROM:</t>
        </r>
        <r>
          <rPr>
            <sz val="8"/>
            <color indexed="81"/>
            <rFont val="Tahoma"/>
            <family val="2"/>
          </rPr>
          <t xml:space="preserve">
HILDEBRANDO
03/09/2014
Art. 157
MÃE Roseli Ap. Ferreira</t>
        </r>
      </text>
    </comment>
    <comment ref="C1642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CMP
11/08/2014
Nascimento 07/12/1987</t>
        </r>
      </text>
    </comment>
    <comment ref="C1655" authorId="8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HSPG 12/12/16</t>
        </r>
      </text>
    </comment>
    <comment ref="C1659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W. BRAZ
13/01/2011
Art. 155
14 anos e 5 m
VEINHO
</t>
        </r>
      </text>
    </comment>
    <comment ref="C1665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
04/07/2017</t>
        </r>
      </text>
    </comment>
    <comment ref="C1671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S. CAMPOS
11/5/2010
Art. 157
7 anos e 4 meses</t>
        </r>
      </text>
    </comment>
    <comment ref="C1673" authorId="1">
      <text>
        <r>
          <rPr>
            <b/>
            <sz val="8"/>
            <color indexed="81"/>
            <rFont val="Tahoma"/>
            <family val="2"/>
          </rPr>
          <t>Oriundo de Palmeira em 14/05/2015. Art. 157.</t>
        </r>
      </text>
    </comment>
    <comment ref="C1674" authorId="1">
      <text>
        <r>
          <rPr>
            <sz val="8"/>
            <color indexed="81"/>
            <rFont val="Tahoma"/>
            <family val="2"/>
          </rPr>
          <t xml:space="preserve">HILDEBRANDO
07/04/2015
</t>
        </r>
      </text>
    </comment>
    <comment ref="C1684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PEFB
15/08/23017
</t>
        </r>
      </text>
    </comment>
    <comment ref="C1686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26/03/2012
Art.
27 anos, 1 m</t>
        </r>
      </text>
    </comment>
    <comment ref="C1691" authorId="2">
      <text>
        <r>
          <rPr>
            <b/>
            <sz val="8"/>
            <color indexed="81"/>
            <rFont val="Tahoma"/>
            <family val="2"/>
          </rPr>
          <t>TIBAGI-PR 12/06/14</t>
        </r>
      </text>
    </comment>
    <comment ref="C1693" authorId="1">
      <text>
        <r>
          <rPr>
            <b/>
            <sz val="8"/>
            <color indexed="81"/>
            <rFont val="Tahoma"/>
            <family val="2"/>
          </rPr>
          <t>17/08/2016
Oriundo da CPHS</t>
        </r>
      </text>
    </comment>
    <comment ref="C1698" authorId="2">
      <text>
        <r>
          <rPr>
            <b/>
            <sz val="8"/>
            <color indexed="81"/>
            <rFont val="Tahoma"/>
            <family val="2"/>
          </rPr>
          <t>DIPROM:</t>
        </r>
        <r>
          <rPr>
            <sz val="8"/>
            <color indexed="81"/>
            <rFont val="Tahoma"/>
            <family val="2"/>
          </rPr>
          <t xml:space="preserve">
HILDEBRANDO
09/09/2014
Art. 213
</t>
        </r>
      </text>
    </comment>
    <comment ref="C1703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H. DE SOUZA 19/04/2010
Art. 157 / 6 anos e 9 meses
(FILHO DE WALNEI EUZÉBIO)
</t>
        </r>
      </text>
    </comment>
    <comment ref="C1704" authorId="4">
      <text>
        <r>
          <rPr>
            <b/>
            <sz val="8"/>
            <color indexed="81"/>
            <rFont val="Tahoma"/>
            <family val="2"/>
          </rPr>
          <t>CEEBEJA:</t>
        </r>
        <r>
          <rPr>
            <sz val="8"/>
            <color indexed="81"/>
            <rFont val="Tahoma"/>
            <family val="2"/>
          </rPr>
          <t xml:space="preserve">
PIG
03/05/2012
</t>
        </r>
      </text>
    </comment>
    <comment ref="C1705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18/08/2011 - Palmeira
Neguinho
Art. 155 e 157 - 7 anos e 10 meses
Art. 121 - 8 anos 1 mês</t>
        </r>
      </text>
    </comment>
    <comment ref="C1706" authorId="1">
      <text>
        <r>
          <rPr>
            <b/>
            <sz val="8"/>
            <color indexed="81"/>
            <rFont val="Tahoma"/>
            <family val="2"/>
          </rPr>
          <t>Oriundo de Jaguariaiva em 16/07/15, art. 288 (assossiação crimino-sa); art. 33; art. 157 § 2º, I, II e V do CP (roubo agravado)</t>
        </r>
      </text>
    </comment>
    <comment ref="C1711" authorId="1">
      <text>
        <r>
          <rPr>
            <sz val="8"/>
            <color indexed="81"/>
            <rFont val="Tahoma"/>
            <family val="2"/>
          </rPr>
          <t>HILDEBRANDO
17/08/2016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C1714" authorId="5">
      <text>
        <r>
          <rPr>
            <b/>
            <sz val="8"/>
            <color indexed="81"/>
            <rFont val="Tahoma"/>
            <family val="2"/>
          </rPr>
          <t>DEPEN-4401:</t>
        </r>
        <r>
          <rPr>
            <sz val="8"/>
            <color indexed="81"/>
            <rFont val="Tahoma"/>
            <family val="2"/>
          </rPr>
          <t xml:space="preserve">
12/08/09 PG</t>
        </r>
      </text>
    </comment>
    <comment ref="C1716" authorId="2">
      <text>
        <r>
          <rPr>
            <sz val="8"/>
            <color indexed="81"/>
            <rFont val="Tahoma"/>
            <family val="2"/>
          </rPr>
          <t>Art.157 e 33
11 anos e 06m.</t>
        </r>
      </text>
    </comment>
    <comment ref="A1717" authorId="8">
      <text>
        <r>
          <rPr>
            <b/>
            <sz val="9"/>
            <color indexed="81"/>
            <rFont val="Tahoma"/>
            <family val="2"/>
          </rPr>
          <t>ORIUNDO DA CPHS EM 07/12/2016</t>
        </r>
      </text>
    </comment>
    <comment ref="C1717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T. BORBA
02/06/2010
Art. 33 e 35
9 anos e 6 meses</t>
        </r>
      </text>
    </comment>
    <comment ref="C1720" authorId="8">
      <text>
        <r>
          <rPr>
            <b/>
            <sz val="9"/>
            <color indexed="81"/>
            <rFont val="Tahoma"/>
            <family val="2"/>
          </rPr>
          <t>ORIUNDO DA CPHS EM 07/12/2016</t>
        </r>
      </text>
    </comment>
    <comment ref="C1729" authorId="0">
      <text>
        <r>
          <rPr>
            <sz val="8"/>
            <color indexed="81"/>
            <rFont val="Tahoma"/>
            <family val="2"/>
          </rPr>
          <t>HILDEBRANDO 17/02/12</t>
        </r>
      </text>
    </comment>
    <comment ref="C1739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S. CAMPOS 
12/01/10</t>
        </r>
      </text>
    </comment>
    <comment ref="C1743" authorId="2">
      <text>
        <r>
          <rPr>
            <b/>
            <sz val="8"/>
            <color indexed="81"/>
            <rFont val="Tahoma"/>
            <family val="2"/>
          </rPr>
          <t>HILDEBRANDO 04/09/14
Art 180 , art 33 6 anos e 2m</t>
        </r>
      </text>
    </comment>
    <comment ref="C1748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ORTIGUEIRA
06/09/2018</t>
        </r>
      </text>
    </comment>
    <comment ref="C1749" authorId="6">
      <text>
        <r>
          <rPr>
            <b/>
            <sz val="9"/>
            <color indexed="81"/>
            <rFont val="Tahoma"/>
            <family val="2"/>
          </rPr>
          <t>22/04/2020
13ª SDP</t>
        </r>
      </text>
    </comment>
    <comment ref="A1751" authorId="6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CASTRO
06/12/2019</t>
        </r>
      </text>
    </comment>
    <comment ref="C1752" authorId="6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CASTRO
06/12/2019</t>
        </r>
      </text>
    </comment>
    <comment ref="A1757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 DE SOUZA
05/04/2016</t>
        </r>
      </text>
    </comment>
    <comment ref="C1758" authorId="1">
      <text>
        <r>
          <rPr>
            <b/>
            <sz val="8"/>
            <color indexed="81"/>
            <rFont val="Tahoma"/>
            <family val="2"/>
          </rPr>
          <t>Chegada em 24/08/16.</t>
        </r>
      </text>
    </comment>
    <comment ref="C1765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CPHS 28/05/18</t>
        </r>
      </text>
    </comment>
    <comment ref="C1770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CASTRO
29/07/2018</t>
        </r>
      </text>
    </comment>
    <comment ref="A1772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CPHS 28/05/18</t>
        </r>
      </text>
    </comment>
    <comment ref="C1774" authorId="1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HILDEBRANDO
01/04/2019</t>
        </r>
      </text>
    </comment>
    <comment ref="A1775" authorId="1">
      <text>
        <r>
          <rPr>
            <b/>
            <sz val="8"/>
            <color indexed="81"/>
            <rFont val="Tahoma"/>
            <family val="2"/>
          </rPr>
          <t>Chegada em 25/11/15.</t>
        </r>
      </text>
    </comment>
    <comment ref="C1775" authorId="0">
      <text>
        <r>
          <rPr>
            <sz val="8"/>
            <color indexed="81"/>
            <rFont val="Tahoma"/>
            <family val="2"/>
          </rPr>
          <t>CHEGADA 30/03/11</t>
        </r>
      </text>
    </comment>
    <comment ref="C1776" authorId="1">
      <text>
        <r>
          <rPr>
            <b/>
            <sz val="8"/>
            <color indexed="81"/>
            <rFont val="Tahoma"/>
            <family val="2"/>
          </rPr>
          <t>Chegada em 25/11/15.</t>
        </r>
      </text>
    </comment>
    <comment ref="C1787" authorId="8">
      <text>
        <r>
          <rPr>
            <b/>
            <sz val="9"/>
            <color indexed="81"/>
            <rFont val="Tahoma"/>
            <family val="2"/>
          </rPr>
          <t>ORIUNDO DE TELEMACO EM 07/12/2016</t>
        </r>
      </text>
    </comment>
    <comment ref="C1788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PALMEIRA-PR
14/12/2015
Art. 213</t>
        </r>
      </text>
    </comment>
    <comment ref="C1790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 26/02/2016</t>
        </r>
      </text>
    </comment>
    <comment ref="C1793" authorId="4">
      <text>
        <r>
          <rPr>
            <b/>
            <sz val="8"/>
            <color indexed="81"/>
            <rFont val="Tahoma"/>
            <family val="2"/>
          </rPr>
          <t>CEEBEJA:</t>
        </r>
        <r>
          <rPr>
            <sz val="8"/>
            <color indexed="81"/>
            <rFont val="Tahoma"/>
            <family val="2"/>
          </rPr>
          <t xml:space="preserve">
HILDEBRANDO
04/01/2011
Art. 121 e 14
28 anos 10 m e 7 d</t>
        </r>
      </text>
    </comment>
    <comment ref="C1794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CPHS 28/05/18
</t>
        </r>
      </text>
    </comment>
    <comment ref="C1803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SAGUI</t>
        </r>
      </text>
    </comment>
    <comment ref="A1818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 05/07
</t>
        </r>
      </text>
    </comment>
    <comment ref="C1819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filho de lauri faustino xavier</t>
        </r>
      </text>
    </comment>
    <comment ref="C1821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 05/07
</t>
        </r>
      </text>
    </comment>
    <comment ref="C1826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CPHS 14/10/2016</t>
        </r>
      </text>
    </comment>
    <comment ref="C1829" authorId="2">
      <text>
        <r>
          <rPr>
            <b/>
            <sz val="8"/>
            <color indexed="81"/>
            <rFont val="Tahoma"/>
            <family val="2"/>
          </rPr>
          <t>Tentou fazer enfermeira de refém 15/04/14</t>
        </r>
      </text>
    </comment>
    <comment ref="A1833" authorId="1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
</t>
        </r>
      </text>
    </comment>
    <comment ref="C1833" authorId="1">
      <text>
        <r>
          <rPr>
            <b/>
            <sz val="8"/>
            <color indexed="81"/>
            <rFont val="Tahoma"/>
            <family val="2"/>
          </rPr>
          <t>Chegada em 25/11/15.</t>
        </r>
      </text>
    </comment>
    <comment ref="C1834" authorId="1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
</t>
        </r>
      </text>
    </comment>
    <comment ref="A1835" authorId="6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CASTRO
06/12/2019
</t>
        </r>
      </text>
    </comment>
    <comment ref="C1836" authorId="6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CASTRO
06/12/2019
</t>
        </r>
      </text>
    </comment>
    <comment ref="C1838" authorId="1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W. BRAZ
27/02/2019</t>
        </r>
      </text>
    </comment>
    <comment ref="C1841" authorId="0">
      <text>
        <r>
          <rPr>
            <sz val="8"/>
            <color indexed="81"/>
            <rFont val="Tahoma"/>
            <family val="2"/>
          </rPr>
          <t xml:space="preserve">HILDEBRANDO 28/03/2012
7 a e 04 m </t>
        </r>
      </text>
    </comment>
    <comment ref="A1842" authorId="8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HSPG 12/12/16</t>
        </r>
      </text>
    </comment>
    <comment ref="C1842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Proveniente de Tibagi</t>
        </r>
      </text>
    </comment>
    <comment ref="C1845" authorId="4">
      <text>
        <r>
          <rPr>
            <b/>
            <sz val="8"/>
            <color indexed="81"/>
            <rFont val="Tahoma"/>
            <family val="2"/>
          </rPr>
          <t>CEEBEJA:</t>
        </r>
        <r>
          <rPr>
            <sz val="8"/>
            <color indexed="81"/>
            <rFont val="Tahoma"/>
            <family val="2"/>
          </rPr>
          <t xml:space="preserve">
COT
19/03/2010
</t>
        </r>
      </text>
    </comment>
    <comment ref="C1852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18/12/2009</t>
        </r>
      </text>
    </comment>
    <comment ref="C1854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T. BORBA
12/05/2016</t>
        </r>
      </text>
    </comment>
    <comment ref="C1855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REGRESSÃO
21/03/2011</t>
        </r>
      </text>
    </comment>
    <comment ref="C1867" authorId="1">
      <text>
        <r>
          <rPr>
            <sz val="8"/>
            <color indexed="81"/>
            <rFont val="Tahoma"/>
            <family val="2"/>
          </rPr>
          <t>Palmeira-PR
03/04/2015</t>
        </r>
      </text>
    </comment>
    <comment ref="C1868" authorId="1">
      <text>
        <r>
          <rPr>
            <sz val="8"/>
            <color indexed="81"/>
            <rFont val="Tahoma"/>
            <family val="2"/>
          </rPr>
          <t>CADEIA PÚBLICA DE SIQUEIRA CAMPOS 25/06/15</t>
        </r>
      </text>
    </comment>
    <comment ref="C1872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Participou da fundação do PCC no PR. Rebelião PCE 2001
</t>
        </r>
      </text>
    </comment>
    <comment ref="C1874" authorId="1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CCP
06/02/2019
</t>
        </r>
      </text>
    </comment>
    <comment ref="C1875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08/04/2011
</t>
        </r>
      </text>
    </comment>
    <comment ref="C1878" authorId="1">
      <text>
        <r>
          <rPr>
            <b/>
            <sz val="8"/>
            <color indexed="81"/>
            <rFont val="Tahoma"/>
            <family val="2"/>
          </rPr>
          <t>24/11/2015
Hildebrando de Souza</t>
        </r>
      </text>
    </comment>
    <comment ref="C1881" authorId="1">
      <text>
        <r>
          <rPr>
            <sz val="8"/>
            <color indexed="81"/>
            <rFont val="Tahoma"/>
            <family val="2"/>
          </rPr>
          <t>T. BORBA
06/05/2015</t>
        </r>
      </text>
    </comment>
    <comment ref="C1883" authorId="8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HSPG 12/12/16</t>
        </r>
      </text>
    </comment>
    <comment ref="C1888" authorId="2">
      <text>
        <r>
          <rPr>
            <b/>
            <sz val="8"/>
            <color indexed="81"/>
            <rFont val="Tahoma"/>
            <family val="2"/>
          </rPr>
          <t>HILDEBRANDO
04/09/14</t>
        </r>
      </text>
    </comment>
    <comment ref="C1889" authorId="1">
      <text>
        <r>
          <rPr>
            <sz val="8"/>
            <color indexed="81"/>
            <rFont val="Tahoma"/>
            <family val="2"/>
          </rPr>
          <t>25/04/2016
ART: 157</t>
        </r>
      </text>
    </comment>
    <comment ref="C1891" authorId="1">
      <text>
        <r>
          <rPr>
            <sz val="8"/>
            <color indexed="81"/>
            <rFont val="Tahoma"/>
            <family val="2"/>
          </rPr>
          <t>IMBITUVA-PR
13/02/2015</t>
        </r>
      </text>
    </comment>
    <comment ref="C1893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05/01/2010
</t>
        </r>
      </text>
    </comment>
    <comment ref="C1894" authorId="1">
      <text>
        <r>
          <rPr>
            <sz val="8"/>
            <color indexed="81"/>
            <rFont val="Tahoma"/>
            <family val="2"/>
          </rPr>
          <t xml:space="preserve">HILDEBRANDO 22/10/2015
</t>
        </r>
      </text>
    </comment>
    <comment ref="C1896" authorId="1">
      <text>
        <r>
          <rPr>
            <b/>
            <sz val="8"/>
            <color indexed="81"/>
            <rFont val="Tahoma"/>
            <family val="2"/>
          </rPr>
          <t>Oriundo da CPHS em 14/04, Homo HIV.</t>
        </r>
      </text>
    </comment>
    <comment ref="C1898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
04/07/2017</t>
        </r>
      </text>
    </comment>
    <comment ref="C1901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Evadido CRAPG
CASTRO
12/08/2009</t>
        </r>
      </text>
    </comment>
    <comment ref="C1903" authorId="2">
      <text>
        <r>
          <rPr>
            <b/>
            <sz val="8"/>
            <color indexed="81"/>
            <rFont val="Tahoma"/>
            <family val="2"/>
          </rPr>
          <t>ENTRADA 28/04/14</t>
        </r>
      </text>
    </comment>
    <comment ref="C1906" authorId="0">
      <text>
        <r>
          <rPr>
            <sz val="8"/>
            <color indexed="81"/>
            <rFont val="Tahoma"/>
            <family val="2"/>
          </rPr>
          <t xml:space="preserve">HILDEBRANDO
30/06/2011
Art. 33
5 anos
</t>
        </r>
      </text>
    </comment>
    <comment ref="C1928" authorId="1">
      <text>
        <r>
          <rPr>
            <b/>
            <sz val="8"/>
            <color indexed="81"/>
            <rFont val="Tahoma"/>
            <family val="2"/>
          </rPr>
          <t>Oriundo de Jaguariaiva em 16/07/15, art. 121 § 2º</t>
        </r>
      </text>
    </comment>
    <comment ref="C1935" authorId="2">
      <text>
        <r>
          <rPr>
            <b/>
            <sz val="8"/>
            <color indexed="81"/>
            <rFont val="Tahoma"/>
            <family val="2"/>
          </rPr>
          <t>DIPROM:</t>
        </r>
        <r>
          <rPr>
            <sz val="8"/>
            <color indexed="81"/>
            <rFont val="Tahoma"/>
            <family val="2"/>
          </rPr>
          <t xml:space="preserve">
HILDEBRANDO
23/06/2010</t>
        </r>
      </text>
    </comment>
    <comment ref="C1948" authorId="8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HILDEBRANDO 13/12/2016</t>
        </r>
      </text>
    </comment>
    <comment ref="C1951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HILDEBRANDO
28/03/2018</t>
        </r>
      </text>
    </comment>
    <comment ref="C1953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T. BORBA/HILDEBRANDO
03/06/2009
</t>
        </r>
      </text>
    </comment>
    <comment ref="A1960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
04/07/2017</t>
        </r>
      </text>
    </comment>
    <comment ref="C1960" authorId="2">
      <text>
        <r>
          <rPr>
            <b/>
            <sz val="8"/>
            <color indexed="81"/>
            <rFont val="Tahoma"/>
            <family val="2"/>
          </rPr>
          <t>Regressão CRAPG 03/12/14</t>
        </r>
      </text>
    </comment>
    <comment ref="C1963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
04/07/2017</t>
        </r>
      </text>
    </comment>
    <comment ref="C1970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CDR PIRAQUARA</t>
        </r>
      </text>
    </comment>
    <comment ref="C1971" authorId="0">
      <text>
        <r>
          <rPr>
            <sz val="8"/>
            <color indexed="81"/>
            <rFont val="Tahoma"/>
            <family val="2"/>
          </rPr>
          <t xml:space="preserve">TIBAGI-PR
22/07/2011
Art. 155 e 163
08 anos </t>
        </r>
      </text>
    </comment>
    <comment ref="C1974" authorId="2">
      <text>
        <r>
          <rPr>
            <b/>
            <sz val="8"/>
            <color indexed="81"/>
            <rFont val="Tahoma"/>
            <family val="2"/>
          </rPr>
          <t>CCC 
12/11/2014
permuta.</t>
        </r>
      </text>
    </comment>
    <comment ref="C1976" authorId="1">
      <text>
        <r>
          <rPr>
            <b/>
            <sz val="8"/>
            <color indexed="81"/>
            <rFont val="Tahoma"/>
            <family val="2"/>
          </rPr>
          <t>Chegada em 12/08/15.</t>
        </r>
      </text>
    </comment>
    <comment ref="C1978" authorId="2">
      <text>
        <r>
          <rPr>
            <b/>
            <sz val="8"/>
            <color indexed="81"/>
            <rFont val="Tahoma"/>
            <family val="2"/>
          </rPr>
          <t>ENTRADA 28/04/14</t>
        </r>
      </text>
    </comment>
    <comment ref="C1980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22/07/2016</t>
        </r>
      </text>
    </comment>
    <comment ref="C1983" authorId="7">
      <text>
        <r>
          <rPr>
            <b/>
            <sz val="8"/>
            <color indexed="81"/>
            <rFont val="Tahoma"/>
            <family val="2"/>
          </rPr>
          <t>CRAPG:</t>
        </r>
        <r>
          <rPr>
            <sz val="8"/>
            <color indexed="81"/>
            <rFont val="Tahoma"/>
            <family val="2"/>
          </rPr>
          <t xml:space="preserve">
HILDEBRANDO
17/02/2012
</t>
        </r>
      </text>
    </comment>
    <comment ref="C1984" authorId="2">
      <text>
        <r>
          <rPr>
            <b/>
            <sz val="8"/>
            <color indexed="81"/>
            <rFont val="Tahoma"/>
            <family val="2"/>
          </rPr>
          <t>DIPROM:</t>
        </r>
        <r>
          <rPr>
            <sz val="8"/>
            <color indexed="81"/>
            <rFont val="Tahoma"/>
            <family val="2"/>
          </rPr>
          <t xml:space="preserve">
HILDEBRANDO
18/08/2014</t>
        </r>
      </text>
    </comment>
    <comment ref="C1987" authorId="1">
      <text>
        <r>
          <rPr>
            <sz val="8"/>
            <color indexed="81"/>
            <rFont val="Tahoma"/>
            <family val="2"/>
          </rPr>
          <t>HILDEBRANDO
01/04/2015</t>
        </r>
      </text>
    </comment>
    <comment ref="C1990" authorId="1">
      <text>
        <r>
          <rPr>
            <sz val="8"/>
            <color indexed="81"/>
            <rFont val="Tahoma"/>
            <family val="2"/>
          </rPr>
          <t xml:space="preserve">HILDEBRANDO 22/10/2015
</t>
        </r>
      </text>
    </comment>
    <comment ref="C1992" authorId="5">
      <text>
        <r>
          <rPr>
            <b/>
            <sz val="8"/>
            <color indexed="81"/>
            <rFont val="Tahoma"/>
            <family val="2"/>
          </rPr>
          <t>Ligações com o pcc</t>
        </r>
      </text>
    </comment>
    <comment ref="C1994" authorId="1">
      <text>
        <r>
          <rPr>
            <b/>
            <sz val="8"/>
            <color indexed="81"/>
            <rFont val="Tahoma"/>
            <family val="2"/>
          </rPr>
          <t>Oriundo de Jaguariaiva em 16/07/15, art. 33.</t>
        </r>
      </text>
    </comment>
    <comment ref="C1999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W. BRAZ
21/06/2012
Art. 157
17 anos, 10 m e 03 d</t>
        </r>
      </text>
    </comment>
    <comment ref="C2001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COT
19/03/2010</t>
        </r>
      </text>
    </comment>
    <comment ref="C2002" authorId="0">
      <text>
        <r>
          <rPr>
            <sz val="8"/>
            <color indexed="81"/>
            <rFont val="Tahoma"/>
            <family val="2"/>
          </rPr>
          <t xml:space="preserve">CHEGADA
28/09/2012
</t>
        </r>
      </text>
    </comment>
    <comment ref="C2010" authorId="0">
      <text>
        <r>
          <rPr>
            <sz val="8"/>
            <color indexed="81"/>
            <rFont val="Tahoma"/>
            <family val="2"/>
          </rPr>
          <t>HIDELBRANDO 28/12/2012</t>
        </r>
      </text>
    </comment>
    <comment ref="C2014" authorId="1">
      <text>
        <r>
          <rPr>
            <sz val="8"/>
            <color indexed="81"/>
            <rFont val="Tahoma"/>
            <family val="2"/>
          </rPr>
          <t xml:space="preserve">HILDEBRANDO
01/04/2015
</t>
        </r>
      </text>
    </comment>
    <comment ref="C2020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HIDELBRANDO
23/06/2010
</t>
        </r>
      </text>
    </comment>
    <comment ref="C2025" authorId="8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HSPG 12/12/16</t>
        </r>
      </text>
    </comment>
    <comment ref="C2027" authorId="2">
      <text>
        <r>
          <rPr>
            <b/>
            <sz val="8"/>
            <color indexed="81"/>
            <rFont val="Tahoma"/>
            <family val="2"/>
          </rPr>
          <t>ENTRADA 28/04/14</t>
        </r>
      </text>
    </comment>
    <comment ref="C2033" authorId="2">
      <text>
        <r>
          <rPr>
            <b/>
            <sz val="8"/>
            <color indexed="81"/>
            <rFont val="Tahoma"/>
            <family val="2"/>
          </rPr>
          <t>DIPROM:</t>
        </r>
        <r>
          <rPr>
            <sz val="8"/>
            <color indexed="81"/>
            <rFont val="Tahoma"/>
            <family val="2"/>
          </rPr>
          <t xml:space="preserve">
CASTRO
29/03/2011
Art. 33
6 anos
</t>
        </r>
      </text>
    </comment>
    <comment ref="C2036" authorId="2">
      <text>
        <r>
          <rPr>
            <sz val="8"/>
            <color indexed="81"/>
            <rFont val="Tahoma"/>
            <family val="2"/>
          </rPr>
          <t xml:space="preserve">HILDEBRANDO
26/05/2014
</t>
        </r>
      </text>
    </comment>
    <comment ref="C2037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 04/05/2010</t>
        </r>
      </text>
    </comment>
    <comment ref="C2038" authorId="1">
      <text>
        <r>
          <rPr>
            <b/>
            <sz val="8"/>
            <color indexed="81"/>
            <rFont val="Tahoma"/>
            <family val="2"/>
          </rPr>
          <t>Oriundo da CPHS em 08/04/15, art. 33 (trafico)</t>
        </r>
      </text>
    </comment>
    <comment ref="A2041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CPHS 14/10/2016</t>
        </r>
      </text>
    </comment>
    <comment ref="C2043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CPHS 14/10/2016</t>
        </r>
      </text>
    </comment>
    <comment ref="C2045" authorId="1">
      <text>
        <r>
          <rPr>
            <b/>
            <sz val="8"/>
            <color indexed="81"/>
            <rFont val="Tahoma"/>
            <family val="2"/>
          </rPr>
          <t>Oriundo da CPHS em 14/04.</t>
        </r>
      </text>
    </comment>
    <comment ref="C2046" authorId="0">
      <text>
        <r>
          <rPr>
            <sz val="8"/>
            <color indexed="81"/>
            <rFont val="Tahoma"/>
            <family val="2"/>
          </rPr>
          <t>IMBITUVA-PR 20/06/12.
Art.: 121 e 157.
34a, 2m e 27d</t>
        </r>
      </text>
    </comment>
    <comment ref="C2047" authorId="1">
      <text>
        <r>
          <rPr>
            <b/>
            <sz val="8"/>
            <color indexed="81"/>
            <rFont val="Tahoma"/>
            <family val="2"/>
          </rPr>
          <t xml:space="preserve">CPHSPG 05/09
RSA.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053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ORIUNDO DA CARCERAGEM DE ARAPOTI</t>
        </r>
      </text>
    </comment>
    <comment ref="C2054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TEL. BORBA
08/12/17
</t>
        </r>
      </text>
    </comment>
    <comment ref="C2058" authorId="1">
      <text>
        <r>
          <rPr>
            <b/>
            <sz val="8"/>
            <color indexed="81"/>
            <rFont val="Tahoma"/>
            <family val="2"/>
          </rPr>
          <t>CHEGADA EM 11/06/15</t>
        </r>
      </text>
    </comment>
    <comment ref="C2059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20/12/2011</t>
        </r>
      </text>
    </comment>
    <comment ref="C2061" authorId="2">
      <text>
        <r>
          <rPr>
            <b/>
            <sz val="8"/>
            <color indexed="81"/>
            <rFont val="Tahoma"/>
            <family val="2"/>
          </rPr>
          <t>DIPROM:</t>
        </r>
        <r>
          <rPr>
            <sz val="8"/>
            <color indexed="81"/>
            <rFont val="Tahoma"/>
            <family val="2"/>
          </rPr>
          <t xml:space="preserve">
ENTRADA
28/04/2014
</t>
        </r>
      </text>
    </comment>
    <comment ref="C2065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TEL. BORBA
08/12/17
</t>
        </r>
      </text>
    </comment>
    <comment ref="C2070" authorId="10">
      <text>
        <r>
          <rPr>
            <sz val="9"/>
            <color indexed="81"/>
            <rFont val="Segoe UI"/>
            <family val="2"/>
          </rPr>
          <t xml:space="preserve">HILDEBRANDO
09/07/2019
</t>
        </r>
      </text>
    </comment>
    <comment ref="C2078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08/07/2010</t>
        </r>
      </text>
    </comment>
    <comment ref="C2080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04/09/2014
</t>
        </r>
      </text>
    </comment>
    <comment ref="C2085" authorId="8">
      <text>
        <r>
          <rPr>
            <b/>
            <sz val="9"/>
            <color indexed="81"/>
            <rFont val="Tahoma"/>
            <family val="2"/>
          </rPr>
          <t xml:space="preserve">HILDEBRANDO 
12/04/17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89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Reorno CMP
14/12/2015
(TB)</t>
        </r>
      </text>
    </comment>
    <comment ref="C2092" authorId="1">
      <text>
        <r>
          <rPr>
            <b/>
            <sz val="8"/>
            <color indexed="81"/>
            <rFont val="Tahoma"/>
            <family val="2"/>
          </rPr>
          <t>Regrediu em 20/04/2016, droga no cofre no RSA.</t>
        </r>
      </text>
    </comment>
    <comment ref="C2109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CASTRO
29/07/2018</t>
        </r>
      </text>
    </comment>
    <comment ref="C2113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Regressão CRAPG
23/02/2018</t>
        </r>
      </text>
    </comment>
    <comment ref="A2114" authorId="8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HILDEBRANDO
12/12/2016</t>
        </r>
      </text>
    </comment>
    <comment ref="C2115" authorId="8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HILDEBRANDO
12/12/2016</t>
        </r>
      </text>
    </comment>
    <comment ref="C2116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13/04/2010
Art. 33 
9 anos e 9 m
</t>
        </r>
      </text>
    </comment>
    <comment ref="C2118" authorId="2">
      <text>
        <r>
          <rPr>
            <sz val="8"/>
            <color indexed="81"/>
            <rFont val="Tahoma"/>
            <family val="2"/>
          </rPr>
          <t xml:space="preserve">HILDEBRANDO
05/09/2014
</t>
        </r>
      </text>
    </comment>
    <comment ref="C2120" authorId="0">
      <text>
        <r>
          <rPr>
            <sz val="8"/>
            <color indexed="81"/>
            <rFont val="Tahoma"/>
            <family val="2"/>
          </rPr>
          <t>JAGUARIAIVA-PR
19/12/2011</t>
        </r>
      </text>
    </comment>
    <comment ref="C2137" authorId="1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HILDEBRANDO
27/02/2019</t>
        </r>
      </text>
    </comment>
    <comment ref="C2138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20/10/2016</t>
        </r>
      </text>
    </comment>
    <comment ref="A2139" authorId="2">
      <text>
        <r>
          <rPr>
            <sz val="8"/>
            <color indexed="81"/>
            <rFont val="Tahoma"/>
            <family val="2"/>
          </rPr>
          <t xml:space="preserve">HILDEBRANDO
05/09/2014
</t>
        </r>
      </text>
    </comment>
    <comment ref="C2149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CURITIBA
22/05/18</t>
        </r>
      </text>
    </comment>
    <comment ref="C2150" authorId="7">
      <text>
        <r>
          <rPr>
            <b/>
            <sz val="8"/>
            <color indexed="81"/>
            <rFont val="Tahoma"/>
            <family val="2"/>
          </rPr>
          <t>CRAPG:</t>
        </r>
        <r>
          <rPr>
            <sz val="8"/>
            <color indexed="81"/>
            <rFont val="Tahoma"/>
            <family val="2"/>
          </rPr>
          <t xml:space="preserve">
HILDEBRANDO
18/03/2013
</t>
        </r>
      </text>
    </comment>
    <comment ref="C2154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 05/04/2012
ART.155, 14
8 ANOS e 20 DIAS</t>
        </r>
      </text>
    </comment>
    <comment ref="C2157" authorId="2">
      <text>
        <r>
          <rPr>
            <b/>
            <sz val="8"/>
            <color indexed="81"/>
            <rFont val="Tahoma"/>
            <family val="2"/>
          </rPr>
          <t>DIPROM:</t>
        </r>
        <r>
          <rPr>
            <sz val="8"/>
            <color indexed="81"/>
            <rFont val="Tahoma"/>
            <family val="2"/>
          </rPr>
          <t xml:space="preserve">
HILDEBRANDO
08/09/2014</t>
        </r>
      </text>
    </comment>
    <comment ref="C2159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09/07/212
Art. 155
12 anos, 05 m e 15 d</t>
        </r>
      </text>
    </comment>
    <comment ref="C2166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04/09/2014</t>
        </r>
      </text>
    </comment>
    <comment ref="C2192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31/03/2011
</t>
        </r>
      </text>
    </comment>
    <comment ref="C2194" authorId="5">
      <text>
        <r>
          <rPr>
            <b/>
            <sz val="8"/>
            <color indexed="81"/>
            <rFont val="Tahoma"/>
            <family val="2"/>
          </rPr>
          <t>DEPEN-4401:</t>
        </r>
        <r>
          <rPr>
            <sz val="8"/>
            <color indexed="81"/>
            <rFont val="Tahoma"/>
            <family val="2"/>
          </rPr>
          <t xml:space="preserve">
ORIUNDO DE TEX BORBA 27/05/09</t>
        </r>
      </text>
    </comment>
    <comment ref="C2202" authorId="3">
      <text>
        <r>
          <rPr>
            <b/>
            <sz val="9"/>
            <color indexed="81"/>
            <rFont val="Segoe UI"/>
            <family val="2"/>
          </rPr>
          <t xml:space="preserve">Proveniente do HSPG
</t>
        </r>
      </text>
    </comment>
    <comment ref="C2207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28/09/2010
Art. 33
5 anos 
pai de Jose Guilherme</t>
        </r>
      </text>
    </comment>
    <comment ref="C2210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PIRAI DO SUL
03/08/2010
Art. 121
14 anos</t>
        </r>
      </text>
    </comment>
    <comment ref="C2211" authorId="8">
      <text>
        <r>
          <rPr>
            <b/>
            <sz val="9"/>
            <color indexed="81"/>
            <rFont val="Tahoma"/>
            <family val="2"/>
          </rPr>
          <t>ORIUNDO DE TELEMACO EM 07/12/2016</t>
        </r>
      </text>
    </comment>
    <comment ref="C2217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01/06/2010
</t>
        </r>
      </text>
    </comment>
    <comment ref="C2224" authorId="5">
      <text>
        <r>
          <rPr>
            <b/>
            <sz val="8"/>
            <color indexed="81"/>
            <rFont val="Tahoma"/>
            <family val="2"/>
          </rPr>
          <t>DEPEN-4401:</t>
        </r>
        <r>
          <rPr>
            <sz val="8"/>
            <color indexed="81"/>
            <rFont val="Tahoma"/>
            <family val="2"/>
          </rPr>
          <t xml:space="preserve">
PONTA GROSSA 07/05/09</t>
        </r>
      </text>
    </comment>
    <comment ref="C2226" authorId="0">
      <text>
        <r>
          <rPr>
            <sz val="8"/>
            <color indexed="81"/>
            <rFont val="Tahoma"/>
            <family val="2"/>
          </rPr>
          <t xml:space="preserve">HILDEBRANDO
13/10/2011
Art. 157 e 16
26 anos, 7m </t>
        </r>
      </text>
    </comment>
    <comment ref="C2237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CADEIA DE JAGUARIAIVA
22/12/2015</t>
        </r>
      </text>
    </comment>
    <comment ref="C2238" authorId="1">
      <text>
        <r>
          <rPr>
            <b/>
            <sz val="8"/>
            <color indexed="81"/>
            <rFont val="Tahoma"/>
            <family val="2"/>
          </rPr>
          <t>Oriundo de Jaguariaiva em 16/07/15, art. 121 §2º</t>
        </r>
      </text>
    </comment>
    <comment ref="C2242" authorId="1">
      <text>
        <r>
          <rPr>
            <b/>
            <sz val="8"/>
            <color indexed="81"/>
            <rFont val="Tahoma"/>
            <family val="2"/>
          </rPr>
          <t>CHEGADA EM 25/04/2016
ART: 217 ESTUPRO DE VULNERAVEL</t>
        </r>
      </text>
    </comment>
    <comment ref="C2243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PIRAI DO SUL
19/07/2017
</t>
        </r>
      </text>
    </comment>
    <comment ref="C2249" authorId="8">
      <text>
        <r>
          <rPr>
            <sz val="9"/>
            <color indexed="81"/>
            <rFont val="Tahoma"/>
            <family val="2"/>
          </rPr>
          <t xml:space="preserve">HILDEBRANDO
12/04/2017
</t>
        </r>
      </text>
    </comment>
    <comment ref="C2252" authorId="2">
      <text>
        <r>
          <rPr>
            <b/>
            <sz val="8"/>
            <color indexed="81"/>
            <rFont val="Tahoma"/>
            <family val="2"/>
          </rPr>
          <t>DIPROM:</t>
        </r>
        <r>
          <rPr>
            <sz val="8"/>
            <color indexed="81"/>
            <rFont val="Tahoma"/>
            <family val="2"/>
          </rPr>
          <t xml:space="preserve">
ENTRADA
04/04/2014
</t>
        </r>
      </text>
    </comment>
    <comment ref="C2253" authorId="8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HILDEBRANDO 
19/12/2016</t>
        </r>
      </text>
    </comment>
    <comment ref="C2256" authorId="2">
      <text>
        <r>
          <rPr>
            <b/>
            <sz val="8"/>
            <color indexed="81"/>
            <rFont val="Tahoma"/>
            <family val="2"/>
          </rPr>
          <t>HILDEBRANDO 04/09/2014.</t>
        </r>
      </text>
    </comment>
    <comment ref="C2261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PIRAI DO SUL
27/07/2011
Art. 33 e 35
7 anos e 5 meses</t>
        </r>
      </text>
    </comment>
    <comment ref="A2269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16/09/2016</t>
        </r>
      </text>
    </comment>
    <comment ref="C2269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12/12/2014</t>
        </r>
      </text>
    </comment>
    <comment ref="C2275" authorId="2">
      <text>
        <r>
          <rPr>
            <b/>
            <sz val="8"/>
            <color indexed="81"/>
            <rFont val="Tahoma"/>
            <family val="2"/>
          </rPr>
          <t>DIPROM:</t>
        </r>
        <r>
          <rPr>
            <sz val="8"/>
            <color indexed="81"/>
            <rFont val="Tahoma"/>
            <family val="2"/>
          </rPr>
          <t xml:space="preserve">
PCE
20/04/2012</t>
        </r>
      </text>
    </comment>
    <comment ref="C2277" authorId="2">
      <text>
        <r>
          <rPr>
            <sz val="8"/>
            <color indexed="81"/>
            <rFont val="Tahoma"/>
            <family val="2"/>
          </rPr>
          <t xml:space="preserve">HILDEBRANDO
09/09/2014
Art. 157
</t>
        </r>
      </text>
    </comment>
    <comment ref="C2289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11/12/2016
</t>
        </r>
      </text>
    </comment>
    <comment ref="C2290" authorId="5">
      <text>
        <r>
          <rPr>
            <b/>
            <sz val="8"/>
            <color indexed="81"/>
            <rFont val="Tahoma"/>
            <family val="2"/>
          </rPr>
          <t>DEPEN-4401:</t>
        </r>
        <r>
          <rPr>
            <sz val="8"/>
            <color indexed="81"/>
            <rFont val="Tahoma"/>
            <family val="2"/>
          </rPr>
          <t xml:space="preserve">
Violentado sexualmente por Ednilson Martins</t>
        </r>
      </text>
    </comment>
    <comment ref="C2291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 EM 04/07/11.
art. 33 5 anos e 3 meses</t>
        </r>
      </text>
    </comment>
    <comment ref="C2292" authorId="2">
      <text>
        <r>
          <rPr>
            <sz val="8"/>
            <color indexed="81"/>
            <rFont val="Tahoma"/>
            <family val="2"/>
          </rPr>
          <t xml:space="preserve">HILDEBRANDO
09/09/2014
Art. 155
</t>
        </r>
      </text>
    </comment>
    <comment ref="C2300" authorId="2">
      <text>
        <r>
          <rPr>
            <sz val="8"/>
            <color indexed="81"/>
            <rFont val="Tahoma"/>
            <family val="2"/>
          </rPr>
          <t>HILDEBRANDO
09/09/2014
Art. 121</t>
        </r>
      </text>
    </comment>
    <comment ref="C2305" authorId="8">
      <text>
        <r>
          <rPr>
            <b/>
            <sz val="9"/>
            <color indexed="81"/>
            <rFont val="Tahoma"/>
            <family val="2"/>
          </rPr>
          <t>ORIUNDO DA CPHS EM 07/12/2016</t>
        </r>
      </text>
    </comment>
    <comment ref="C2308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16/09/2016</t>
        </r>
      </text>
    </comment>
    <comment ref="C2309" authorId="8">
      <text>
        <r>
          <rPr>
            <sz val="9"/>
            <color indexed="81"/>
            <rFont val="Tahoma"/>
            <family val="2"/>
          </rPr>
          <t xml:space="preserve">HILDEBRANDO
16/01/2020
</t>
        </r>
      </text>
    </comment>
    <comment ref="C2315" authorId="2">
      <text>
        <r>
          <rPr>
            <b/>
            <sz val="8"/>
            <color indexed="81"/>
            <rFont val="Tahoma"/>
            <family val="2"/>
          </rPr>
          <t>DIPROM:</t>
        </r>
        <r>
          <rPr>
            <sz val="8"/>
            <color indexed="81"/>
            <rFont val="Tahoma"/>
            <family val="2"/>
          </rPr>
          <t xml:space="preserve">
HILDEBRANDO
08/09/2014</t>
        </r>
      </text>
    </comment>
    <comment ref="C2325" authorId="4">
      <text>
        <r>
          <rPr>
            <b/>
            <sz val="8"/>
            <color indexed="81"/>
            <rFont val="Tahoma"/>
            <family val="2"/>
          </rPr>
          <t>Entrada 04/04/14</t>
        </r>
      </text>
    </comment>
    <comment ref="C2330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HILDEBRANDO
28/03/2018</t>
        </r>
      </text>
    </comment>
    <comment ref="C2331" authorId="1">
      <text>
        <r>
          <rPr>
            <sz val="8"/>
            <color indexed="81"/>
            <rFont val="Tahoma"/>
            <family val="2"/>
          </rPr>
          <t>HILDEBRANDO
01/04/2015</t>
        </r>
      </text>
    </comment>
    <comment ref="A2336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CASTRO
29/07/2018</t>
        </r>
      </text>
    </comment>
    <comment ref="C2337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T. BORBA
29/05/2009</t>
        </r>
      </text>
    </comment>
    <comment ref="C2339" authorId="0">
      <text>
        <r>
          <rPr>
            <sz val="8"/>
            <color indexed="81"/>
            <rFont val="Tahoma"/>
            <family val="2"/>
          </rPr>
          <t>HILDEBRANDO
28/09/2011
Art. 121
14 anos</t>
        </r>
      </text>
    </comment>
    <comment ref="C2341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26/08/2015
</t>
        </r>
      </text>
    </comment>
    <comment ref="C2342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HILDERBRANDO 05/07
</t>
        </r>
      </text>
    </comment>
    <comment ref="C2345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HIDELBRANDO
16/12/2011  ART.155, 157
13 ANOS, 5 MESES
</t>
        </r>
      </text>
    </comment>
    <comment ref="C2353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Permuta
EDERSON LUIZ RUGENSKI</t>
        </r>
      </text>
    </comment>
    <comment ref="C2355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CADEIA DE JAGUARIAIVA
22/12/2015</t>
        </r>
      </text>
    </comment>
    <comment ref="C2360" authorId="8">
      <text>
        <r>
          <rPr>
            <b/>
            <sz val="9"/>
            <color indexed="81"/>
            <rFont val="Tahoma"/>
            <family val="2"/>
          </rPr>
          <t>ORIUNDO DA CPHS EM 07/12/2016</t>
        </r>
      </text>
    </comment>
    <comment ref="A2361" authorId="1">
      <text>
        <r>
          <rPr>
            <b/>
            <sz val="8"/>
            <color indexed="81"/>
            <rFont val="Tahoma"/>
            <family val="2"/>
          </rPr>
          <t>04/05/2016
JAGUARIAIVA
art. 33</t>
        </r>
      </text>
    </comment>
    <comment ref="C2363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CPHS 28/05/18</t>
        </r>
      </text>
    </comment>
    <comment ref="C2364" authorId="1">
      <text>
        <r>
          <rPr>
            <b/>
            <sz val="8"/>
            <color indexed="81"/>
            <rFont val="Tahoma"/>
            <family val="2"/>
          </rPr>
          <t>04/05/2016
JAGUARIAIVA
art. 33</t>
        </r>
      </text>
    </comment>
    <comment ref="C2367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W. BRAS
26/10/10
Art. 155 ,4°
2 anos
MARUMBA</t>
        </r>
      </text>
    </comment>
    <comment ref="C2368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11/12/2015
</t>
        </r>
      </text>
    </comment>
    <comment ref="C2370" authorId="0">
      <text>
        <r>
          <rPr>
            <sz val="8"/>
            <color indexed="81"/>
            <rFont val="Tahoma"/>
            <family val="2"/>
          </rPr>
          <t>HIDELBRANDO
16/12/2011
Art. 157 e Art. 14
14 anos</t>
        </r>
      </text>
    </comment>
    <comment ref="C2374" authorId="1">
      <text>
        <r>
          <rPr>
            <sz val="8"/>
            <color indexed="81"/>
            <rFont val="Tahoma"/>
            <family val="2"/>
          </rPr>
          <t>HILDEBRANDO
25/03/2015</t>
        </r>
      </text>
    </comment>
    <comment ref="C2376" authorId="2">
      <text>
        <r>
          <rPr>
            <b/>
            <sz val="8"/>
            <color indexed="81"/>
            <rFont val="Tahoma"/>
            <family val="2"/>
          </rPr>
          <t>DIPROM:</t>
        </r>
        <r>
          <rPr>
            <sz val="8"/>
            <color indexed="81"/>
            <rFont val="Tahoma"/>
            <family val="2"/>
          </rPr>
          <t xml:space="preserve">
HILDEBRANDO
27/04/2010</t>
        </r>
      </text>
    </comment>
    <comment ref="C2377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14/02/2015
</t>
        </r>
      </text>
    </comment>
    <comment ref="C2383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TIBAGI  08/04/10 
Art. 33
6 anos</t>
        </r>
      </text>
    </comment>
    <comment ref="C2389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07/04/2015</t>
        </r>
      </text>
    </comment>
    <comment ref="C2411" authorId="0">
      <text>
        <r>
          <rPr>
            <sz val="8"/>
            <color indexed="81"/>
            <rFont val="Tahoma"/>
            <family val="2"/>
          </rPr>
          <t xml:space="preserve">HILDEBRANDO
23/01/2012
Art.157
13 anos e 10m
</t>
        </r>
      </text>
    </comment>
    <comment ref="C2419" authorId="10">
      <text>
        <r>
          <rPr>
            <b/>
            <sz val="9"/>
            <color indexed="81"/>
            <rFont val="Segoe UI"/>
            <family val="2"/>
          </rPr>
          <t>MPHSPG - 09/07/19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2420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10/01/2011  Art. 33 5 anos
Vulgo: </t>
        </r>
        <r>
          <rPr>
            <b/>
            <sz val="8"/>
            <color indexed="81"/>
            <rFont val="Tahoma"/>
            <family val="2"/>
          </rPr>
          <t>CASCÃO</t>
        </r>
      </text>
    </comment>
    <comment ref="C2421" authorId="7">
      <text>
        <r>
          <rPr>
            <b/>
            <sz val="8"/>
            <color indexed="81"/>
            <rFont val="Tahoma"/>
            <family val="2"/>
          </rPr>
          <t>CRAPG:</t>
        </r>
        <r>
          <rPr>
            <sz val="8"/>
            <color indexed="81"/>
            <rFont val="Tahoma"/>
            <family val="2"/>
          </rPr>
          <t xml:space="preserve">
HILDEBRANDO
18/03/2013
</t>
        </r>
      </text>
    </comment>
    <comment ref="C2423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W. BRAZ
24/05/10 
7a e 6m</t>
        </r>
      </text>
    </comment>
    <comment ref="C2424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 26/02/2016</t>
        </r>
      </text>
    </comment>
    <comment ref="C2427" authorId="3">
      <text>
        <r>
          <rPr>
            <b/>
            <sz val="9"/>
            <color indexed="81"/>
            <rFont val="Segoe UI"/>
            <family val="2"/>
          </rPr>
          <t xml:space="preserve">CI:
</t>
        </r>
        <r>
          <rPr>
            <sz val="9"/>
            <color indexed="81"/>
            <rFont val="Segoe UI"/>
            <family val="2"/>
          </rPr>
          <t xml:space="preserve">CASTRO
26/12/2017
</t>
        </r>
      </text>
    </comment>
    <comment ref="C2433" authorId="1">
      <text>
        <r>
          <rPr>
            <b/>
            <sz val="8"/>
            <color indexed="81"/>
            <rFont val="Tahoma"/>
            <family val="2"/>
          </rPr>
          <t>24/11/2015
Hildebrando de Souza</t>
        </r>
      </text>
    </comment>
    <comment ref="C2441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18/10/2011
Art. 155
9 anos, 6 meses
</t>
        </r>
      </text>
    </comment>
    <comment ref="C2443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PEP II
05/06/2014
Art. 121 e 157</t>
        </r>
      </text>
    </comment>
    <comment ref="C2449" authorId="1">
      <text>
        <r>
          <rPr>
            <b/>
            <sz val="8"/>
            <color indexed="81"/>
            <rFont val="Tahoma"/>
            <family val="2"/>
          </rPr>
          <t>Oriundo da CPHS em 14/04.</t>
        </r>
      </text>
    </comment>
    <comment ref="C2451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ARAPOTI 
16/04/10</t>
        </r>
      </text>
    </comment>
    <comment ref="C2453" authorId="2">
      <text>
        <r>
          <rPr>
            <b/>
            <sz val="8"/>
            <color indexed="81"/>
            <rFont val="Tahoma"/>
            <family val="2"/>
          </rPr>
          <t>DIPROM:</t>
        </r>
        <r>
          <rPr>
            <sz val="8"/>
            <color indexed="81"/>
            <rFont val="Tahoma"/>
            <family val="2"/>
          </rPr>
          <t xml:space="preserve">
SIQUEIRA CAMPOS
02/06/2014
Art. 33
</t>
        </r>
      </text>
    </comment>
    <comment ref="A2457" authorId="1">
      <text>
        <r>
          <rPr>
            <b/>
            <sz val="8"/>
            <color indexed="81"/>
            <rFont val="Tahoma"/>
            <family val="2"/>
          </rPr>
          <t>CPHS 29/04/2016</t>
        </r>
      </text>
    </comment>
    <comment ref="A2459" authorId="1">
      <text>
        <r>
          <rPr>
            <b/>
            <sz val="8"/>
            <color indexed="81"/>
            <rFont val="Tahoma"/>
            <family val="2"/>
          </rPr>
          <t>Entrada da CPHS em 20/04/2016</t>
        </r>
      </text>
    </comment>
    <comment ref="C2461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SENGÉS
25/09/2018</t>
        </r>
      </text>
    </comment>
    <comment ref="C2462" authorId="1">
      <text>
        <r>
          <rPr>
            <b/>
            <sz val="8"/>
            <color indexed="81"/>
            <rFont val="Tahoma"/>
            <family val="2"/>
          </rPr>
          <t>CPHS 29/04/2016</t>
        </r>
      </text>
    </comment>
    <comment ref="C2464" authorId="1">
      <text>
        <r>
          <rPr>
            <b/>
            <sz val="8"/>
            <color indexed="81"/>
            <rFont val="Tahoma"/>
            <family val="2"/>
          </rPr>
          <t>Entrada da CPHS em 20/04/2016</t>
        </r>
      </text>
    </comment>
    <comment ref="C2465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18/10/2011
Art. 157
8 anos e 5 meses</t>
        </r>
      </text>
    </comment>
    <comment ref="C2466" authorId="0">
      <text>
        <r>
          <rPr>
            <sz val="8"/>
            <color indexed="81"/>
            <rFont val="Tahoma"/>
            <family val="2"/>
          </rPr>
          <t>SENGÉS-PR 30/01/12
Art. 157 5a e 4m</t>
        </r>
      </text>
    </comment>
    <comment ref="C2468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REGRESSÃO 15/03/2016 POR FALTA GRAVE</t>
        </r>
      </text>
    </comment>
    <comment ref="C2470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26/12/2017
oriundo de Castro</t>
        </r>
      </text>
    </comment>
    <comment ref="C2472" authorId="1">
      <text>
        <r>
          <rPr>
            <b/>
            <sz val="8"/>
            <color indexed="81"/>
            <rFont val="Tahoma"/>
            <family val="2"/>
          </rPr>
          <t>CPHS 29/04/2016</t>
        </r>
      </text>
    </comment>
    <comment ref="C2475" authorId="1">
      <text>
        <r>
          <rPr>
            <b/>
            <sz val="8"/>
            <color indexed="81"/>
            <rFont val="Tahoma"/>
            <family val="2"/>
          </rPr>
          <t xml:space="preserve">28/09/2015 - CASTRO
</t>
        </r>
      </text>
    </comment>
    <comment ref="C2476" authorId="8">
      <text>
        <r>
          <rPr>
            <b/>
            <sz val="9"/>
            <color indexed="81"/>
            <rFont val="Tahoma"/>
            <family val="2"/>
          </rPr>
          <t>26/04/2017
PALMEIRA</t>
        </r>
      </text>
    </comment>
    <comment ref="C2478" authorId="0">
      <text>
        <r>
          <rPr>
            <sz val="8"/>
            <color indexed="81"/>
            <rFont val="Tahoma"/>
            <family val="2"/>
          </rPr>
          <t>HILDEBRANDO
19/12/2011</t>
        </r>
      </text>
    </comment>
    <comment ref="C2484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10/05/2010 
Art. 33
5 anos</t>
        </r>
      </text>
    </comment>
    <comment ref="C2490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31/04/2015
</t>
        </r>
      </text>
    </comment>
    <comment ref="C2500" authorId="2">
      <text>
        <r>
          <rPr>
            <b/>
            <sz val="8"/>
            <color indexed="81"/>
            <rFont val="Tahoma"/>
            <family val="2"/>
          </rPr>
          <t>ENTRADA 28/04/14</t>
        </r>
      </text>
    </comment>
    <comment ref="C2506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PCE 09/08/2017
PERMUTA
JEAN ALEXANDRE IVAINSKI</t>
        </r>
      </text>
    </comment>
    <comment ref="C2510" authorId="5">
      <text>
        <r>
          <rPr>
            <b/>
            <sz val="8"/>
            <color indexed="81"/>
            <rFont val="Tahoma"/>
            <family val="2"/>
          </rPr>
          <t>DEPEN-4401:</t>
        </r>
        <r>
          <rPr>
            <sz val="8"/>
            <color indexed="81"/>
            <rFont val="Tahoma"/>
            <family val="2"/>
          </rPr>
          <t xml:space="preserve">
JAGUARIAÍVA
23/07/2009</t>
        </r>
      </text>
    </comment>
    <comment ref="C2530" authorId="2">
      <text>
        <r>
          <rPr>
            <sz val="8"/>
            <color indexed="81"/>
            <rFont val="Tahoma"/>
            <family val="2"/>
          </rPr>
          <t>HILDEBRANDO
30/05/2014
Art.157</t>
        </r>
      </text>
    </comment>
    <comment ref="C2533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T. BORBA
CASTOR</t>
        </r>
      </text>
    </comment>
    <comment ref="C2538" authorId="2">
      <text>
        <r>
          <rPr>
            <sz val="8"/>
            <color indexed="81"/>
            <rFont val="Tahoma"/>
            <family val="2"/>
          </rPr>
          <t>HILDEBRANDO
08/09/2014</t>
        </r>
      </text>
    </comment>
    <comment ref="C2540" authorId="2">
      <text>
        <r>
          <rPr>
            <sz val="8"/>
            <color indexed="81"/>
            <rFont val="Tahoma"/>
            <family val="2"/>
          </rPr>
          <t xml:space="preserve">HILDEBRANDO
05/09/2014
</t>
        </r>
      </text>
    </comment>
    <comment ref="C2543" authorId="0">
      <text>
        <r>
          <rPr>
            <sz val="8"/>
            <color indexed="81"/>
            <rFont val="Tahoma"/>
            <family val="2"/>
          </rPr>
          <t>De Imbituva-PR, em 20/06/12.
Art.: 214.
Pena: 8a 8m</t>
        </r>
      </text>
    </comment>
    <comment ref="C2547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01/04/2015
</t>
        </r>
      </text>
    </comment>
    <comment ref="C2550" authorId="2">
      <text>
        <r>
          <rPr>
            <b/>
            <sz val="8"/>
            <color indexed="81"/>
            <rFont val="Tahoma"/>
            <family val="2"/>
          </rPr>
          <t>DIPROM:</t>
        </r>
        <r>
          <rPr>
            <sz val="8"/>
            <color indexed="81"/>
            <rFont val="Tahoma"/>
            <family val="2"/>
          </rPr>
          <t xml:space="preserve">
HILDEBRANDO
30/05/2014
Art.12
</t>
        </r>
      </text>
    </comment>
    <comment ref="C2556" authorId="5">
      <text>
        <r>
          <rPr>
            <b/>
            <sz val="8"/>
            <color indexed="81"/>
            <rFont val="Tahoma"/>
            <family val="2"/>
          </rPr>
          <t>DEPEN-4401:</t>
        </r>
        <r>
          <rPr>
            <sz val="8"/>
            <color indexed="81"/>
            <rFont val="Tahoma"/>
            <family val="2"/>
          </rPr>
          <t xml:space="preserve"> 
T. Borba
 10/06/09
Art. 33
06 anos</t>
        </r>
      </text>
    </comment>
    <comment ref="C2559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CCC
03/06/2015
Permuta: Dirceu Ribas</t>
        </r>
      </text>
    </comment>
    <comment ref="C2560" authorId="4">
      <text>
        <r>
          <rPr>
            <b/>
            <sz val="8"/>
            <color indexed="81"/>
            <rFont val="Tahoma"/>
            <family val="2"/>
          </rPr>
          <t>Entrada
04/04/14</t>
        </r>
      </text>
    </comment>
    <comment ref="C2561" authorId="2">
      <text>
        <r>
          <rPr>
            <sz val="8"/>
            <color indexed="81"/>
            <rFont val="Tahoma"/>
            <family val="2"/>
          </rPr>
          <t>HILDEBRANDO
08/09/2014</t>
        </r>
      </text>
    </comment>
    <comment ref="C2568" authorId="10">
      <text>
        <r>
          <rPr>
            <b/>
            <sz val="9"/>
            <color indexed="81"/>
            <rFont val="Segoe UI"/>
            <family val="2"/>
          </rPr>
          <t>MPHSPG - 09/07/19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2575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IPIRANGA
20/03/2009</t>
        </r>
      </text>
    </comment>
    <comment ref="C2584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23/06/2010</t>
        </r>
      </text>
    </comment>
    <comment ref="C2586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PALMEIRA
</t>
        </r>
      </text>
    </comment>
    <comment ref="C2592" authorId="2">
      <text>
        <r>
          <rPr>
            <b/>
            <sz val="8"/>
            <color indexed="81"/>
            <rFont val="Tahoma"/>
            <family val="2"/>
          </rPr>
          <t>HILDEBRANDO 04/09/14</t>
        </r>
      </text>
    </comment>
    <comment ref="C2593" authorId="2">
      <text>
        <r>
          <rPr>
            <sz val="8"/>
            <color indexed="81"/>
            <rFont val="Tahoma"/>
            <family val="2"/>
          </rPr>
          <t xml:space="preserve">HILDEBRANDO
03/09/2014
</t>
        </r>
      </text>
    </comment>
    <comment ref="C2595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CASTRO
20/08/2009</t>
        </r>
      </text>
    </comment>
    <comment ref="C2597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11/12/2015</t>
        </r>
      </text>
    </comment>
    <comment ref="C2598" authorId="4">
      <text>
        <r>
          <rPr>
            <b/>
            <sz val="8"/>
            <color indexed="81"/>
            <rFont val="Tahoma"/>
            <family val="2"/>
          </rPr>
          <t>Entrada
04/04/2014</t>
        </r>
      </text>
    </comment>
    <comment ref="C2599" authorId="0">
      <text>
        <r>
          <rPr>
            <sz val="8"/>
            <color indexed="81"/>
            <rFont val="Tahoma"/>
            <family val="2"/>
          </rPr>
          <t>HILDEBRANDO
09/07/2012
Art....
15 anos e 02 m</t>
        </r>
      </text>
    </comment>
    <comment ref="C2602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 26/02/2016</t>
        </r>
      </text>
    </comment>
    <comment ref="C2603" authorId="3">
      <text>
        <r>
          <rPr>
            <b/>
            <sz val="9"/>
            <color indexed="81"/>
            <rFont val="Segoe UI"/>
            <family val="2"/>
          </rPr>
          <t>Oriundo da CCP em 20/07/17 de permuta.</t>
        </r>
      </text>
    </comment>
    <comment ref="C2604" authorId="5">
      <text>
        <r>
          <rPr>
            <b/>
            <sz val="8"/>
            <color indexed="81"/>
            <rFont val="Tahoma"/>
            <family val="2"/>
          </rPr>
          <t>DEPEN-4401:</t>
        </r>
        <r>
          <rPr>
            <sz val="8"/>
            <color indexed="81"/>
            <rFont val="Tahoma"/>
            <family val="2"/>
          </rPr>
          <t xml:space="preserve">
HILDEBRANDO 09/10/2009
</t>
        </r>
      </text>
    </comment>
    <comment ref="C2606" authorId="5">
      <text>
        <r>
          <rPr>
            <b/>
            <sz val="8"/>
            <color indexed="81"/>
            <rFont val="Tahoma"/>
            <family val="2"/>
          </rPr>
          <t>DEPEN-4401:</t>
        </r>
        <r>
          <rPr>
            <sz val="8"/>
            <color indexed="81"/>
            <rFont val="Tahoma"/>
            <family val="2"/>
          </rPr>
          <t xml:space="preserve">
ORIUNDO DE TELEMA-CO BORBA / HIDELBRANDO 03/06/09
</t>
        </r>
      </text>
    </comment>
    <comment ref="C2609" authorId="0">
      <text>
        <r>
          <rPr>
            <sz val="8"/>
            <color indexed="81"/>
            <rFont val="Tahoma"/>
            <family val="2"/>
          </rPr>
          <t xml:space="preserve">17/02/2011
Art. 157 
17 anos e 12d </t>
        </r>
      </text>
    </comment>
    <comment ref="C2617" authorId="7">
      <text>
        <r>
          <rPr>
            <sz val="8"/>
            <color indexed="81"/>
            <rFont val="Tahoma"/>
            <family val="2"/>
          </rPr>
          <t xml:space="preserve">CURIUVA
</t>
        </r>
      </text>
    </comment>
    <comment ref="C2623" authorId="1">
      <text>
        <r>
          <rPr>
            <b/>
            <sz val="8"/>
            <color indexed="81"/>
            <rFont val="Tahoma"/>
            <family val="2"/>
          </rPr>
          <t>Oriundo de Jaguariaiva em 16/07/15, art. 121 § 2º; inciso I, c.c. art. 14, inciso II, do CP e art. 129, caput, e art. 155, § 4º, inciso IV do CP.</t>
        </r>
      </text>
    </comment>
    <comment ref="C2632" authorId="4">
      <text>
        <r>
          <rPr>
            <b/>
            <sz val="8"/>
            <color indexed="81"/>
            <rFont val="Tahoma"/>
            <family val="2"/>
          </rPr>
          <t>Entrada 
04/04/14</t>
        </r>
      </text>
    </comment>
    <comment ref="C2633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 DE SOUZA
05/04/2016</t>
        </r>
      </text>
    </comment>
    <comment ref="C2635" authorId="8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WENCESLAU BRAZ 09/12/2016</t>
        </r>
      </text>
    </comment>
    <comment ref="C2636" authorId="2">
      <text>
        <r>
          <rPr>
            <b/>
            <sz val="8"/>
            <color indexed="81"/>
            <rFont val="Tahoma"/>
            <family val="2"/>
          </rPr>
          <t>DIPROM:</t>
        </r>
        <r>
          <rPr>
            <sz val="8"/>
            <color indexed="81"/>
            <rFont val="Tahoma"/>
            <family val="2"/>
          </rPr>
          <t xml:space="preserve">
HILDEBRANDO
18/03/2013
</t>
        </r>
      </text>
    </comment>
    <comment ref="C2638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JAGUARIAIVA
25/10</t>
        </r>
      </text>
    </comment>
    <comment ref="C2639" authorId="4">
      <text>
        <r>
          <rPr>
            <b/>
            <sz val="8"/>
            <color indexed="81"/>
            <rFont val="Tahoma"/>
            <family val="2"/>
          </rPr>
          <t>ENTRADA 
18/02/14</t>
        </r>
      </text>
    </comment>
    <comment ref="C2643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22/12/2017
oriundo da CPHS</t>
        </r>
      </text>
    </comment>
    <comment ref="C2646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T. BORBA
07/01/2011
Art. 33
5 anos
</t>
        </r>
      </text>
    </comment>
    <comment ref="C2647" authorId="0">
      <text>
        <r>
          <rPr>
            <sz val="8"/>
            <color indexed="81"/>
            <rFont val="Tahoma"/>
            <family val="2"/>
          </rPr>
          <t>ENTRADA
13/06/2011
Art. 155.</t>
        </r>
      </text>
    </comment>
    <comment ref="C2648" authorId="0">
      <text>
        <r>
          <rPr>
            <sz val="8"/>
            <color indexed="81"/>
            <rFont val="Tahoma"/>
            <family val="2"/>
          </rPr>
          <t>ENTRADA
13/06/2011
Art. 155.</t>
        </r>
      </text>
    </comment>
    <comment ref="C2659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W. BRAZ
19/12/2011</t>
        </r>
      </text>
    </comment>
    <comment ref="C2660" authorId="7">
      <text>
        <r>
          <rPr>
            <b/>
            <sz val="8"/>
            <color indexed="81"/>
            <rFont val="Tahoma"/>
            <family val="2"/>
          </rPr>
          <t>CRAPG:</t>
        </r>
        <r>
          <rPr>
            <sz val="8"/>
            <color indexed="81"/>
            <rFont val="Tahoma"/>
            <family val="2"/>
          </rPr>
          <t xml:space="preserve">
HILDEBRANDO
05/04/2012
Art. 121
8 anos</t>
        </r>
      </text>
    </comment>
    <comment ref="C2666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PALMEIRA
02/06/2010
Art. 33
5 anos</t>
        </r>
      </text>
    </comment>
    <comment ref="C2668" authorId="8">
      <text>
        <r>
          <rPr>
            <b/>
            <sz val="9"/>
            <color indexed="81"/>
            <rFont val="Tahoma"/>
            <family val="2"/>
          </rPr>
          <t xml:space="preserve">HILDEBRANDO
12/04/17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69" authorId="2">
      <text>
        <r>
          <rPr>
            <b/>
            <sz val="8"/>
            <color indexed="81"/>
            <rFont val="Tahoma"/>
            <family val="2"/>
          </rPr>
          <t>TIBAGI-PR 12/06/14</t>
        </r>
      </text>
    </comment>
    <comment ref="C2675" authorId="1">
      <text>
        <r>
          <rPr>
            <b/>
            <sz val="8"/>
            <color indexed="81"/>
            <rFont val="Tahoma"/>
            <family val="2"/>
          </rPr>
          <t>PALMEIRA-PR 08/01/15</t>
        </r>
      </text>
    </comment>
    <comment ref="C2676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</t>
        </r>
        <r>
          <rPr>
            <sz val="9"/>
            <color indexed="81"/>
            <rFont val="Tahoma"/>
            <family val="2"/>
          </rPr>
          <t xml:space="preserve">
25/08/2010
Art. 121
15 anos e 3 m</t>
        </r>
      </text>
    </comment>
    <comment ref="C2677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</t>
        </r>
        <r>
          <rPr>
            <sz val="9"/>
            <color indexed="81"/>
            <rFont val="Tahoma"/>
            <family val="2"/>
          </rPr>
          <t xml:space="preserve">
25/08/2010
Art. 121
15 anos e 3 m</t>
        </r>
      </text>
    </comment>
    <comment ref="C2678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 05/07
</t>
        </r>
      </text>
    </comment>
    <comment ref="C2684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19/4/2010
Art. 33
7 anos 2 meses</t>
        </r>
      </text>
    </comment>
    <comment ref="C2686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23/01/2012
Art. 33 e 35
5 anos</t>
        </r>
      </text>
    </comment>
    <comment ref="A2688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 26/02/2016</t>
        </r>
      </text>
    </comment>
    <comment ref="C2693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04/01/2011</t>
        </r>
      </text>
    </comment>
    <comment ref="C2699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22/07/2016</t>
        </r>
      </text>
    </comment>
    <comment ref="C2709" authorId="1">
      <text>
        <r>
          <rPr>
            <sz val="8"/>
            <color indexed="81"/>
            <rFont val="Tahoma"/>
            <family val="2"/>
          </rPr>
          <t>IMBITUVA-PR
13/02/2015</t>
        </r>
      </text>
    </comment>
    <comment ref="C2716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CPHS 28/05/18</t>
        </r>
      </text>
    </comment>
    <comment ref="C2727" authorId="1">
      <text>
        <r>
          <rPr>
            <sz val="8"/>
            <color indexed="81"/>
            <rFont val="Tahoma"/>
            <family val="2"/>
          </rPr>
          <t xml:space="preserve">HILDEBRANDO
19/12/2014
</t>
        </r>
      </text>
    </comment>
    <comment ref="C2728" authorId="2">
      <text>
        <r>
          <rPr>
            <sz val="8"/>
            <color indexed="81"/>
            <rFont val="Tahoma"/>
            <family val="2"/>
          </rPr>
          <t>HILDEBRANDO
09/09/2014
Art. 214</t>
        </r>
      </text>
    </comment>
    <comment ref="C2732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Regressão
27/09/2018
</t>
        </r>
      </text>
    </comment>
    <comment ref="C2734" authorId="1">
      <text>
        <r>
          <rPr>
            <b/>
            <sz val="8"/>
            <color indexed="81"/>
            <rFont val="Tahoma"/>
            <family val="2"/>
          </rPr>
          <t>Oriundo de Jaguariaiva em 16/07/15, art. 157, § 3º (roubo com lesão corporal grave)</t>
        </r>
      </text>
    </comment>
    <comment ref="C2736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DESCEU CRAPG
05/02/2012</t>
        </r>
      </text>
    </comment>
    <comment ref="C2737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W. BRAZ
19/12/2011</t>
        </r>
      </text>
    </comment>
    <comment ref="A2738" authorId="6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CASTRO
06/12/2019</t>
        </r>
      </text>
    </comment>
    <comment ref="C2739" authorId="6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CASTRO
06/12/2019</t>
        </r>
      </text>
    </comment>
    <comment ref="A2741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05/09/2017
Permuta oriundo do Hildebrando</t>
        </r>
      </text>
    </comment>
    <comment ref="C2744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TIBAGI 08/04/2010 Art. 33
12 anos</t>
        </r>
      </text>
    </comment>
    <comment ref="C2750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
10/03/2011
Art. 16, 33 e 35
8 anos</t>
        </r>
      </text>
    </comment>
    <comment ref="C2754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ARAPOTI-PR
24/01/2014
Art. 121</t>
        </r>
      </text>
    </comment>
    <comment ref="C2762" authorId="2">
      <text>
        <r>
          <rPr>
            <sz val="8"/>
            <color indexed="81"/>
            <rFont val="Tahoma"/>
            <family val="2"/>
          </rPr>
          <t>HILDEBRANDO
03/09/2014</t>
        </r>
      </text>
    </comment>
    <comment ref="C2766" authorId="2">
      <text>
        <r>
          <rPr>
            <sz val="8"/>
            <color indexed="81"/>
            <rFont val="Tahoma"/>
            <family val="2"/>
          </rPr>
          <t>HILDEBRANDO
03/09/2014
Art. 33, 147</t>
        </r>
      </text>
    </comment>
    <comment ref="C2767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
04/07/2017
</t>
        </r>
      </text>
    </comment>
    <comment ref="C2769" authorId="2">
      <text>
        <r>
          <rPr>
            <sz val="8"/>
            <color indexed="81"/>
            <rFont val="Tahoma"/>
            <family val="2"/>
          </rPr>
          <t>HILDEBRANDO
08/09/2014</t>
        </r>
      </text>
    </comment>
    <comment ref="C2771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PIRAI DO SUL
19/07/2017</t>
        </r>
      </text>
    </comment>
    <comment ref="C2777" authorId="0">
      <text>
        <r>
          <rPr>
            <sz val="8"/>
            <color indexed="81"/>
            <rFont val="Tahoma"/>
            <family val="2"/>
          </rPr>
          <t xml:space="preserve">17/02/2011
ART. 121 
14a e 6m
</t>
        </r>
      </text>
    </comment>
    <comment ref="C2779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IRATI
08/06/2010</t>
        </r>
      </text>
    </comment>
    <comment ref="A2786" authorId="8">
      <text>
        <r>
          <rPr>
            <b/>
            <sz val="9"/>
            <color indexed="81"/>
            <rFont val="Tahoma"/>
            <family val="2"/>
          </rPr>
          <t xml:space="preserve">HILDEBRANDO 
12/04/17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88" authorId="8">
      <text>
        <r>
          <rPr>
            <b/>
            <sz val="9"/>
            <color indexed="81"/>
            <rFont val="Tahoma"/>
            <family val="2"/>
          </rPr>
          <t xml:space="preserve">HILDEBRANDO 
12/04/17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91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ARAPOTI
05/08/2011
Art. 121 e 157
14 anos 3 m 2 d
irmão de Juliano Estevan</t>
        </r>
      </text>
    </comment>
    <comment ref="C2800" authorId="5">
      <text>
        <r>
          <rPr>
            <b/>
            <sz val="8"/>
            <color indexed="81"/>
            <rFont val="Tahoma"/>
            <family val="2"/>
          </rPr>
          <t>DEPEN-4401:</t>
        </r>
        <r>
          <rPr>
            <sz val="8"/>
            <color indexed="81"/>
            <rFont val="Tahoma"/>
            <family val="2"/>
          </rPr>
          <t xml:space="preserve">
HILDEBRANDO
07/05/2009
</t>
        </r>
        <r>
          <rPr>
            <b/>
            <sz val="8"/>
            <color indexed="81"/>
            <rFont val="Tahoma"/>
            <family val="2"/>
          </rPr>
          <t>TOIÓ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2803" authorId="7">
      <text>
        <r>
          <rPr>
            <b/>
            <sz val="8"/>
            <color indexed="81"/>
            <rFont val="Tahoma"/>
            <family val="2"/>
          </rPr>
          <t>CRAPG:</t>
        </r>
        <r>
          <rPr>
            <sz val="8"/>
            <color indexed="81"/>
            <rFont val="Tahoma"/>
            <family val="2"/>
          </rPr>
          <t xml:space="preserve">
HILDEBRANDO
04/05/2010</t>
        </r>
      </text>
    </comment>
    <comment ref="C2807" authorId="2">
      <text>
        <r>
          <rPr>
            <sz val="8"/>
            <color indexed="81"/>
            <rFont val="Tahoma"/>
            <family val="2"/>
          </rPr>
          <t>HILDEBRANDO
08/09/2014</t>
        </r>
      </text>
    </comment>
    <comment ref="C2811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PEF II
27/10/16</t>
        </r>
      </text>
    </comment>
    <comment ref="A2812" authorId="1">
      <text>
        <r>
          <rPr>
            <sz val="8"/>
            <color indexed="81"/>
            <rFont val="Tahoma"/>
            <family val="2"/>
          </rPr>
          <t xml:space="preserve">CURIÚVA 09/11/2015
Art. 217
</t>
        </r>
      </text>
    </comment>
    <comment ref="C2813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14/10/2016
irmão do WELLINGTON DOS SANTOS, pront. 115.868</t>
        </r>
      </text>
    </comment>
    <comment ref="A2815" authorId="2">
      <text>
        <r>
          <rPr>
            <sz val="8"/>
            <color indexed="81"/>
            <rFont val="Tahoma"/>
            <family val="2"/>
          </rPr>
          <t xml:space="preserve">HILDEBRANDO
05/09/2014
</t>
        </r>
      </text>
    </comment>
    <comment ref="C2816" authorId="8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HILDEBRANDO 13/12/2016</t>
        </r>
      </text>
    </comment>
    <comment ref="A2817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REGREDIU DO CRAPG EM 25/08/2017
</t>
        </r>
      </text>
    </comment>
    <comment ref="A2819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02/08/2016</t>
        </r>
      </text>
    </comment>
    <comment ref="C2819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CHEGADA
28/09/2012
</t>
        </r>
      </text>
    </comment>
    <comment ref="A2820" authorId="8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24" authorId="1">
      <text>
        <r>
          <rPr>
            <b/>
            <sz val="8"/>
            <color indexed="81"/>
            <rFont val="Tahoma"/>
            <family val="2"/>
          </rPr>
          <t>Oriundo da CPHS em 14/04.</t>
        </r>
      </text>
    </comment>
    <comment ref="C2825" authorId="1">
      <text>
        <r>
          <rPr>
            <sz val="8"/>
            <color indexed="81"/>
            <rFont val="Tahoma"/>
            <family val="2"/>
          </rPr>
          <t>T. BORBA
13/05/2015
Art.157
irmão do WALISSON DOS SANTOS PEDROSO, pront. 105.846</t>
        </r>
      </text>
    </comment>
    <comment ref="A2826" authorId="1">
      <text>
        <r>
          <rPr>
            <sz val="8"/>
            <color indexed="81"/>
            <rFont val="Tahoma"/>
            <family val="2"/>
          </rPr>
          <t>T. BORBA
06/05/2015</t>
        </r>
      </text>
    </comment>
    <comment ref="C2827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11/12/2015
</t>
        </r>
      </text>
    </comment>
    <comment ref="A2832" authorId="4">
      <text>
        <r>
          <rPr>
            <sz val="8"/>
            <color indexed="81"/>
            <rFont val="Tahoma"/>
            <family val="2"/>
          </rPr>
          <t>ENTRADA 
08/10/13</t>
        </r>
      </text>
    </comment>
    <comment ref="C2832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26/12/2017
oriundo de Castro</t>
        </r>
      </text>
    </comment>
    <comment ref="C2834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
04/07/2017</t>
        </r>
      </text>
    </comment>
    <comment ref="A2835" authorId="0">
      <text>
        <r>
          <rPr>
            <sz val="8"/>
            <color indexed="81"/>
            <rFont val="Tahoma"/>
            <family val="2"/>
          </rPr>
          <t>Art. 214, 224 e 71
38 anos</t>
        </r>
      </text>
    </comment>
    <comment ref="C2837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 14/07/17</t>
        </r>
      </text>
    </comment>
    <comment ref="A2840" authorId="4">
      <text>
        <r>
          <rPr>
            <sz val="8"/>
            <color indexed="81"/>
            <rFont val="Tahoma"/>
            <family val="2"/>
          </rPr>
          <t>ENTRADA  08/10/2013</t>
        </r>
      </text>
    </comment>
    <comment ref="C2841" authorId="8">
      <text>
        <r>
          <rPr>
            <b/>
            <sz val="9"/>
            <color indexed="81"/>
            <rFont val="Tahoma"/>
            <family val="2"/>
          </rPr>
          <t xml:space="preserve">HILDEBRANDO
12/04/17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843" authorId="8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HILDEBRANDO 19/12/2016
</t>
        </r>
      </text>
    </comment>
    <comment ref="A2848" authorId="0">
      <text>
        <r>
          <rPr>
            <sz val="8"/>
            <color indexed="81"/>
            <rFont val="Tahoma"/>
            <family val="2"/>
          </rPr>
          <t>HILDEBRANDO 17/02/2012</t>
        </r>
      </text>
    </comment>
    <comment ref="C2850" authorId="8">
      <text>
        <r>
          <rPr>
            <b/>
            <sz val="9"/>
            <color indexed="81"/>
            <rFont val="Tahoma"/>
            <family val="2"/>
          </rPr>
          <t>07/02/2017
HILDEBRANDO</t>
        </r>
      </text>
    </comment>
    <comment ref="A2851" authorId="1">
      <text>
        <r>
          <rPr>
            <sz val="8"/>
            <color indexed="81"/>
            <rFont val="Tahoma"/>
            <family val="2"/>
          </rPr>
          <t xml:space="preserve">HILDEBRANDO
19/12/2014
</t>
        </r>
      </text>
    </comment>
    <comment ref="A2852" authorId="2">
      <text>
        <r>
          <rPr>
            <sz val="8"/>
            <color indexed="81"/>
            <rFont val="Tahoma"/>
            <family val="2"/>
          </rPr>
          <t>Art 121#2 2x
14 anos</t>
        </r>
      </text>
    </comment>
    <comment ref="C2852" authorId="1">
      <text>
        <r>
          <rPr>
            <sz val="8"/>
            <color indexed="81"/>
            <rFont val="Tahoma"/>
            <family val="2"/>
          </rPr>
          <t>PAULISTA</t>
        </r>
      </text>
    </comment>
    <comment ref="A2853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11/12/2015</t>
        </r>
      </text>
    </comment>
    <comment ref="C2853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14/10/2016
PCC</t>
        </r>
      </text>
    </comment>
    <comment ref="A2854" authorId="2">
      <text>
        <r>
          <rPr>
            <b/>
            <sz val="8"/>
            <color indexed="81"/>
            <rFont val="Tahoma"/>
            <family val="2"/>
          </rPr>
          <t>ENTRADA 28/04/14</t>
        </r>
      </text>
    </comment>
    <comment ref="A2858" authorId="9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HILDEBRANDO
06/04/2018</t>
        </r>
      </text>
    </comment>
    <comment ref="A2860" authorId="1">
      <text>
        <r>
          <rPr>
            <sz val="8"/>
            <color indexed="81"/>
            <rFont val="Tahoma"/>
            <family val="2"/>
          </rPr>
          <t>HILDEBRANDO
14/02/2015 - BEIÇO</t>
        </r>
      </text>
    </comment>
    <comment ref="C2861" authorId="4">
      <text>
        <r>
          <rPr>
            <b/>
            <sz val="8"/>
            <color indexed="81"/>
            <rFont val="Tahoma"/>
            <family val="2"/>
          </rPr>
          <t>Entrada 
04/04/14</t>
        </r>
      </text>
    </comment>
    <comment ref="C2862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PIRAI DO SUL-PR
14/12/2015
Art. 33</t>
        </r>
      </text>
    </comment>
    <comment ref="C2863" authorId="1">
      <text>
        <r>
          <rPr>
            <sz val="8"/>
            <color indexed="81"/>
            <rFont val="Tahoma"/>
            <family val="2"/>
          </rPr>
          <t>HILDEBRANDO
14/02/2015 - BEIÇO</t>
        </r>
      </text>
    </comment>
    <comment ref="C2866" authorId="0">
      <text>
        <r>
          <rPr>
            <sz val="8"/>
            <color indexed="81"/>
            <rFont val="Tahoma"/>
            <family val="2"/>
          </rPr>
          <t>HIDELBRANDO 
14/12/2012</t>
        </r>
      </text>
    </comment>
    <comment ref="C2870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HILDEBRANDO 
08/06/2010
Art. 121
20 anos
</t>
        </r>
      </text>
    </comment>
    <comment ref="C2878" authorId="0">
      <text>
        <r>
          <rPr>
            <b/>
            <sz val="8"/>
            <color indexed="81"/>
            <rFont val="Tahoma"/>
            <family val="2"/>
          </rPr>
          <t>PEPG:</t>
        </r>
        <r>
          <rPr>
            <sz val="8"/>
            <color indexed="81"/>
            <rFont val="Tahoma"/>
            <family val="2"/>
          </rPr>
          <t xml:space="preserve">
W. BRAZ
16/09/2010
Art. 33 e 40
3 anos e 6 m</t>
        </r>
      </text>
    </comment>
    <comment ref="C2879" authorId="2">
      <text>
        <r>
          <rPr>
            <sz val="8"/>
            <color indexed="81"/>
            <rFont val="Tahoma"/>
            <family val="2"/>
          </rPr>
          <t xml:space="preserve">T. BORBA
14/07/2014
</t>
        </r>
      </text>
    </comment>
    <comment ref="C2881" authorId="2">
      <text>
        <r>
          <rPr>
            <sz val="8"/>
            <color indexed="81"/>
            <rFont val="Tahoma"/>
            <family val="2"/>
          </rPr>
          <t>HILDEBRANDO
08/09/2014</t>
        </r>
      </text>
    </comment>
    <comment ref="C2886" authorId="1">
      <text>
        <r>
          <rPr>
            <sz val="8"/>
            <color indexed="81"/>
            <rFont val="Tahoma"/>
            <family val="2"/>
          </rPr>
          <t>IMBITUVA-PR
13/02/2015</t>
        </r>
      </text>
    </comment>
  </commentList>
</comments>
</file>

<file path=xl/comments3.xml><?xml version="1.0" encoding="utf-8"?>
<comments xmlns="http://schemas.openxmlformats.org/spreadsheetml/2006/main">
  <authors>
    <author>DIAF</author>
    <author>DIPROM</author>
    <author>DINF</author>
    <author>CEEBEJA</author>
    <author>PEPG</author>
  </authors>
  <commentList>
    <comment ref="G9" authorId="0">
      <text>
        <r>
          <rPr>
            <b/>
            <sz val="8"/>
            <color indexed="81"/>
            <rFont val="Tahoma"/>
            <family val="2"/>
          </rPr>
          <t xml:space="preserve">ORIUNDO DE CASTRO EM 09/07/15 COM O RABO CHEIO DE CHIP...
</t>
        </r>
      </text>
    </comment>
    <comment ref="G10" authorId="0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14/10/2016</t>
        </r>
      </text>
    </comment>
    <comment ref="I11" authorId="0">
      <text>
        <r>
          <rPr>
            <b/>
            <sz val="8"/>
            <color indexed="81"/>
            <rFont val="Tahoma"/>
            <family val="2"/>
          </rPr>
          <t>Oriundo da CPHS em 08/04/15, art. 33 (trafico)</t>
        </r>
      </text>
    </comment>
    <comment ref="I12" authorId="0">
      <text>
        <r>
          <rPr>
            <sz val="8"/>
            <color indexed="81"/>
            <rFont val="Tahoma"/>
            <family val="2"/>
          </rPr>
          <t xml:space="preserve">HILDEBRANDO 22/10/2015
</t>
        </r>
      </text>
    </comment>
    <comment ref="G13" authorId="0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 26/02/2016</t>
        </r>
      </text>
    </comment>
    <comment ref="G16" authorId="0">
      <text>
        <r>
          <rPr>
            <sz val="8"/>
            <color indexed="81"/>
            <rFont val="Tahoma"/>
            <family val="2"/>
          </rPr>
          <t>T. BORBA
06/05/2015</t>
        </r>
      </text>
    </comment>
    <comment ref="G17" authorId="0">
      <text>
        <r>
          <rPr>
            <b/>
            <sz val="8"/>
            <color indexed="81"/>
            <rFont val="Tahoma"/>
            <family val="2"/>
          </rPr>
          <t>Entrada da CPHS em 20/04/2016</t>
        </r>
      </text>
    </comment>
    <comment ref="G18" authorId="0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CCC / CMP
22/04/2015
Permuta DANIEL DOS SANTOS</t>
        </r>
      </text>
    </comment>
    <comment ref="G19" authorId="1">
      <text>
        <r>
          <rPr>
            <sz val="8"/>
            <color indexed="81"/>
            <rFont val="Tahoma"/>
            <family val="2"/>
          </rPr>
          <t>HILDEBRANDO
03/09/2014
Art. 33</t>
        </r>
      </text>
    </comment>
    <comment ref="G24" authorId="0">
      <text>
        <r>
          <rPr>
            <b/>
            <sz val="8"/>
            <color indexed="81"/>
            <rFont val="Tahoma"/>
            <family val="2"/>
          </rPr>
          <t>Chegou em 01/12/2015</t>
        </r>
      </text>
    </comment>
    <comment ref="G25" authorId="0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T. BORBA
12/05/2016
</t>
        </r>
      </text>
    </comment>
    <comment ref="G26" authorId="0">
      <text>
        <r>
          <rPr>
            <sz val="8"/>
            <color indexed="81"/>
            <rFont val="Tahoma"/>
            <family val="2"/>
          </rPr>
          <t xml:space="preserve">HILDEBRANDO
14/02/2015
</t>
        </r>
      </text>
    </comment>
    <comment ref="G27" authorId="0">
      <text>
        <r>
          <rPr>
            <sz val="8"/>
            <color indexed="81"/>
            <rFont val="Tahoma"/>
            <family val="2"/>
          </rPr>
          <t xml:space="preserve">HILDEBRANDO
14/02/2015
</t>
        </r>
      </text>
    </comment>
    <comment ref="G28" authorId="0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11/12/2015</t>
        </r>
      </text>
    </comment>
    <comment ref="I28" authorId="0">
      <text>
        <r>
          <rPr>
            <b/>
            <sz val="8"/>
            <color indexed="81"/>
            <rFont val="Tahoma"/>
            <family val="2"/>
          </rPr>
          <t>28/09/2015 - CASTRO
ART. 157</t>
        </r>
      </text>
    </comment>
    <comment ref="G32" authorId="0">
      <text>
        <r>
          <rPr>
            <b/>
            <sz val="8"/>
            <color indexed="81"/>
            <rFont val="Tahoma"/>
            <family val="2"/>
          </rPr>
          <t>CPHS 29/04/2016</t>
        </r>
      </text>
    </comment>
    <comment ref="G33" authorId="0">
      <text>
        <r>
          <rPr>
            <sz val="8"/>
            <color indexed="81"/>
            <rFont val="Tahoma"/>
            <family val="2"/>
          </rPr>
          <t>T. BORBA
13/05/2015</t>
        </r>
      </text>
    </comment>
    <comment ref="G34" authorId="0">
      <text>
        <r>
          <rPr>
            <sz val="8"/>
            <color indexed="81"/>
            <rFont val="Tahoma"/>
            <family val="2"/>
          </rPr>
          <t>T. BORBA
13/05/2015
Art.157
irmão do WALISSON DOS SANTOS PEDROSO, pront. 105.846</t>
        </r>
      </text>
    </comment>
    <comment ref="G39" authorId="0">
      <text>
        <r>
          <rPr>
            <sz val="8"/>
            <color indexed="81"/>
            <rFont val="Tahoma"/>
            <family val="2"/>
          </rPr>
          <t>T. BORBA
13/05/2015</t>
        </r>
      </text>
    </comment>
    <comment ref="I39" authorId="0">
      <text>
        <r>
          <rPr>
            <b/>
            <sz val="8"/>
            <color indexed="81"/>
            <rFont val="Tahoma"/>
            <family val="2"/>
          </rPr>
          <t>Entrada em 05/05/2016 de Foz, em permuta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Entrada em 05/05/2016 de Foz, em permuta</t>
        </r>
      </text>
    </comment>
    <comment ref="G48" authorId="1">
      <text>
        <r>
          <rPr>
            <sz val="8"/>
            <color indexed="81"/>
            <rFont val="Tahoma"/>
            <family val="2"/>
          </rPr>
          <t xml:space="preserve">HILDEBRANDO
09/09/2014
Art. 157
</t>
        </r>
      </text>
    </comment>
    <comment ref="G49" authorId="0">
      <text>
        <r>
          <rPr>
            <b/>
            <sz val="8"/>
            <color indexed="81"/>
            <rFont val="Tahoma"/>
            <family val="2"/>
          </rPr>
          <t>CHEGADA EM 25/04/2016
ART: 217 ESTUPRO DE VULNERAVEL</t>
        </r>
      </text>
    </comment>
    <comment ref="G50" authorId="0">
      <text>
        <r>
          <rPr>
            <b/>
            <sz val="8"/>
            <color indexed="81"/>
            <rFont val="Tahoma"/>
            <family val="2"/>
          </rPr>
          <t>04/04/2016
13ª SDP</t>
        </r>
      </text>
    </comment>
    <comment ref="G58" authorId="2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HSPG 12/12/16</t>
        </r>
      </text>
    </comment>
    <comment ref="G59" authorId="0">
      <text>
        <r>
          <rPr>
            <b/>
            <sz val="8"/>
            <color indexed="81"/>
            <rFont val="Tahoma"/>
            <family val="2"/>
          </rPr>
          <t>Entrada da CPHS em 20/04/2016</t>
        </r>
      </text>
    </comment>
    <comment ref="I59" authorId="0">
      <text>
        <r>
          <rPr>
            <b/>
            <sz val="8"/>
            <color indexed="81"/>
            <rFont val="Tahoma"/>
            <family val="2"/>
          </rPr>
          <t>Retorno ao Setor em 16/06/2016</t>
        </r>
      </text>
    </comment>
    <comment ref="G60" authorId="0">
      <text>
        <r>
          <rPr>
            <b/>
            <sz val="8"/>
            <color indexed="81"/>
            <rFont val="Tahoma"/>
            <family val="2"/>
          </rPr>
          <t>Retorno ao Setor em 16/06/2016</t>
        </r>
      </text>
    </comment>
    <comment ref="G61" authorId="0">
      <text>
        <r>
          <rPr>
            <b/>
            <sz val="8"/>
            <color indexed="81"/>
            <rFont val="Tahoma"/>
            <family val="2"/>
          </rPr>
          <t>PROVENIENTE DA CPHS EM 17/02/16</t>
        </r>
      </text>
    </comment>
    <comment ref="G65" authorId="0">
      <text>
        <r>
          <rPr>
            <b/>
            <sz val="8"/>
            <color indexed="81"/>
            <rFont val="Tahoma"/>
            <family val="2"/>
          </rPr>
          <t>Oriundos de Teixeira Soares em 27/08/2015, art. 217 estupro de vulnerável.</t>
        </r>
      </text>
    </comment>
    <comment ref="G66" authorId="0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CADEIA DE JAGUARIAIVA
22/12/2015</t>
        </r>
      </text>
    </comment>
    <comment ref="G67" authorId="3">
      <text>
        <r>
          <rPr>
            <b/>
            <sz val="8"/>
            <color indexed="81"/>
            <rFont val="Tahoma"/>
            <family val="2"/>
          </rPr>
          <t>Entrada 
04/04/14</t>
        </r>
      </text>
    </comment>
    <comment ref="G73" authorId="0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 
11/12/2015
</t>
        </r>
      </text>
    </comment>
    <comment ref="G74" authorId="3">
      <text>
        <r>
          <rPr>
            <sz val="8"/>
            <color indexed="81"/>
            <rFont val="Tahoma"/>
            <family val="2"/>
          </rPr>
          <t xml:space="preserve">HILDEBRANDO
13/03/2014
</t>
        </r>
      </text>
    </comment>
    <comment ref="I74" authorId="1">
      <text>
        <r>
          <rPr>
            <sz val="8"/>
            <color indexed="81"/>
            <rFont val="Tahoma"/>
            <family val="2"/>
          </rPr>
          <t>HILDEBRANDO
09/09/2014
Art. 214</t>
        </r>
      </text>
    </comment>
    <comment ref="G76" authorId="3">
      <text>
        <r>
          <rPr>
            <sz val="8"/>
            <color indexed="81"/>
            <rFont val="Tahoma"/>
            <family val="2"/>
          </rPr>
          <t xml:space="preserve">HILDEBRANDO
17/03/2014
</t>
        </r>
      </text>
    </comment>
    <comment ref="I77" authorId="0">
      <text>
        <r>
          <rPr>
            <b/>
            <sz val="8"/>
            <color indexed="81"/>
            <rFont val="Tahoma"/>
            <family val="2"/>
          </rPr>
          <t xml:space="preserve">24/11/2015
Hildebrando de Souza
</t>
        </r>
      </text>
    </comment>
    <comment ref="G78" authorId="0">
      <text>
        <r>
          <rPr>
            <sz val="8"/>
            <color indexed="81"/>
            <rFont val="Tahoma"/>
            <family val="2"/>
          </rPr>
          <t>IMBITUVA-PR
13/02/2015</t>
        </r>
      </text>
    </comment>
    <comment ref="G79" authorId="0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CPHS 14/10/2016</t>
        </r>
      </text>
    </comment>
    <comment ref="G81" authorId="0">
      <text>
        <r>
          <rPr>
            <b/>
            <sz val="8"/>
            <color indexed="81"/>
            <rFont val="Tahoma"/>
            <family val="2"/>
          </rPr>
          <t xml:space="preserve">24/11/2015
Hildebrando de Souza
</t>
        </r>
      </text>
    </comment>
    <comment ref="G82" authorId="0">
      <text>
        <r>
          <rPr>
            <b/>
            <sz val="8"/>
            <color indexed="81"/>
            <rFont val="Tahoma"/>
            <family val="2"/>
          </rPr>
          <t>CPHS 29/04/2016</t>
        </r>
      </text>
    </comment>
    <comment ref="G83" authorId="0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24/05/2016</t>
        </r>
      </text>
    </comment>
    <comment ref="G89" authorId="0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TEIXEIRA SOARES-PR
14/12/2015
Art. 33
</t>
        </r>
      </text>
    </comment>
    <comment ref="G90" authorId="3">
      <text>
        <r>
          <rPr>
            <sz val="8"/>
            <color indexed="81"/>
            <rFont val="Tahoma"/>
            <family val="2"/>
          </rPr>
          <t xml:space="preserve">HILDEBRANDO
17/03/2014
</t>
        </r>
      </text>
    </comment>
    <comment ref="G91" authorId="3">
      <text>
        <r>
          <rPr>
            <b/>
            <sz val="8"/>
            <color indexed="81"/>
            <rFont val="Tahoma"/>
            <family val="2"/>
          </rPr>
          <t xml:space="preserve">RETORNO PCE 
13/03/2014
</t>
        </r>
      </text>
    </comment>
    <comment ref="I91" authorId="0">
      <text>
        <r>
          <rPr>
            <b/>
            <sz val="8"/>
            <color indexed="81"/>
            <rFont val="Tahoma"/>
            <family val="2"/>
          </rPr>
          <t xml:space="preserve">24/11/2015
Hildebrando de Souza
</t>
        </r>
      </text>
    </comment>
    <comment ref="G92" authorId="4">
      <text>
        <r>
          <rPr>
            <sz val="8"/>
            <color indexed="81"/>
            <rFont val="Tahoma"/>
            <family val="2"/>
          </rPr>
          <t>HILDEBRANDO
07/04/2011
Regressão
Art 129, 15 e 163,129,121
23 anos, 9m e 10d.</t>
        </r>
      </text>
    </comment>
    <comment ref="G93" authorId="0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PIRAI DO SUL-PR
14/12/2015
Art. </t>
        </r>
      </text>
    </comment>
    <comment ref="G96" authorId="0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 26/02/2016</t>
        </r>
      </text>
    </comment>
    <comment ref="G97" authorId="1">
      <text>
        <r>
          <rPr>
            <sz val="8"/>
            <color indexed="81"/>
            <rFont val="Tahoma"/>
            <family val="2"/>
          </rPr>
          <t xml:space="preserve">HILDEBRANDO
09/09/2014
Art. 157
</t>
        </r>
      </text>
    </comment>
    <comment ref="G98" authorId="2">
      <text>
        <r>
          <rPr>
            <b/>
            <sz val="9"/>
            <color indexed="81"/>
            <rFont val="Tahoma"/>
            <family val="2"/>
          </rPr>
          <t xml:space="preserve">Perna mecânica
</t>
        </r>
      </text>
    </comment>
    <comment ref="G102" authorId="3">
      <text>
        <r>
          <rPr>
            <b/>
            <sz val="8"/>
            <color indexed="81"/>
            <rFont val="Tahoma"/>
            <family val="2"/>
          </rPr>
          <t xml:space="preserve">RETORNO PCE 
13/03/2014
</t>
        </r>
      </text>
    </comment>
    <comment ref="G103" authorId="3">
      <text>
        <r>
          <rPr>
            <b/>
            <sz val="8"/>
            <color indexed="81"/>
            <rFont val="Tahoma"/>
            <family val="2"/>
          </rPr>
          <t xml:space="preserve">RETORNO PCE 
13/03/2014
</t>
        </r>
      </text>
    </comment>
    <comment ref="G104" authorId="3">
      <text>
        <r>
          <rPr>
            <sz val="8"/>
            <color indexed="81"/>
            <rFont val="Tahoma"/>
            <family val="2"/>
          </rPr>
          <t xml:space="preserve">HILDEBRANDO
13/03/2014
</t>
        </r>
      </text>
    </comment>
    <comment ref="I104" authorId="0">
      <text>
        <r>
          <rPr>
            <sz val="8"/>
            <color indexed="81"/>
            <rFont val="Tahoma"/>
            <family val="2"/>
          </rPr>
          <t>CCC / CMP
22/04/2015
Permuta DANIEL DOS SANTOS</t>
        </r>
      </text>
    </comment>
    <comment ref="G105" authorId="0">
      <text>
        <r>
          <rPr>
            <b/>
            <sz val="8"/>
            <color indexed="81"/>
            <rFont val="Tahoma"/>
            <family val="2"/>
          </rPr>
          <t>Oriundo do CMP em 25/11/2015</t>
        </r>
      </text>
    </comment>
    <comment ref="G107" authorId="0">
      <text>
        <r>
          <rPr>
            <b/>
            <sz val="8"/>
            <color indexed="81"/>
            <rFont val="Tahoma"/>
            <family val="2"/>
          </rPr>
          <t>Oriundo da CPHS em 14/04.</t>
        </r>
      </text>
    </comment>
    <comment ref="G108" authorId="4">
      <text>
        <r>
          <rPr>
            <sz val="8"/>
            <color indexed="81"/>
            <rFont val="Tahoma"/>
            <family val="2"/>
          </rPr>
          <t xml:space="preserve">CHEGADA
28/09/2012
</t>
        </r>
      </text>
    </comment>
    <comment ref="G109" authorId="0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 26/02/2016</t>
        </r>
      </text>
    </comment>
    <comment ref="G110" authorId="0">
      <text>
        <r>
          <rPr>
            <sz val="8"/>
            <color indexed="81"/>
            <rFont val="Tahoma"/>
            <family val="2"/>
          </rPr>
          <t>CCC / CMP
22/04/2015
Permuta DANIEL DOS SANTOS</t>
        </r>
      </text>
    </comment>
    <comment ref="G112" authorId="0">
      <text>
        <r>
          <rPr>
            <b/>
            <sz val="8"/>
            <color indexed="81"/>
            <rFont val="Tahoma"/>
            <family val="2"/>
          </rPr>
          <t>Chegada em 25/11/15.</t>
        </r>
      </text>
    </comment>
    <comment ref="G113" authorId="0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PIRAI DO SUL-PR
14/12/2015
Art. 33</t>
        </r>
      </text>
    </comment>
    <comment ref="I113" authorId="0">
      <text>
        <r>
          <rPr>
            <b/>
            <sz val="8"/>
            <color indexed="81"/>
            <rFont val="Tahoma"/>
            <family val="2"/>
          </rPr>
          <t>Chegada em 25/11/15.</t>
        </r>
      </text>
    </comment>
  </commentList>
</comments>
</file>

<file path=xl/comments4.xml><?xml version="1.0" encoding="utf-8"?>
<comments xmlns="http://schemas.openxmlformats.org/spreadsheetml/2006/main">
  <authors>
    <author>DIPROM</author>
    <author>DIAF</author>
    <author>CEEBEJA</author>
    <author>DINF</author>
  </authors>
  <commentList>
    <comment ref="G9" authorId="0">
      <text>
        <r>
          <rPr>
            <sz val="8"/>
            <color indexed="81"/>
            <rFont val="Tahoma"/>
            <family val="2"/>
          </rPr>
          <t>HILDEBRANDO
09/09/2014
Art. 214</t>
        </r>
      </text>
    </comment>
    <comment ref="G12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ENTRADA 22/06/2015
ORIUNDO DE GUARAPUAVA</t>
        </r>
      </text>
    </comment>
    <comment ref="G15" authorId="1">
      <text>
        <r>
          <rPr>
            <b/>
            <sz val="8"/>
            <color indexed="81"/>
            <rFont val="Tahoma"/>
            <family val="2"/>
          </rPr>
          <t>Entrada da CPHS em 20/04/2016</t>
        </r>
      </text>
    </comment>
    <comment ref="G16" authorId="1">
      <text>
        <r>
          <rPr>
            <sz val="8"/>
            <color indexed="81"/>
            <rFont val="Tahoma"/>
            <family val="2"/>
          </rPr>
          <t>T. BORBA
13/05/2015
Art.157
irmão do WALISSON DOS SANTOS PEDROSO, pront. 105.846</t>
        </r>
      </text>
    </comment>
    <comment ref="G40" authorId="1">
      <text>
        <r>
          <rPr>
            <b/>
            <sz val="8"/>
            <color indexed="81"/>
            <rFont val="Tahoma"/>
            <family val="2"/>
          </rPr>
          <t>01/04/2016
13ª SDP</t>
        </r>
      </text>
    </comment>
    <comment ref="G42" authorId="1">
      <text>
        <r>
          <rPr>
            <sz val="8"/>
            <color indexed="81"/>
            <rFont val="Tahoma"/>
            <family val="2"/>
          </rPr>
          <t>CCC / CMP
22/04/2015
Permuta DANIEL DOS SANTOS</t>
        </r>
      </text>
    </comment>
    <comment ref="G43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11/12/2015</t>
        </r>
      </text>
    </comment>
    <comment ref="G48" authorId="1">
      <text>
        <r>
          <rPr>
            <b/>
            <sz val="8"/>
            <color indexed="81"/>
            <rFont val="Tahoma"/>
            <family val="2"/>
          </rPr>
          <t>CPHS 29/04/2016</t>
        </r>
      </text>
    </comment>
    <comment ref="G54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01/04/2015
</t>
        </r>
      </text>
    </comment>
    <comment ref="G55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CCC
29/06/2016
</t>
        </r>
      </text>
    </comment>
    <comment ref="G57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ORIUNDO DE ARAPOTI
11/05/2016</t>
        </r>
      </text>
    </comment>
    <comment ref="G60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07/11/2016</t>
        </r>
      </text>
    </comment>
    <comment ref="G63" authorId="1">
      <text>
        <r>
          <rPr>
            <b/>
            <sz val="8"/>
            <color indexed="81"/>
            <rFont val="Tahoma"/>
            <family val="2"/>
          </rPr>
          <t>DIAF: Regressão CRAPG 16/06/15</t>
        </r>
      </text>
    </comment>
    <comment ref="G64" authorId="0">
      <text>
        <r>
          <rPr>
            <sz val="8"/>
            <color indexed="81"/>
            <rFont val="Tahoma"/>
            <family val="2"/>
          </rPr>
          <t xml:space="preserve">HILDEBRANDO
05/09/2014
</t>
        </r>
      </text>
    </comment>
    <comment ref="G70" authorId="0">
      <text>
        <r>
          <rPr>
            <b/>
            <sz val="8"/>
            <color indexed="81"/>
            <rFont val="Tahoma"/>
            <family val="2"/>
          </rPr>
          <t>TIBAGI-PR 12/06/14</t>
        </r>
      </text>
    </comment>
    <comment ref="G71" authorId="1">
      <text>
        <r>
          <rPr>
            <b/>
            <sz val="8"/>
            <color indexed="81"/>
            <rFont val="Tahoma"/>
            <family val="2"/>
          </rPr>
          <t>CPHS 29/04/2016</t>
        </r>
      </text>
    </comment>
    <comment ref="G72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02/08/2016</t>
        </r>
      </text>
    </comment>
    <comment ref="G73" authorId="2">
      <text>
        <r>
          <rPr>
            <sz val="8"/>
            <color indexed="81"/>
            <rFont val="Tahoma"/>
            <family val="2"/>
          </rPr>
          <t>ENTRADA 
08/10/13</t>
        </r>
      </text>
    </comment>
    <comment ref="G74" authorId="1">
      <text>
        <r>
          <rPr>
            <b/>
            <sz val="8"/>
            <color indexed="81"/>
            <rFont val="Tahoma"/>
            <family val="2"/>
          </rPr>
          <t>Chegada em 20/05/2015.</t>
        </r>
      </text>
    </comment>
    <comment ref="G75" authorId="1">
      <text>
        <r>
          <rPr>
            <b/>
            <sz val="8"/>
            <color indexed="81"/>
            <rFont val="Tahoma"/>
            <family val="2"/>
          </rPr>
          <t>17/08/2016
Oriundo da CPHS</t>
        </r>
      </text>
    </comment>
    <comment ref="G76" authorId="1">
      <text>
        <r>
          <rPr>
            <b/>
            <sz val="8"/>
            <color indexed="81"/>
            <rFont val="Tahoma"/>
            <family val="2"/>
          </rPr>
          <t>CHEGADA EM 25/04/2016
ART: 157</t>
        </r>
      </text>
    </comment>
    <comment ref="G79" authorId="3">
      <text>
        <r>
          <rPr>
            <b/>
            <sz val="9"/>
            <color indexed="81"/>
            <rFont val="Tahoma"/>
            <family val="2"/>
          </rPr>
          <t xml:space="preserve">Perna mecânica
</t>
        </r>
      </text>
    </comment>
    <comment ref="G87" authorId="1">
      <text>
        <r>
          <rPr>
            <b/>
            <sz val="8"/>
            <color indexed="81"/>
            <rFont val="Tahoma"/>
            <family val="2"/>
          </rPr>
          <t>Chegada em 24/08/16.</t>
        </r>
      </text>
    </comment>
    <comment ref="G88" authorId="1">
      <text>
        <r>
          <rPr>
            <b/>
            <sz val="8"/>
            <color indexed="81"/>
            <rFont val="Tahoma"/>
            <family val="2"/>
          </rPr>
          <t>Chegada em 12/08/15.</t>
        </r>
      </text>
    </comment>
    <comment ref="G89" authorId="0">
      <text>
        <r>
          <rPr>
            <sz val="8"/>
            <color indexed="81"/>
            <rFont val="Tahoma"/>
            <family val="2"/>
          </rPr>
          <t>PEP II
09/05/2014
Permuta
Fabio Gomes Dos Santos</t>
        </r>
      </text>
    </comment>
    <comment ref="G90" authorId="0">
      <text>
        <r>
          <rPr>
            <sz val="8"/>
            <color indexed="81"/>
            <rFont val="Tahoma"/>
            <family val="2"/>
          </rPr>
          <t xml:space="preserve">HILDEBRANDO
09/09/2014
Art. 157
</t>
        </r>
      </text>
    </comment>
    <comment ref="G91" authorId="1">
      <text>
        <r>
          <rPr>
            <b/>
            <sz val="8"/>
            <color indexed="81"/>
            <rFont val="Tahoma"/>
            <family val="2"/>
          </rPr>
          <t>Chegada em 24/08/16.</t>
        </r>
      </text>
    </comment>
    <comment ref="G92" authorId="1">
      <text>
        <r>
          <rPr>
            <b/>
            <sz val="8"/>
            <color indexed="81"/>
            <rFont val="Tahoma"/>
            <family val="2"/>
          </rPr>
          <t>CPHS 29/04/2016</t>
        </r>
      </text>
    </comment>
    <comment ref="G95" authorId="0">
      <text>
        <r>
          <rPr>
            <sz val="8"/>
            <color indexed="81"/>
            <rFont val="Tahoma"/>
            <family val="2"/>
          </rPr>
          <t>HILDEBRANDO
09/09/2014
Art. 214</t>
        </r>
      </text>
    </comment>
    <comment ref="G132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01/04/2015
</t>
        </r>
      </text>
    </comment>
    <comment ref="G133" authorId="1">
      <text>
        <r>
          <rPr>
            <b/>
            <sz val="8"/>
            <color indexed="81"/>
            <rFont val="Tahoma"/>
            <family val="2"/>
          </rPr>
          <t>Retorno CMP 14/03/2016</t>
        </r>
      </text>
    </comment>
    <comment ref="G135" authorId="1">
      <text>
        <r>
          <rPr>
            <b/>
            <sz val="8"/>
            <color indexed="81"/>
            <rFont val="Tahoma"/>
            <family val="2"/>
          </rPr>
          <t>24/11/2015
Oriundo de Curiúva
Art. 129 e 359</t>
        </r>
      </text>
    </comment>
    <comment ref="G136" authorId="1">
      <text>
        <r>
          <rPr>
            <b/>
            <sz val="8"/>
            <color indexed="81"/>
            <rFont val="Tahoma"/>
            <family val="2"/>
          </rPr>
          <t>04/05/2016
JAGUARIAIVA</t>
        </r>
      </text>
    </comment>
    <comment ref="G140" authorId="1">
      <text>
        <r>
          <rPr>
            <b/>
            <sz val="8"/>
            <color indexed="81"/>
            <rFont val="Tahoma"/>
            <family val="2"/>
          </rPr>
          <t>17/08/2016
Oriundo da CPHS</t>
        </r>
      </text>
    </comment>
    <comment ref="G143" authorId="1">
      <text>
        <r>
          <rPr>
            <b/>
            <sz val="8"/>
            <color indexed="81"/>
            <rFont val="Tahoma"/>
            <family val="2"/>
          </rPr>
          <t>Entrada da CPHS em 20/04/2016</t>
        </r>
      </text>
    </comment>
    <comment ref="G156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CADEIA DE JAGUARIAIVA
22/12/2015</t>
        </r>
      </text>
    </comment>
    <comment ref="G165" authorId="1">
      <text>
        <r>
          <rPr>
            <sz val="8"/>
            <color indexed="81"/>
            <rFont val="Tahoma"/>
            <family val="2"/>
          </rPr>
          <t xml:space="preserve">CURIÚVA 09/11/2015
</t>
        </r>
      </text>
    </comment>
    <comment ref="G169" authorId="1">
      <text>
        <r>
          <rPr>
            <b/>
            <sz val="8"/>
            <color indexed="81"/>
            <rFont val="Tahoma"/>
            <family val="2"/>
          </rPr>
          <t>Chegada em 07/07/15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3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20/10/2016</t>
        </r>
      </text>
    </comment>
  </commentList>
</comments>
</file>

<file path=xl/comments5.xml><?xml version="1.0" encoding="utf-8"?>
<comments xmlns="http://schemas.openxmlformats.org/spreadsheetml/2006/main">
  <authors>
    <author>PEPG</author>
    <author>DIAF</author>
    <author>DIPROM</author>
    <author>CEEBEJA</author>
    <author>DINF</author>
  </authors>
  <commentList>
    <comment ref="G10" authorId="0">
      <text>
        <r>
          <rPr>
            <sz val="8"/>
            <color indexed="81"/>
            <rFont val="Tahoma"/>
            <family val="2"/>
          </rPr>
          <t xml:space="preserve">HILDEBRANDO
05/08/2011
</t>
        </r>
      </text>
    </comment>
    <comment ref="G11" authorId="1">
      <text>
        <r>
          <rPr>
            <b/>
            <sz val="8"/>
            <color indexed="81"/>
            <rFont val="Tahoma"/>
            <family val="2"/>
          </rPr>
          <t>01/04/2016
13ª SDP</t>
        </r>
      </text>
    </comment>
    <comment ref="G12" authorId="1">
      <text>
        <r>
          <rPr>
            <b/>
            <sz val="8"/>
            <color indexed="81"/>
            <rFont val="Tahoma"/>
            <family val="2"/>
          </rPr>
          <t>Chegou em 01/12/2015</t>
        </r>
      </text>
    </comment>
    <comment ref="G13" authorId="2">
      <text>
        <r>
          <rPr>
            <sz val="8"/>
            <color indexed="81"/>
            <rFont val="Tahoma"/>
            <family val="2"/>
          </rPr>
          <t>Regressão 
20/09/2014</t>
        </r>
      </text>
    </comment>
    <comment ref="G16" authorId="1">
      <text>
        <r>
          <rPr>
            <sz val="8"/>
            <color indexed="81"/>
            <rFont val="Tahoma"/>
            <family val="2"/>
          </rPr>
          <t>HILDEBRANDO
14/02/2015</t>
        </r>
      </text>
    </comment>
    <comment ref="G20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PIRAI DO SUL-PR
14/12/2015
Art. 33</t>
        </r>
      </text>
    </comment>
    <comment ref="G26" authorId="1">
      <text>
        <r>
          <rPr>
            <sz val="8"/>
            <color indexed="81"/>
            <rFont val="Tahoma"/>
            <family val="2"/>
          </rPr>
          <t xml:space="preserve">HILDEBRANDO
14/02/2015
</t>
        </r>
      </text>
    </comment>
    <comment ref="G27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ORIUNDO DE ARAPOTI
11/05/2016</t>
        </r>
      </text>
    </comment>
    <comment ref="G30" authorId="1">
      <text>
        <r>
          <rPr>
            <sz val="8"/>
            <color indexed="81"/>
            <rFont val="Tahoma"/>
            <family val="2"/>
          </rPr>
          <t>T. BORBA
13/05/2015
Art. 157</t>
        </r>
      </text>
    </comment>
    <comment ref="G32" authorId="1">
      <text>
        <r>
          <rPr>
            <b/>
            <sz val="8"/>
            <color indexed="81"/>
            <rFont val="Tahoma"/>
            <family val="2"/>
          </rPr>
          <t>DIAF: Regressão CRAPG 16/06/15</t>
        </r>
      </text>
    </comment>
    <comment ref="G34" authorId="1">
      <text>
        <r>
          <rPr>
            <b/>
            <sz val="8"/>
            <color indexed="81"/>
            <rFont val="Tahoma"/>
            <family val="2"/>
          </rPr>
          <t>Oriundos de Teixeira Soares em 27/08/2015, art. 217 estupro de vulnerável.</t>
        </r>
      </text>
    </comment>
    <comment ref="G56" authorId="1">
      <text>
        <r>
          <rPr>
            <sz val="8"/>
            <color indexed="81"/>
            <rFont val="Tahoma"/>
            <family val="2"/>
          </rPr>
          <t xml:space="preserve">CASTRO-PR
28/10/2015
</t>
        </r>
      </text>
    </comment>
    <comment ref="G57" authorId="0">
      <text>
        <r>
          <rPr>
            <sz val="8"/>
            <color indexed="81"/>
            <rFont val="Tahoma"/>
            <family val="2"/>
          </rPr>
          <t>HILDEBRANDO
07/04/2011
Regressão
Art 129, 15 e 163,129,121
23 anos, 9m e 10d.</t>
        </r>
      </text>
    </comment>
    <comment ref="G59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ORIUNDO : Guarapuava. 30/11/15 art. 12
</t>
        </r>
      </text>
    </comment>
    <comment ref="G63" authorId="0">
      <text>
        <r>
          <rPr>
            <sz val="8"/>
            <color indexed="81"/>
            <rFont val="Tahoma"/>
            <family val="2"/>
          </rPr>
          <t>SENGÉS-PR 30/01/12
Art. 157 5a e 4m</t>
        </r>
      </text>
    </comment>
    <comment ref="G65" authorId="1">
      <text>
        <r>
          <rPr>
            <b/>
            <sz val="8"/>
            <color indexed="81"/>
            <rFont val="Tahoma"/>
            <family val="2"/>
          </rPr>
          <t>CHEGADA EM 25/04/2016
ART: 217 ESTUPRO DE VULNERAVEL</t>
        </r>
      </text>
    </comment>
    <comment ref="G69" authorId="2">
      <text>
        <r>
          <rPr>
            <b/>
            <sz val="8"/>
            <color indexed="81"/>
            <rFont val="Tahoma"/>
            <family val="2"/>
          </rPr>
          <t>TIBAGI-PR 12/06/14</t>
        </r>
      </text>
    </comment>
    <comment ref="G70" authorId="1">
      <text>
        <r>
          <rPr>
            <b/>
            <sz val="8"/>
            <color indexed="81"/>
            <rFont val="Tahoma"/>
            <family val="2"/>
          </rPr>
          <t>CPHS 29/04/2016</t>
        </r>
      </text>
    </comment>
    <comment ref="G71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02/08/2016</t>
        </r>
      </text>
    </comment>
    <comment ref="G72" authorId="3">
      <text>
        <r>
          <rPr>
            <sz val="8"/>
            <color indexed="81"/>
            <rFont val="Tahoma"/>
            <family val="2"/>
          </rPr>
          <t>ENTRADA 
08/10/13</t>
        </r>
      </text>
    </comment>
    <comment ref="G73" authorId="1">
      <text>
        <r>
          <rPr>
            <b/>
            <sz val="8"/>
            <color indexed="81"/>
            <rFont val="Tahoma"/>
            <family val="2"/>
          </rPr>
          <t>Chegada em 20/05/2015.</t>
        </r>
      </text>
    </comment>
    <comment ref="G74" authorId="1">
      <text>
        <r>
          <rPr>
            <b/>
            <sz val="8"/>
            <color indexed="81"/>
            <rFont val="Tahoma"/>
            <family val="2"/>
          </rPr>
          <t>17/08/2016
Oriundo da CPHS</t>
        </r>
      </text>
    </comment>
    <comment ref="G75" authorId="1">
      <text>
        <r>
          <rPr>
            <b/>
            <sz val="8"/>
            <color indexed="81"/>
            <rFont val="Tahoma"/>
            <family val="2"/>
          </rPr>
          <t>CHEGADA EM 25/04/2016
ART: 157</t>
        </r>
      </text>
    </comment>
    <comment ref="G78" authorId="4">
      <text>
        <r>
          <rPr>
            <b/>
            <sz val="9"/>
            <color indexed="81"/>
            <rFont val="Tahoma"/>
            <family val="2"/>
          </rPr>
          <t xml:space="preserve">Perna mecânica
</t>
        </r>
      </text>
    </comment>
    <comment ref="G131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02/08/2016</t>
        </r>
      </text>
    </comment>
    <comment ref="G133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T. BORBA
12/05/2016</t>
        </r>
      </text>
    </comment>
    <comment ref="G135" authorId="1">
      <text>
        <r>
          <rPr>
            <b/>
            <sz val="8"/>
            <color indexed="81"/>
            <rFont val="Tahoma"/>
            <family val="2"/>
          </rPr>
          <t>Chegada em 25/11/15.</t>
        </r>
      </text>
    </comment>
    <comment ref="G136" authorId="1">
      <text>
        <r>
          <rPr>
            <b/>
            <sz val="8"/>
            <color indexed="81"/>
            <rFont val="Tahoma"/>
            <family val="2"/>
          </rPr>
          <t>24/11/2015
Hildebrando de Souza</t>
        </r>
      </text>
    </comment>
    <comment ref="G137" authorId="1">
      <text>
        <r>
          <rPr>
            <b/>
            <sz val="8"/>
            <color indexed="81"/>
            <rFont val="Tahoma"/>
            <family val="2"/>
          </rPr>
          <t>Chegada em 25/11/15.</t>
        </r>
      </text>
    </comment>
    <comment ref="G138" authorId="1">
      <text>
        <r>
          <rPr>
            <b/>
            <sz val="8"/>
            <color indexed="81"/>
            <rFont val="Tahoma"/>
            <family val="2"/>
          </rPr>
          <t>24/11/2015
Hildebrando de Souza</t>
        </r>
      </text>
    </comment>
    <comment ref="G139" authorId="1">
      <text>
        <r>
          <rPr>
            <sz val="8"/>
            <color indexed="81"/>
            <rFont val="Tahoma"/>
            <family val="2"/>
          </rPr>
          <t xml:space="preserve">PEP II
26/03/2015
</t>
        </r>
      </text>
    </comment>
    <comment ref="G140" authorId="2">
      <text>
        <r>
          <rPr>
            <sz val="8"/>
            <color indexed="81"/>
            <rFont val="Tahoma"/>
            <family val="2"/>
          </rPr>
          <t xml:space="preserve">HILDEBRANDO
05/09/2014
</t>
        </r>
      </text>
    </comment>
    <comment ref="G142" authorId="1">
      <text>
        <r>
          <rPr>
            <b/>
            <sz val="8"/>
            <color indexed="81"/>
            <rFont val="Tahoma"/>
            <family val="2"/>
          </rPr>
          <t>PROVENIENTE DA CPHS EM 17/02/16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DIPROM</author>
    <author>DIAF</author>
    <author>PEPG</author>
    <author>CEEBEJA</author>
  </authors>
  <commentList>
    <comment ref="G9" authorId="0">
      <text>
        <r>
          <rPr>
            <sz val="8"/>
            <color indexed="81"/>
            <rFont val="Tahoma"/>
            <family val="2"/>
          </rPr>
          <t>HILDEBRANDO
09/09/2014
Art. 214</t>
        </r>
      </text>
    </comment>
    <comment ref="G12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ENTRADA 22/06/2015
ORIUNDO DE GUARAPUAVA</t>
        </r>
      </text>
    </comment>
    <comment ref="G15" authorId="1">
      <text>
        <r>
          <rPr>
            <b/>
            <sz val="8"/>
            <color indexed="81"/>
            <rFont val="Tahoma"/>
            <family val="2"/>
          </rPr>
          <t>Entrada da CPHS em 20/04/2016</t>
        </r>
      </text>
    </comment>
    <comment ref="G16" authorId="1">
      <text>
        <r>
          <rPr>
            <sz val="8"/>
            <color indexed="81"/>
            <rFont val="Tahoma"/>
            <family val="2"/>
          </rPr>
          <t>T. BORBA
13/05/2015
Art.157
irmão do WALISSON DOS SANTOS PEDROSO, pront. 105.846</t>
        </r>
      </text>
    </comment>
    <comment ref="G24" authorId="0">
      <text>
        <r>
          <rPr>
            <sz val="8"/>
            <color indexed="81"/>
            <rFont val="Tahoma"/>
            <family val="2"/>
          </rPr>
          <t>HILDEBRANDO
22/08/2014
Art. 12</t>
        </r>
      </text>
    </comment>
    <comment ref="G25" authorId="1">
      <text>
        <r>
          <rPr>
            <b/>
            <sz val="8"/>
            <color indexed="81"/>
            <rFont val="Tahoma"/>
            <family val="2"/>
          </rPr>
          <t xml:space="preserve">CHEGADA EM 25/04/2016
ART: </t>
        </r>
      </text>
    </comment>
    <comment ref="G26" authorId="0">
      <text>
        <r>
          <rPr>
            <b/>
            <sz val="8"/>
            <color indexed="81"/>
            <rFont val="Tahoma"/>
            <family val="2"/>
          </rPr>
          <t>HILDEBRANDO
04/09/14.</t>
        </r>
      </text>
    </comment>
    <comment ref="G30" authorId="0">
      <text>
        <r>
          <rPr>
            <b/>
            <sz val="8"/>
            <color indexed="81"/>
            <rFont val="Tahoma"/>
            <family val="2"/>
          </rPr>
          <t>TIBAGI-PR
12/06/2014</t>
        </r>
      </text>
    </comment>
    <comment ref="G31" authorId="1">
      <text>
        <r>
          <rPr>
            <sz val="8"/>
            <color indexed="81"/>
            <rFont val="Tahoma"/>
            <family val="2"/>
          </rPr>
          <t xml:space="preserve">HILDEBRANDO
19/12/2014
</t>
        </r>
      </text>
    </comment>
    <comment ref="G32" authorId="1">
      <text>
        <r>
          <rPr>
            <b/>
            <sz val="8"/>
            <color indexed="81"/>
            <rFont val="Tahoma"/>
            <family val="2"/>
          </rPr>
          <t>28/09/2015 - CASTRO
ART. 157</t>
        </r>
      </text>
    </comment>
    <comment ref="G33" authorId="1">
      <text>
        <r>
          <rPr>
            <b/>
            <sz val="8"/>
            <color indexed="81"/>
            <rFont val="Tahoma"/>
            <family val="2"/>
          </rPr>
          <t>28/09/2015 - CASTRO
ART. 121</t>
        </r>
      </text>
    </comment>
    <comment ref="G35" authorId="1">
      <text>
        <r>
          <rPr>
            <b/>
            <sz val="8"/>
            <color indexed="81"/>
            <rFont val="Tahoma"/>
            <family val="2"/>
          </rPr>
          <t>Oriundos de Teixeira Soares em 27/08/2015, art. 217 estupro de vulnerável.</t>
        </r>
      </text>
    </comment>
    <comment ref="G55" authorId="1">
      <text>
        <r>
          <rPr>
            <sz val="8"/>
            <color indexed="81"/>
            <rFont val="Tahoma"/>
            <family val="2"/>
          </rPr>
          <t>CADEIA PÚBLICA DE SIQUEIRA CAMPOS 25/06/15</t>
        </r>
      </text>
    </comment>
    <comment ref="G56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02/08/2016
</t>
        </r>
      </text>
    </comment>
    <comment ref="G57" authorId="0">
      <text>
        <r>
          <rPr>
            <sz val="8"/>
            <color indexed="81"/>
            <rFont val="Tahoma"/>
            <family val="2"/>
          </rPr>
          <t>Art.157,Art.12 e Art.14
30 anos, 08m e 25d</t>
        </r>
      </text>
    </comment>
    <comment ref="G58" authorId="0">
      <text>
        <r>
          <rPr>
            <sz val="8"/>
            <color indexed="81"/>
            <rFont val="Tahoma"/>
            <family val="2"/>
          </rPr>
          <t>Art 121#2 2x
14 anos</t>
        </r>
      </text>
    </comment>
    <comment ref="G61" authorId="1">
      <text>
        <r>
          <rPr>
            <b/>
            <sz val="8"/>
            <color indexed="81"/>
            <rFont val="Tahoma"/>
            <family val="2"/>
          </rPr>
          <t>CPHS 29/04/2016</t>
        </r>
      </text>
    </comment>
    <comment ref="G62" authorId="2">
      <text>
        <r>
          <rPr>
            <sz val="8"/>
            <color indexed="81"/>
            <rFont val="Tahoma"/>
            <family val="2"/>
          </rPr>
          <t xml:space="preserve">17/02/2011
Art. 157 
17 anos e 12d </t>
        </r>
      </text>
    </comment>
    <comment ref="G63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 DE SOUZA
05/04/2016</t>
        </r>
      </text>
    </comment>
    <comment ref="G65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PIRAI DO SUL-PR
14/12/2015
Art. 33</t>
        </r>
      </text>
    </comment>
    <comment ref="G70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CPHS 14/10/2016</t>
        </r>
      </text>
    </comment>
    <comment ref="G74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20/10/2016</t>
        </r>
      </text>
    </comment>
    <comment ref="G75" authorId="1">
      <text>
        <r>
          <rPr>
            <b/>
            <sz val="8"/>
            <color indexed="81"/>
            <rFont val="Tahoma"/>
            <family val="2"/>
          </rPr>
          <t>CHEGADA EM 25/04/2016
ART: 217 ESTUPRO DE VULNERAVEL</t>
        </r>
      </text>
    </comment>
    <comment ref="G76" authorId="1">
      <text>
        <r>
          <rPr>
            <b/>
            <sz val="8"/>
            <color indexed="81"/>
            <rFont val="Tahoma"/>
            <family val="2"/>
          </rPr>
          <t>04/04/2016
13ª SDP</t>
        </r>
      </text>
    </comment>
    <comment ref="G77" authorId="3">
      <text>
        <r>
          <rPr>
            <b/>
            <sz val="8"/>
            <color indexed="81"/>
            <rFont val="Tahoma"/>
            <family val="2"/>
          </rPr>
          <t>Entrada 
04/04/14</t>
        </r>
      </text>
    </comment>
    <comment ref="G133" authorId="1">
      <text>
        <r>
          <rPr>
            <sz val="8"/>
            <color indexed="81"/>
            <rFont val="Tahoma"/>
            <family val="2"/>
          </rPr>
          <t xml:space="preserve">CCP
04/05/2015 
</t>
        </r>
      </text>
    </comment>
    <comment ref="G134" authorId="0">
      <text>
        <r>
          <rPr>
            <b/>
            <sz val="8"/>
            <color indexed="81"/>
            <rFont val="Tahoma"/>
            <family val="2"/>
          </rPr>
          <t>HILDEBRANDO 04/09/14</t>
        </r>
      </text>
    </comment>
    <comment ref="G135" authorId="3">
      <text>
        <r>
          <rPr>
            <sz val="8"/>
            <color indexed="81"/>
            <rFont val="Tahoma"/>
            <family val="2"/>
          </rPr>
          <t xml:space="preserve">HILDEBRANDO
13/03/2014
</t>
        </r>
      </text>
    </comment>
    <comment ref="G136" authorId="0">
      <text>
        <r>
          <rPr>
            <sz val="8"/>
            <color indexed="81"/>
            <rFont val="Tahoma"/>
            <family val="2"/>
          </rPr>
          <t xml:space="preserve">HILDEBRANDO
05/09/2014
</t>
        </r>
      </text>
    </comment>
    <comment ref="G137" authorId="3">
      <text>
        <r>
          <rPr>
            <b/>
            <sz val="8"/>
            <color indexed="81"/>
            <rFont val="Tahoma"/>
            <family val="2"/>
          </rPr>
          <t>Entrada 
04/04/14</t>
        </r>
      </text>
    </comment>
    <comment ref="G139" authorId="1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ENTRADA 22/06/2015
ORIUNDO DE GUARAPUAVA</t>
        </r>
      </text>
    </comment>
    <comment ref="G142" authorId="0">
      <text>
        <r>
          <rPr>
            <sz val="8"/>
            <color indexed="81"/>
            <rFont val="Tahoma"/>
            <family val="2"/>
          </rPr>
          <t>HILDEBRANDO
03/09/2014
Art. 33</t>
        </r>
      </text>
    </comment>
    <comment ref="G143" authorId="0">
      <text>
        <r>
          <rPr>
            <sz val="8"/>
            <color indexed="81"/>
            <rFont val="Tahoma"/>
            <family val="2"/>
          </rPr>
          <t xml:space="preserve">HILDEBRANDO
09/09/2014
Art. 157
</t>
        </r>
      </text>
    </comment>
    <comment ref="G144" authorId="1">
      <text>
        <r>
          <rPr>
            <b/>
            <sz val="8"/>
            <color indexed="81"/>
            <rFont val="Tahoma"/>
            <family val="2"/>
          </rPr>
          <t>24/11/2015
Hildebrando de Souza</t>
        </r>
      </text>
    </comment>
  </commentList>
</comments>
</file>

<file path=xl/comments7.xml><?xml version="1.0" encoding="utf-8"?>
<comments xmlns="http://schemas.openxmlformats.org/spreadsheetml/2006/main">
  <authors>
    <author>PEPG</author>
    <author>DIPROM</author>
    <author>DIAF</author>
    <author>CEEBEJA</author>
  </authors>
  <commentList>
    <comment ref="G9" authorId="0">
      <text>
        <r>
          <rPr>
            <sz val="8"/>
            <color indexed="81"/>
            <rFont val="Tahoma"/>
            <family val="2"/>
          </rPr>
          <t xml:space="preserve">HILDEBRANDO
05/08/2011
</t>
        </r>
      </text>
    </comment>
    <comment ref="G10" authorId="1">
      <text>
        <r>
          <rPr>
            <b/>
            <sz val="8"/>
            <color indexed="81"/>
            <rFont val="Tahoma"/>
            <family val="2"/>
          </rPr>
          <t>HILDEBRANDO 04/09/14</t>
        </r>
      </text>
    </comment>
    <comment ref="G11" authorId="0">
      <text>
        <r>
          <rPr>
            <sz val="8"/>
            <color indexed="81"/>
            <rFont val="Tahoma"/>
            <family val="2"/>
          </rPr>
          <t>PONTA GROSSA-PR 15/05/12.
Pena: 6 anos.
Crime em São Paulo-SP.</t>
        </r>
      </text>
    </comment>
    <comment ref="G12" authorId="1">
      <text>
        <r>
          <rPr>
            <b/>
            <sz val="8"/>
            <color indexed="81"/>
            <rFont val="Tahoma"/>
            <family val="2"/>
          </rPr>
          <t>HILDEBRANDO 04/09/14</t>
        </r>
      </text>
    </comment>
    <comment ref="G13" authorId="1">
      <text>
        <r>
          <rPr>
            <b/>
            <sz val="8"/>
            <color indexed="81"/>
            <rFont val="Tahoma"/>
            <family val="2"/>
          </rPr>
          <t>ENTRADA 
28/04/2014</t>
        </r>
      </text>
    </comment>
    <comment ref="G14" authorId="2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CCC / CMP
22/04/2015
Permuta DANIEL DOS SANTOS</t>
        </r>
      </text>
    </comment>
    <comment ref="G15" authorId="2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11/12/2015</t>
        </r>
      </text>
    </comment>
    <comment ref="G18" authorId="2">
      <text>
        <r>
          <rPr>
            <sz val="8"/>
            <color indexed="81"/>
            <rFont val="Tahoma"/>
            <family val="2"/>
          </rPr>
          <t>HILDEBRANDO
14/02/2015 - BEIÇO</t>
        </r>
      </text>
    </comment>
    <comment ref="G19" authorId="2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11/12/2015</t>
        </r>
      </text>
    </comment>
    <comment ref="G20" authorId="2">
      <text>
        <r>
          <rPr>
            <sz val="8"/>
            <color indexed="81"/>
            <rFont val="Tahoma"/>
            <family val="2"/>
          </rPr>
          <t>IMBITUVA-PR
13/02/2015</t>
        </r>
      </text>
    </comment>
    <comment ref="G72" authorId="2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01/04/2015
</t>
        </r>
      </text>
    </comment>
    <comment ref="G73" authorId="2">
      <text>
        <r>
          <rPr>
            <b/>
            <sz val="8"/>
            <color indexed="81"/>
            <rFont val="Tahoma"/>
            <family val="2"/>
          </rPr>
          <t>20/01/2016
PCE</t>
        </r>
      </text>
    </comment>
    <comment ref="G75" authorId="0">
      <text>
        <r>
          <rPr>
            <sz val="8"/>
            <color indexed="81"/>
            <rFont val="Tahoma"/>
            <family val="2"/>
          </rPr>
          <t>Art. 33 e 12
6 anos e 6 m 
retorno CMP 02/12/13</t>
        </r>
      </text>
    </comment>
    <comment ref="G76" authorId="1">
      <text>
        <r>
          <rPr>
            <sz val="8"/>
            <color indexed="81"/>
            <rFont val="Tahoma"/>
            <family val="2"/>
          </rPr>
          <t>HILDEBRANDO
09/09/2014
Art. 213</t>
        </r>
      </text>
    </comment>
    <comment ref="G77" authorId="1">
      <text>
        <r>
          <rPr>
            <sz val="8"/>
            <color indexed="81"/>
            <rFont val="Tahoma"/>
            <family val="2"/>
          </rPr>
          <t>HILDEBRANDO
09/09/2014
Art. 213</t>
        </r>
      </text>
    </comment>
    <comment ref="G78" authorId="1">
      <text>
        <r>
          <rPr>
            <sz val="8"/>
            <color indexed="81"/>
            <rFont val="Tahoma"/>
            <family val="2"/>
          </rPr>
          <t xml:space="preserve">HILDEBRANDO
05/09/2014
</t>
        </r>
      </text>
    </comment>
    <comment ref="G80" authorId="1">
      <text>
        <r>
          <rPr>
            <sz val="8"/>
            <color indexed="81"/>
            <rFont val="Tahoma"/>
            <family val="2"/>
          </rPr>
          <t xml:space="preserve">HILDEBRANDO
09/09/2014
</t>
        </r>
      </text>
    </comment>
    <comment ref="G81" authorId="0">
      <text>
        <r>
          <rPr>
            <sz val="8"/>
            <color indexed="81"/>
            <rFont val="Tahoma"/>
            <family val="2"/>
          </rPr>
          <t>TIBAGI 
Art. 213
36 anos</t>
        </r>
      </text>
    </comment>
    <comment ref="G82" authorId="2">
      <text>
        <r>
          <rPr>
            <b/>
            <sz val="8"/>
            <color indexed="81"/>
            <rFont val="Tahoma"/>
            <family val="2"/>
          </rPr>
          <t>Chegada em 20/05/2015.</t>
        </r>
      </text>
    </comment>
    <comment ref="G83" authorId="1">
      <text>
        <r>
          <rPr>
            <sz val="8"/>
            <color indexed="81"/>
            <rFont val="Tahoma"/>
            <family val="2"/>
          </rPr>
          <t>HILDEBRANDO
03/09/2014
Art. 33, 147</t>
        </r>
      </text>
    </comment>
    <comment ref="G87" authorId="1">
      <text>
        <r>
          <rPr>
            <sz val="8"/>
            <color indexed="81"/>
            <rFont val="Tahoma"/>
            <family val="2"/>
          </rPr>
          <t>HILDEBRANDO
05/09/2014</t>
        </r>
      </text>
    </comment>
    <comment ref="G89" authorId="2">
      <text>
        <r>
          <rPr>
            <sz val="8"/>
            <color indexed="81"/>
            <rFont val="Tahoma"/>
            <family val="2"/>
          </rPr>
          <t>PCE 22/04/2015
Permuta ADEMIR 
TIZONI</t>
        </r>
      </text>
    </comment>
    <comment ref="G90" authorId="2">
      <text>
        <r>
          <rPr>
            <sz val="8"/>
            <color indexed="81"/>
            <rFont val="Tahoma"/>
            <family val="2"/>
          </rPr>
          <t>IMBITUVA-PR
13/02/2015</t>
        </r>
      </text>
    </comment>
    <comment ref="G91" authorId="1">
      <text>
        <r>
          <rPr>
            <sz val="8"/>
            <color indexed="81"/>
            <rFont val="Tahoma"/>
            <family val="2"/>
          </rPr>
          <t>Art.157 e 33
11 anos e 06m.</t>
        </r>
      </text>
    </comment>
    <comment ref="G93" authorId="2">
      <text>
        <r>
          <rPr>
            <sz val="8"/>
            <color indexed="81"/>
            <rFont val="Tahoma"/>
            <family val="2"/>
          </rPr>
          <t>HILDEBRANDO
14/02/2015</t>
        </r>
      </text>
    </comment>
    <comment ref="G95" authorId="3">
      <text>
        <r>
          <rPr>
            <b/>
            <sz val="8"/>
            <color indexed="81"/>
            <rFont val="Tahoma"/>
            <family val="2"/>
          </rPr>
          <t>Entrada 
04/04/14</t>
        </r>
      </text>
    </comment>
    <comment ref="G96" authorId="1">
      <text>
        <r>
          <rPr>
            <sz val="8"/>
            <color indexed="81"/>
            <rFont val="Tahoma"/>
            <family val="2"/>
          </rPr>
          <t>HILDEBRANDO
08/09/2014</t>
        </r>
      </text>
    </comment>
    <comment ref="G97" authorId="2">
      <text>
        <r>
          <rPr>
            <b/>
            <sz val="8"/>
            <color indexed="81"/>
            <rFont val="Tahoma"/>
            <family val="2"/>
          </rPr>
          <t>Chegada em 12/08/15.</t>
        </r>
      </text>
    </comment>
  </commentList>
</comments>
</file>

<file path=xl/comments8.xml><?xml version="1.0" encoding="utf-8"?>
<comments xmlns="http://schemas.openxmlformats.org/spreadsheetml/2006/main">
  <authors>
    <author>Ilhaway-02</author>
    <author>controle int</author>
    <author>DIAF</author>
    <author>CI</author>
    <author>DINF</author>
    <author>ilhaway_32</author>
    <author>DIPROM</author>
    <author>PEPG</author>
    <author>CEEBEJA</author>
  </authors>
  <commentList>
    <comment ref="C5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</t>
        </r>
      </text>
    </comment>
    <comment ref="C9" authorId="1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CPHS
25/09/18</t>
        </r>
      </text>
    </comment>
    <comment ref="C12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PALMEIRA
18/06/2019</t>
        </r>
      </text>
    </comment>
    <comment ref="C14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PALMEIRA
18/06/2019</t>
        </r>
      </text>
    </comment>
    <comment ref="C16" authorId="2">
      <text>
        <r>
          <rPr>
            <b/>
            <sz val="8"/>
            <color indexed="81"/>
            <rFont val="Tahoma"/>
            <family val="2"/>
          </rPr>
          <t>Chegada em 24/08/16.</t>
        </r>
      </text>
    </comment>
    <comment ref="C17" authorId="2">
      <text>
        <r>
          <rPr>
            <b/>
            <sz val="8"/>
            <color indexed="81"/>
            <rFont val="Tahoma"/>
            <family val="2"/>
          </rPr>
          <t>Oriundo da CPHS em 08/04/15, art. 129 (lesão corporal)</t>
        </r>
      </text>
    </comment>
    <comment ref="C21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22/12/2017
oriundo da CPHS</t>
        </r>
      </text>
    </comment>
    <comment ref="C24" authorId="1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CURITIBA
22/05/18</t>
        </r>
      </text>
    </comment>
    <comment ref="C30" authorId="4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HILDEBRANDO
12/12/2016</t>
        </r>
      </text>
    </comment>
    <comment ref="C54" authorId="0">
      <text>
        <r>
          <rPr>
            <b/>
            <sz val="9"/>
            <color indexed="81"/>
            <rFont val="Segoe UI"/>
            <family val="2"/>
          </rPr>
          <t xml:space="preserve">CCC - 10/07/19
PERMUTA C/ JONATHAN W. SANTOS RIBAS
</t>
        </r>
      </text>
    </comment>
    <comment ref="C55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HILDEBRANDO
01/04/2019</t>
        </r>
      </text>
    </comment>
    <comment ref="C75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CCP
06/02/2019
</t>
        </r>
      </text>
    </comment>
    <comment ref="C80" authorId="1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TIBAGI
06/09/2018</t>
        </r>
      </text>
    </comment>
    <comment ref="C81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82" authorId="1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TIBAGI
03/09/2018</t>
        </r>
      </text>
    </comment>
    <comment ref="C83" authorId="5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PG
</t>
        </r>
      </text>
    </comment>
    <comment ref="C84" authorId="1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TIBAGI
06/09/2018
</t>
        </r>
      </text>
    </comment>
    <comment ref="C85" authorId="6">
      <text>
        <r>
          <rPr>
            <sz val="8"/>
            <color indexed="81"/>
            <rFont val="Tahoma"/>
            <family val="2"/>
          </rPr>
          <t xml:space="preserve">HILDEBRANDO
29/05/2014
</t>
        </r>
      </text>
    </comment>
    <comment ref="C93" authorId="5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U P
05/09/2019
</t>
        </r>
      </text>
    </comment>
    <comment ref="C95" authorId="5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Regressão UP
01/08/2018
</t>
        </r>
      </text>
    </comment>
    <comment ref="C98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22/12/2017
oriundo da CPHS</t>
        </r>
      </text>
    </comment>
    <comment ref="C100" authorId="1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CPHS 28/05/18</t>
        </r>
      </text>
    </comment>
    <comment ref="C102" authorId="6">
      <text>
        <r>
          <rPr>
            <sz val="8"/>
            <color indexed="81"/>
            <rFont val="Tahoma"/>
            <family val="2"/>
          </rPr>
          <t xml:space="preserve">HILDEBRANDO
26/06/2014
</t>
        </r>
      </text>
    </comment>
    <comment ref="C107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26/12/2017
oriundo de Castro</t>
        </r>
      </text>
    </comment>
    <comment ref="C110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26/12/2017
oriundo de Castro</t>
        </r>
      </text>
    </comment>
    <comment ref="C111" authorId="4">
      <text>
        <r>
          <rPr>
            <b/>
            <sz val="9"/>
            <color indexed="81"/>
            <rFont val="Tahoma"/>
            <family val="2"/>
          </rPr>
          <t>ORIUNDO DE TELEMACO EM 07/12/2016</t>
        </r>
      </text>
    </comment>
    <comment ref="C116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
04/07/2017</t>
        </r>
      </text>
    </comment>
    <comment ref="C123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PIRAI DO SUL
19/07/2017</t>
        </r>
      </text>
    </comment>
    <comment ref="C124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PIRAI DO SUL
19/07/2017
</t>
        </r>
      </text>
    </comment>
    <comment ref="C131" authorId="1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CPHS
25/09/18</t>
        </r>
      </text>
    </comment>
    <comment ref="C136" authorId="1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JAGUARIAIVA
25/10</t>
        </r>
      </text>
    </comment>
    <comment ref="C149" authorId="5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Regressão UP
25/09/2019</t>
        </r>
      </text>
    </comment>
    <comment ref="C150" authorId="5">
      <text>
        <r>
          <rPr>
            <b/>
            <sz val="9"/>
            <color indexed="81"/>
            <rFont val="Tahoma"/>
            <family val="2"/>
          </rPr>
          <t xml:space="preserve">HSPG 20/09/19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1" authorId="5">
      <text>
        <r>
          <rPr>
            <b/>
            <sz val="9"/>
            <color indexed="81"/>
            <rFont val="Tahoma"/>
            <family val="2"/>
          </rPr>
          <t xml:space="preserve">HSPG 20/09/19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2" authorId="5">
      <text>
        <r>
          <rPr>
            <b/>
            <sz val="9"/>
            <color indexed="81"/>
            <rFont val="Tahoma"/>
            <family val="2"/>
          </rPr>
          <t xml:space="preserve">HSPG 20/09/19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3" authorId="5">
      <text>
        <r>
          <rPr>
            <b/>
            <sz val="9"/>
            <color indexed="81"/>
            <rFont val="Tahoma"/>
            <family val="2"/>
          </rPr>
          <t xml:space="preserve">HSPG 20/09/19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6" authorId="1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CPHS
25/09/18</t>
        </r>
      </text>
    </comment>
    <comment ref="C169" authorId="1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HILDEBRANDO
18/09/2018</t>
        </r>
      </text>
    </comment>
    <comment ref="C175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CCP
06/02/2019
</t>
        </r>
      </text>
    </comment>
    <comment ref="C190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</t>
        </r>
      </text>
    </comment>
    <comment ref="C192" authorId="1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Regressão
27/09/2018
</t>
        </r>
      </text>
    </comment>
    <comment ref="C196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</t>
        </r>
      </text>
    </comment>
    <comment ref="C198" authorId="2">
      <text>
        <r>
          <rPr>
            <b/>
            <sz val="8"/>
            <color indexed="81"/>
            <rFont val="Tahoma"/>
            <family val="2"/>
          </rPr>
          <t xml:space="preserve">CHEGADA EM 25/04/2016
ART: 155 </t>
        </r>
      </text>
    </comment>
    <comment ref="C199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W. BRAZ
27/02/2019</t>
        </r>
      </text>
    </comment>
    <comment ref="C200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PEP 2
06/02/2019</t>
        </r>
      </text>
    </comment>
    <comment ref="C201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TEL. BORBA
08/12/17
</t>
        </r>
      </text>
    </comment>
    <comment ref="C205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26/12/2017
oriundo de Castro</t>
        </r>
      </text>
    </comment>
    <comment ref="C213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CCP
06/02/2019</t>
        </r>
      </text>
    </comment>
    <comment ref="C214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PEP 2
06/02/2019</t>
        </r>
      </text>
    </comment>
    <comment ref="C215" authorId="2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PIRAI DO SUL-PR
14/12/2015
Art. </t>
        </r>
      </text>
    </comment>
    <comment ref="C226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PEP 2
06/02/2019
</t>
        </r>
      </text>
    </comment>
    <comment ref="C227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</t>
        </r>
      </text>
    </comment>
    <comment ref="C228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
</t>
        </r>
      </text>
    </comment>
    <comment ref="C230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PEP 2
06/02/2019
</t>
        </r>
      </text>
    </comment>
    <comment ref="C238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
</t>
        </r>
      </text>
    </comment>
    <comment ref="C240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PEP 2
06/02/2019</t>
        </r>
      </text>
    </comment>
    <comment ref="C243" authorId="1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SENGÉS
25/09/18</t>
        </r>
      </text>
    </comment>
    <comment ref="C246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</t>
        </r>
      </text>
    </comment>
    <comment ref="C247" authorId="5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CPHS
12/08/2019</t>
        </r>
      </text>
    </comment>
    <comment ref="C251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
04/07/2017</t>
        </r>
      </text>
    </comment>
    <comment ref="C258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</t>
        </r>
      </text>
    </comment>
    <comment ref="C262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 05/07
</t>
        </r>
      </text>
    </comment>
    <comment ref="C265" authorId="1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CASTRO
29/07/2018</t>
        </r>
      </text>
    </comment>
    <comment ref="C268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W. BRAZ
27/02/2019</t>
        </r>
      </text>
    </comment>
    <comment ref="C269" authorId="2">
      <text>
        <r>
          <rPr>
            <b/>
            <sz val="8"/>
            <color indexed="81"/>
            <rFont val="Tahoma"/>
            <family val="2"/>
          </rPr>
          <t>Entrada da CPHS em 20/04/2016</t>
        </r>
      </text>
    </comment>
    <comment ref="C271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CASTRO
05/06/2019</t>
        </r>
      </text>
    </comment>
    <comment ref="C274" authorId="0">
      <text>
        <r>
          <rPr>
            <b/>
            <sz val="9"/>
            <color indexed="81"/>
            <rFont val="Segoe UI"/>
            <family val="2"/>
          </rPr>
          <t xml:space="preserve">MPHSPG - 10/07/19
</t>
        </r>
      </text>
    </comment>
    <comment ref="C275" authorId="0">
      <text>
        <r>
          <rPr>
            <b/>
            <sz val="9"/>
            <color indexed="81"/>
            <rFont val="Segoe UI"/>
            <family val="2"/>
          </rPr>
          <t>MPHSPG - 10/07/19</t>
        </r>
      </text>
    </comment>
    <comment ref="C276" authorId="0">
      <text>
        <r>
          <rPr>
            <b/>
            <sz val="9"/>
            <color indexed="81"/>
            <rFont val="Segoe UI"/>
            <family val="2"/>
          </rPr>
          <t>MPHSPG - 10/07/19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277" authorId="0">
      <text>
        <r>
          <rPr>
            <b/>
            <sz val="9"/>
            <color indexed="81"/>
            <rFont val="Segoe UI"/>
            <family val="2"/>
          </rPr>
          <t>MPHSPG - 10/07/19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278" authorId="0">
      <text>
        <r>
          <rPr>
            <b/>
            <sz val="9"/>
            <color indexed="81"/>
            <rFont val="Segoe UI"/>
            <family val="2"/>
          </rPr>
          <t>MPHSPG - 10/07/19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279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
</t>
        </r>
      </text>
    </comment>
    <comment ref="C280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
</t>
        </r>
      </text>
    </comment>
    <comment ref="C283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PIRAI DO SUL
19/07/2017</t>
        </r>
      </text>
    </comment>
    <comment ref="C285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</t>
        </r>
      </text>
    </comment>
    <comment ref="C287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</t>
        </r>
      </text>
    </comment>
    <comment ref="C290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PEP 2
06/02/2019
</t>
        </r>
      </text>
    </comment>
    <comment ref="C293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
</t>
        </r>
      </text>
    </comment>
    <comment ref="C294" authorId="2">
      <text>
        <r>
          <rPr>
            <b/>
            <sz val="8"/>
            <color indexed="81"/>
            <rFont val="Tahoma"/>
            <family val="2"/>
          </rPr>
          <t>PROVENIENTE DA CPHS EM 17/02/16</t>
        </r>
      </text>
    </comment>
    <comment ref="C295" authorId="7">
      <text>
        <r>
          <rPr>
            <sz val="8"/>
            <color indexed="81"/>
            <rFont val="Tahoma"/>
            <family val="2"/>
          </rPr>
          <t>HILDEBRAMDO
04/2/2013</t>
        </r>
      </text>
    </comment>
    <comment ref="C296" authorId="2">
      <text>
        <r>
          <rPr>
            <b/>
            <sz val="8"/>
            <color indexed="81"/>
            <rFont val="Tahoma"/>
            <family val="2"/>
          </rPr>
          <t>17/08/2016
Oriundo da CPHS</t>
        </r>
      </text>
    </comment>
    <comment ref="C299" authorId="2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CASTRO
19/09/2016</t>
        </r>
      </text>
    </comment>
    <comment ref="C300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26/12/2017
oriundo de Castro</t>
        </r>
      </text>
    </comment>
    <comment ref="C303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
</t>
        </r>
      </text>
    </comment>
    <comment ref="C304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
</t>
        </r>
      </text>
    </comment>
    <comment ref="C305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CCP
06/02/2019</t>
        </r>
      </text>
    </comment>
    <comment ref="C306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PEP 2
06/02/2019</t>
        </r>
      </text>
    </comment>
    <comment ref="C307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</t>
        </r>
      </text>
    </comment>
    <comment ref="C324" authorId="5">
      <text>
        <r>
          <rPr>
            <b/>
            <sz val="9"/>
            <color indexed="81"/>
            <rFont val="Tahoma"/>
            <family val="2"/>
          </rPr>
          <t xml:space="preserve">CASTRO 20/09/19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25" authorId="5">
      <text>
        <r>
          <rPr>
            <sz val="9"/>
            <color indexed="81"/>
            <rFont val="Tahoma"/>
            <family val="2"/>
          </rPr>
          <t xml:space="preserve">HSPG 20/09/19
</t>
        </r>
      </text>
    </comment>
    <comment ref="C328" authorId="5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CPHS
12/08/2019
</t>
        </r>
      </text>
    </comment>
    <comment ref="C329" authorId="5">
      <text>
        <r>
          <rPr>
            <b/>
            <sz val="9"/>
            <color indexed="81"/>
            <rFont val="Tahoma"/>
            <family val="2"/>
          </rPr>
          <t>ilhaway_32: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2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PEP 2
06/02/2019</t>
        </r>
      </text>
    </comment>
    <comment ref="C345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</t>
        </r>
      </text>
    </comment>
    <comment ref="C347" authorId="1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PALMEIRA
01/08/2018
</t>
        </r>
      </text>
    </comment>
    <comment ref="C349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W. BRAZ
27/02/2019</t>
        </r>
      </text>
    </comment>
    <comment ref="C353" authorId="1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SENGÉS
25/09/18</t>
        </r>
      </text>
    </comment>
    <comment ref="C354" authorId="6">
      <text>
        <r>
          <rPr>
            <b/>
            <sz val="8"/>
            <color indexed="81"/>
            <rFont val="Tahoma"/>
            <family val="2"/>
          </rPr>
          <t>ENTRADA 28/04/14</t>
        </r>
      </text>
    </comment>
    <comment ref="C356" authorId="1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HILDEBRANDO
18/09/2018</t>
        </r>
      </text>
    </comment>
    <comment ref="C357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CCP
06/02/2019</t>
        </r>
      </text>
    </comment>
    <comment ref="C358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</t>
        </r>
      </text>
    </comment>
    <comment ref="C361" authorId="0">
      <text>
        <r>
          <rPr>
            <b/>
            <sz val="9"/>
            <color indexed="81"/>
            <rFont val="Segoe UI"/>
            <family val="2"/>
          </rPr>
          <t>MPHSPG - 09/07/19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363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HILDEBRANDO
12/02/2019
Permuta
Creisson Jose da Silva</t>
        </r>
      </text>
    </comment>
    <comment ref="C374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PCE
06/02/2019
</t>
        </r>
      </text>
    </comment>
    <comment ref="C375" authorId="8">
      <text>
        <r>
          <rPr>
            <sz val="8"/>
            <color indexed="81"/>
            <rFont val="Tahoma"/>
            <family val="2"/>
          </rPr>
          <t xml:space="preserve">HILDEBRANDO
17/03/2014
</t>
        </r>
      </text>
    </comment>
    <comment ref="C378" authorId="4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HILDEBRANDO 19/12/2016</t>
        </r>
      </text>
    </comment>
    <comment ref="C379" authorId="2">
      <text>
        <r>
          <rPr>
            <b/>
            <sz val="8"/>
            <color indexed="81"/>
            <rFont val="Tahoma"/>
            <family val="2"/>
          </rPr>
          <t>CPHS 29/04/2016</t>
        </r>
      </text>
    </comment>
    <comment ref="C380" authorId="2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16/09/2016
</t>
        </r>
      </text>
    </comment>
    <comment ref="C386" authorId="2">
      <text>
        <r>
          <rPr>
            <b/>
            <sz val="8"/>
            <color indexed="81"/>
            <rFont val="Tahoma"/>
            <family val="2"/>
          </rPr>
          <t>CHEGADA EM 25/04/2016
ART: 157</t>
        </r>
      </text>
    </comment>
    <comment ref="C387" authorId="2">
      <text>
        <r>
          <rPr>
            <b/>
            <sz val="8"/>
            <color indexed="81"/>
            <rFont val="Tahoma"/>
            <family val="2"/>
          </rPr>
          <t>Chegada em 20/05/2015.</t>
        </r>
      </text>
    </comment>
    <comment ref="C388" authorId="3">
      <text>
        <r>
          <rPr>
            <b/>
            <sz val="9"/>
            <color indexed="81"/>
            <rFont val="Segoe UI"/>
            <family val="2"/>
          </rPr>
          <t xml:space="preserve">Proveniente de Siqueira Campos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390" authorId="8">
      <text>
        <r>
          <rPr>
            <b/>
            <sz val="8"/>
            <color indexed="81"/>
            <rFont val="Tahoma"/>
            <family val="2"/>
          </rPr>
          <t>ENTRADA 18/02/14</t>
        </r>
      </text>
    </comment>
    <comment ref="C413" authorId="0">
      <text>
        <r>
          <rPr>
            <b/>
            <sz val="9"/>
            <color indexed="81"/>
            <rFont val="Segoe UI"/>
            <family val="2"/>
          </rPr>
          <t>MPHSPG - 09/07/19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420" authorId="2">
      <text>
        <r>
          <rPr>
            <b/>
            <sz val="8"/>
            <color indexed="81"/>
            <rFont val="Tahoma"/>
            <family val="2"/>
          </rPr>
          <t>Entrada em 05/05/2016 de Foz, em permuta</t>
        </r>
      </text>
    </comment>
    <comment ref="C425" authorId="2">
      <text>
        <r>
          <rPr>
            <b/>
            <sz val="8"/>
            <color indexed="81"/>
            <rFont val="Tahoma"/>
            <family val="2"/>
          </rPr>
          <t>Chegada em 25/11/15.</t>
        </r>
      </text>
    </comment>
    <comment ref="C428" authorId="4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WENCESLAU BRAZ 09/12/2016</t>
        </r>
      </text>
    </comment>
    <comment ref="C431" authorId="4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HILDEBRANDO
12/12/2016
</t>
        </r>
      </text>
    </comment>
    <comment ref="C432" authorId="1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CPHS 28/05/18</t>
        </r>
      </text>
    </comment>
    <comment ref="C434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26/12/2017
oriundo de Castro</t>
        </r>
      </text>
    </comment>
    <comment ref="C435" authorId="2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20/10/2016
</t>
        </r>
      </text>
    </comment>
    <comment ref="C438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 05/07
</t>
        </r>
      </text>
    </comment>
    <comment ref="C439" authorId="2">
      <text>
        <r>
          <rPr>
            <b/>
            <sz val="8"/>
            <color indexed="81"/>
            <rFont val="Tahoma"/>
            <family val="2"/>
          </rPr>
          <t>Chegou em 01/12/2015</t>
        </r>
      </text>
    </comment>
    <comment ref="C440" authorId="8">
      <text>
        <r>
          <rPr>
            <b/>
            <sz val="8"/>
            <color indexed="81"/>
            <rFont val="Tahoma"/>
            <family val="2"/>
          </rPr>
          <t>ENTRADA 
18/02/14</t>
        </r>
      </text>
    </comment>
    <comment ref="C446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22/12/2017
oriundo da CPHS</t>
        </r>
      </text>
    </comment>
    <comment ref="C447" authorId="2">
      <text>
        <r>
          <rPr>
            <b/>
            <sz val="8"/>
            <color indexed="81"/>
            <rFont val="Tahoma"/>
            <family val="2"/>
          </rPr>
          <t>24/11/2015
Hildebrando de Souza</t>
        </r>
      </text>
    </comment>
    <comment ref="C448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PIRAI DO SUL
</t>
        </r>
      </text>
    </comment>
    <comment ref="C449" authorId="7">
      <text>
        <r>
          <rPr>
            <b/>
            <sz val="8"/>
            <color indexed="81"/>
            <rFont val="Tahoma"/>
            <family val="2"/>
          </rPr>
          <t>SIQUEIRA CAMPOS-PR 17/06/2011
Art. 33</t>
        </r>
      </text>
    </comment>
    <comment ref="C453" authorId="1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HILDEBRANDO
28/03/2018</t>
        </r>
      </text>
    </comment>
    <comment ref="C455" authorId="2">
      <text>
        <r>
          <rPr>
            <b/>
            <sz val="8"/>
            <color indexed="81"/>
            <rFont val="Tahoma"/>
            <family val="2"/>
          </rPr>
          <t>Oriundos de Teixeira Soares em 27/08/2015, art. 217 estupro de vulnerável.</t>
        </r>
      </text>
    </comment>
    <comment ref="C456" authorId="2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HILDEBRANDO
20/10/2016</t>
        </r>
      </text>
    </comment>
    <comment ref="C461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
04/07/2017</t>
        </r>
      </text>
    </comment>
    <comment ref="C462" authorId="2">
      <text>
        <r>
          <rPr>
            <b/>
            <sz val="8"/>
            <color indexed="81"/>
            <rFont val="Tahoma"/>
            <family val="2"/>
          </rPr>
          <t>Oriundo de Castro em 08/09/2015, art. 33.</t>
        </r>
      </text>
    </comment>
    <comment ref="C463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HILDERBRANDO 05/07
</t>
        </r>
      </text>
    </comment>
    <comment ref="C467" authorId="1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CASTRO</t>
        </r>
      </text>
    </comment>
    <comment ref="C469" authorId="2">
      <text>
        <r>
          <rPr>
            <b/>
            <sz val="8"/>
            <color indexed="81"/>
            <rFont val="Tahoma"/>
            <family val="2"/>
          </rPr>
          <t>Oriundo da CPHS em 14/04.</t>
        </r>
      </text>
    </comment>
    <comment ref="C471" authorId="4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CCP 09/12/2016</t>
        </r>
      </text>
    </comment>
    <comment ref="C473" authorId="4">
      <text>
        <r>
          <rPr>
            <b/>
            <sz val="9"/>
            <color indexed="81"/>
            <rFont val="Tahoma"/>
            <family val="2"/>
          </rPr>
          <t>DINF:</t>
        </r>
        <r>
          <rPr>
            <sz val="9"/>
            <color indexed="81"/>
            <rFont val="Tahoma"/>
            <family val="2"/>
          </rPr>
          <t xml:space="preserve">
HILDEBRANDO
12/12/2016</t>
        </r>
      </text>
    </comment>
    <comment ref="C476" authorId="4">
      <text>
        <r>
          <rPr>
            <b/>
            <sz val="9"/>
            <color indexed="81"/>
            <rFont val="Tahoma"/>
            <family val="2"/>
          </rPr>
          <t xml:space="preserve">HILDEBRANDO
12/04/17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80" authorId="2">
      <text>
        <r>
          <rPr>
            <sz val="8"/>
            <color indexed="81"/>
            <rFont val="Tahoma"/>
            <family val="2"/>
          </rPr>
          <t>T. BORBA
13/05/2015</t>
        </r>
      </text>
    </comment>
    <comment ref="C488" authorId="5">
      <text>
        <r>
          <rPr>
            <b/>
            <sz val="9"/>
            <color indexed="81"/>
            <rFont val="Tahoma"/>
            <family val="2"/>
          </rPr>
          <t xml:space="preserve">CADEIA PUB. DE CASTRO - 11/09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89" authorId="5">
      <text>
        <r>
          <rPr>
            <b/>
            <sz val="9"/>
            <color indexed="81"/>
            <rFont val="Tahoma"/>
            <family val="2"/>
          </rPr>
          <t xml:space="preserve">CADEIA PUB. DE CASTRO - 11/09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91" authorId="5">
      <text>
        <r>
          <rPr>
            <b/>
            <sz val="9"/>
            <color indexed="81"/>
            <rFont val="Tahoma"/>
            <family val="2"/>
          </rPr>
          <t xml:space="preserve">CADEIA PUB. DE CASTRO - 11/09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98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CCP
06/02/2019
</t>
        </r>
      </text>
    </comment>
    <comment ref="C499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CCP
06/02/2019
</t>
        </r>
      </text>
    </comment>
    <comment ref="C500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HILDEBRANDO
27/02/2019</t>
        </r>
      </text>
    </comment>
    <comment ref="C502" authorId="1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castro
29/07/2018</t>
        </r>
      </text>
    </comment>
    <comment ref="C506" authorId="0">
      <text>
        <r>
          <rPr>
            <b/>
            <sz val="9"/>
            <color indexed="81"/>
            <rFont val="Segoe UI"/>
            <family val="2"/>
          </rPr>
          <t>MPHSPG - 09/07/19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509" authorId="1">
      <text>
        <r>
          <rPr>
            <b/>
            <sz val="9"/>
            <color indexed="81"/>
            <rFont val="Segoe UI"/>
            <family val="2"/>
          </rPr>
          <t>controle int:</t>
        </r>
        <r>
          <rPr>
            <sz val="9"/>
            <color indexed="81"/>
            <rFont val="Segoe UI"/>
            <family val="2"/>
          </rPr>
          <t xml:space="preserve">
CPHS 28/05/18
</t>
        </r>
      </text>
    </comment>
    <comment ref="C510" authorId="2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CADEIA DE JAGUARIAIVA
22/12/2015</t>
        </r>
      </text>
    </comment>
    <comment ref="C512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T. BORBA</t>
        </r>
      </text>
    </comment>
    <comment ref="C515" authorId="0">
      <text>
        <r>
          <rPr>
            <b/>
            <sz val="9"/>
            <color indexed="81"/>
            <rFont val="Segoe UI"/>
            <family val="2"/>
          </rPr>
          <t>Ilhaway-02:</t>
        </r>
        <r>
          <rPr>
            <sz val="9"/>
            <color indexed="81"/>
            <rFont val="Segoe UI"/>
            <family val="2"/>
          </rPr>
          <t xml:space="preserve">
Pirai do Sul
26/03/2019</t>
        </r>
      </text>
    </comment>
    <comment ref="C516" authorId="8">
      <text>
        <r>
          <rPr>
            <b/>
            <sz val="8"/>
            <color indexed="81"/>
            <rFont val="Tahoma"/>
            <family val="2"/>
          </rPr>
          <t>ORTIGUEIRA-PR
22/11/13 
Art. 157
35 anos</t>
        </r>
      </text>
    </comment>
    <comment ref="C517" authorId="7">
      <text>
        <r>
          <rPr>
            <sz val="8"/>
            <color indexed="81"/>
            <rFont val="Tahoma"/>
            <family val="2"/>
          </rPr>
          <t>Art 33</t>
        </r>
      </text>
    </comment>
    <comment ref="C519" authorId="7">
      <text>
        <r>
          <rPr>
            <sz val="8"/>
            <color indexed="81"/>
            <rFont val="Tahoma"/>
            <family val="2"/>
          </rPr>
          <t>HILDEBRANDO
30/05/2011
Art. 121, 211, 213, 157 e 69
31 anos e 24 d</t>
        </r>
      </text>
    </comment>
    <comment ref="C523" authorId="7">
      <text>
        <r>
          <rPr>
            <sz val="8"/>
            <color indexed="81"/>
            <rFont val="Tahoma"/>
            <family val="2"/>
          </rPr>
          <t>HILDEBRANDO
07/04/2011
Regressão
Art 129, 15 e 163,129,121
23 anos, 9m e 10d.</t>
        </r>
      </text>
    </comment>
    <comment ref="C524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CCP 30/08/2017
Permuta
DANILO VIEIRA CANDIDO</t>
        </r>
      </text>
    </comment>
    <comment ref="C525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T. BORBA</t>
        </r>
      </text>
    </comment>
    <comment ref="C526" authorId="3">
      <text>
        <r>
          <rPr>
            <b/>
            <sz val="9"/>
            <color indexed="81"/>
            <rFont val="Segoe UI"/>
            <family val="2"/>
          </rPr>
          <t>CI:</t>
        </r>
        <r>
          <rPr>
            <sz val="9"/>
            <color indexed="81"/>
            <rFont val="Segoe UI"/>
            <family val="2"/>
          </rPr>
          <t xml:space="preserve">
HILDEBRANDO
04/07/2017</t>
        </r>
      </text>
    </comment>
    <comment ref="C528" authorId="2">
      <text>
        <r>
          <rPr>
            <b/>
            <sz val="8"/>
            <color indexed="81"/>
            <rFont val="Tahoma"/>
            <family val="2"/>
          </rPr>
          <t>DIAF:</t>
        </r>
        <r>
          <rPr>
            <sz val="8"/>
            <color indexed="81"/>
            <rFont val="Tahoma"/>
            <family val="2"/>
          </rPr>
          <t xml:space="preserve">
CASTRO
19/09/2016</t>
        </r>
      </text>
    </comment>
  </commentList>
</comments>
</file>

<file path=xl/sharedStrings.xml><?xml version="1.0" encoding="utf-8"?>
<sst xmlns="http://schemas.openxmlformats.org/spreadsheetml/2006/main" count="9338" uniqueCount="3758">
  <si>
    <t>VALDINEI PEREZ</t>
  </si>
  <si>
    <t>TIAGO OLIVEIRA DOS SANTOS</t>
  </si>
  <si>
    <t>X</t>
  </si>
  <si>
    <t>EXTINÇÃO DE PENA</t>
  </si>
  <si>
    <t>SEBASTIÃO BONIFÁCIO</t>
  </si>
  <si>
    <t>LUIS JOSE NOGUEIRA DOS SANTOS</t>
  </si>
  <si>
    <t>MAURO MARTINS HOFFMANN</t>
  </si>
  <si>
    <t>PROGRESSÃO</t>
  </si>
  <si>
    <t>CARLOS ANDRE COSTA SILVEIRA</t>
  </si>
  <si>
    <t xml:space="preserve"> </t>
  </si>
  <si>
    <t>EZAQUEU MOREIRA DA LUZ</t>
  </si>
  <si>
    <t>PRONT.</t>
  </si>
  <si>
    <t>PRESO</t>
  </si>
  <si>
    <t>RONALDO ADRIANO DE OLIVEIRA</t>
  </si>
  <si>
    <t>VINICIUS GIORDANI DE FARIA</t>
  </si>
  <si>
    <t>PCE</t>
  </si>
  <si>
    <t>IVANOR CECILIO VEIGA DE MORAES</t>
  </si>
  <si>
    <r>
      <t xml:space="preserve">USAR HOSPITAL PARA </t>
    </r>
    <r>
      <rPr>
        <b/>
        <sz val="12"/>
        <color indexed="10"/>
        <rFont val="Arial Narrow"/>
        <family val="2"/>
      </rPr>
      <t>HOSPITAL</t>
    </r>
  </si>
  <si>
    <r>
      <t xml:space="preserve">USAR ESCOLTA PARA </t>
    </r>
    <r>
      <rPr>
        <b/>
        <sz val="12"/>
        <color indexed="10"/>
        <rFont val="Arial Narrow"/>
        <family val="2"/>
      </rPr>
      <t>ESCOLTA</t>
    </r>
  </si>
  <si>
    <r>
      <t xml:space="preserve">USAR CMP PARA </t>
    </r>
    <r>
      <rPr>
        <b/>
        <sz val="12"/>
        <color indexed="10"/>
        <rFont val="Arial Narrow"/>
        <family val="2"/>
      </rPr>
      <t>CMP</t>
    </r>
  </si>
  <si>
    <t>LUCIANO CHRISTOFORO</t>
  </si>
  <si>
    <t>JULIANO BARBOSA FERREIRA DOS SANTOS</t>
  </si>
  <si>
    <t>FELIPE ANTUNES</t>
  </si>
  <si>
    <t>ROGERIO RODRIGUES</t>
  </si>
  <si>
    <t>TIAGO ANTONIO PEREIRA</t>
  </si>
  <si>
    <t>COT</t>
  </si>
  <si>
    <t>TIAGO MOREIRA DA SILVA</t>
  </si>
  <si>
    <t>VACINIR APARECIDO DE CASTRO</t>
  </si>
  <si>
    <t>VALDECI LEMES PEREIRA</t>
  </si>
  <si>
    <t>VALDEMIR DA SILVA</t>
  </si>
  <si>
    <t>VALDOVINO GONÇALVES DA CRUZ FILHO</t>
  </si>
  <si>
    <t>VALERIO JOSE RODRIGUES</t>
  </si>
  <si>
    <t>VANDERLEI BUENO DE LIMA</t>
  </si>
  <si>
    <t>WILSON MARCOLINO</t>
  </si>
  <si>
    <t>FABIO CANDIDO DOS SANTOS</t>
  </si>
  <si>
    <t>VILMAR ANTONIO GONÇALVES</t>
  </si>
  <si>
    <t>DANIEL GONÇALVES DE FREITAS</t>
  </si>
  <si>
    <t>LUIZ CARLOS MARQUES DE ARRUDA</t>
  </si>
  <si>
    <t>MARCOS DE MOURA</t>
  </si>
  <si>
    <t>WILLIAN JONATHAN DE SOUZA</t>
  </si>
  <si>
    <t>WILLIAN SCHENEKENBERG</t>
  </si>
  <si>
    <t>WILLIANS DE PAULA CARVALHO</t>
  </si>
  <si>
    <t>WILSON DE JESUS GONÇALVES</t>
  </si>
  <si>
    <t>WILSON LUIZ DOS SANTOS ARAUJO</t>
  </si>
  <si>
    <t>ADACIR CANDIDO DA SILVA</t>
  </si>
  <si>
    <t>A 209</t>
  </si>
  <si>
    <t>ADEMAR PINHEIRO DA LUZ</t>
  </si>
  <si>
    <t>ADEMIR GOMES</t>
  </si>
  <si>
    <t>C 206</t>
  </si>
  <si>
    <t>MARCIO JOSE RIBEIRO</t>
  </si>
  <si>
    <t>ADIR RUSSI DE ANDRADE</t>
  </si>
  <si>
    <t>ALCEU CARVALHO MACEDO</t>
  </si>
  <si>
    <t>JOSE WANDERLEY PEREIRA DE MELO</t>
  </si>
  <si>
    <t xml:space="preserve">SEBASTIAO PEREIRA DOS SANTOS </t>
  </si>
  <si>
    <t>SERGIO DA SILVA PAIVA</t>
  </si>
  <si>
    <t>SERGIO FRANCISCO</t>
  </si>
  <si>
    <t>SIDNEI BANDELOW</t>
  </si>
  <si>
    <t>TEOFILO PELINSKI FILHO</t>
  </si>
  <si>
    <t>ADANILSON LINCON DE BARROS</t>
  </si>
  <si>
    <t>ALEXANDRE LUCIO DOS SANTOS</t>
  </si>
  <si>
    <t>IZAQUEL SANTOS DE SOUZA</t>
  </si>
  <si>
    <t>ALEXANDRE DE MELO</t>
  </si>
  <si>
    <t>CRAPG</t>
  </si>
  <si>
    <t>A 104</t>
  </si>
  <si>
    <t>ELOI FERNANDO CZEKALSKI</t>
  </si>
  <si>
    <t>MARCIO LUIZ CAMPOS ALVES</t>
  </si>
  <si>
    <t>DIRCEU GONÇALVES</t>
  </si>
  <si>
    <t>SANDRO RAFAEL TEIXEIRA</t>
  </si>
  <si>
    <t>FABIO DA SILVA MOREIRA</t>
  </si>
  <si>
    <t>OSNIVALDO CORRER</t>
  </si>
  <si>
    <t>ATHOS CHAGAS</t>
  </si>
  <si>
    <t>JOÃO SALVADOR DE LEMOS</t>
  </si>
  <si>
    <t>ANTONIO SALES DA SILVA</t>
  </si>
  <si>
    <t>VANDERLEI FERREIRA</t>
  </si>
  <si>
    <t>CDR LONDRINA</t>
  </si>
  <si>
    <t>CELSO LACERDA</t>
  </si>
  <si>
    <t>GABRIEL MENDES</t>
  </si>
  <si>
    <t>IN MEMORIAN</t>
  </si>
  <si>
    <t>ANTONIO MARCOS FERREIRA SOARES</t>
  </si>
  <si>
    <t>OSMARIO DE ASSIS BATISTA</t>
  </si>
  <si>
    <t>FERNANDO PEREIRA</t>
  </si>
  <si>
    <t>AMILTON PAES DE CAMARGO</t>
  </si>
  <si>
    <t>RONALDO FERREIRA</t>
  </si>
  <si>
    <t>PETERSON WILIAN PINTO</t>
  </si>
  <si>
    <t>MARCIO CLETER DE OLIVEIRA</t>
  </si>
  <si>
    <t>A 107</t>
  </si>
  <si>
    <t>CRISTIANO XAVIER DA COSTA</t>
  </si>
  <si>
    <t>WALLISON WILLIAN MENDES DO PRADO</t>
  </si>
  <si>
    <t>WAGNER DE OLIVEIRA</t>
  </si>
  <si>
    <t>LEONILDO FERNANDO SILVA DOS SANTOS</t>
  </si>
  <si>
    <t>SEVERO PEREIRA DA SILVA</t>
  </si>
  <si>
    <t>VALDEMIR DA SILVA CHAGAS</t>
  </si>
  <si>
    <t>GEANDRO TIERRE ANDRONIC</t>
  </si>
  <si>
    <t>ALESSANDRO MEIRA DOS SANTOS</t>
  </si>
  <si>
    <t>A 114</t>
  </si>
  <si>
    <t>SEVERINO DO RAMO NASCIMENTO</t>
  </si>
  <si>
    <t>CESAR ALVES PIRES</t>
  </si>
  <si>
    <t>EDIEL CESARIO DE OLIVEIRA</t>
  </si>
  <si>
    <t>ABERTO</t>
  </si>
  <si>
    <t>B 202</t>
  </si>
  <si>
    <t>AMAURI ROBERTO RAMOS JUNIOR</t>
  </si>
  <si>
    <t xml:space="preserve">ALEXANDRE AZEVEDO    </t>
  </si>
  <si>
    <t>A 105</t>
  </si>
  <si>
    <t>C 201</t>
  </si>
  <si>
    <t xml:space="preserve">ALEXSANDRO PIENTEK PINHEIRO    </t>
  </si>
  <si>
    <t>A 113</t>
  </si>
  <si>
    <t>ALEXSANDRO POLIDORO ROCHA</t>
  </si>
  <si>
    <t>ANDERSON APARECIDO DOS SANTOS</t>
  </si>
  <si>
    <t>FAXINA</t>
  </si>
  <si>
    <t>A 118</t>
  </si>
  <si>
    <t>LUIZ FERNANDO FLECKHAUS</t>
  </si>
  <si>
    <t>HILÁRIO DOS SANTOS</t>
  </si>
  <si>
    <t>DIEGO WILLIAN BARBOSA</t>
  </si>
  <si>
    <t>DIMI ROGER FERREIRA</t>
  </si>
  <si>
    <t>MARCELO RODRIGUES ASSUNÇÃO</t>
  </si>
  <si>
    <t>RENATO MALETZ</t>
  </si>
  <si>
    <t>MAURICIO JORGE BRENNER</t>
  </si>
  <si>
    <t>ROBERSOM CAVALHEIRO LABRES</t>
  </si>
  <si>
    <t>PEDRO ANTUNES SANTANA</t>
  </si>
  <si>
    <t>GILBERTO DA SILVA MIRANDA</t>
  </si>
  <si>
    <t>JO ALVES</t>
  </si>
  <si>
    <t>JESUS CHAMOU</t>
  </si>
  <si>
    <t>ROMULO MARTINS HOFFMANN</t>
  </si>
  <si>
    <t>MOISES DA SILVA CARVALHO</t>
  </si>
  <si>
    <t>TARIK IGON PAULINO NEIA</t>
  </si>
  <si>
    <t>ADRIEL WISNIESKI DOS SANTOS</t>
  </si>
  <si>
    <t>CCC</t>
  </si>
  <si>
    <t>BRUNO TRESKA</t>
  </si>
  <si>
    <t>EDSON DE OLIVEIRA CHAVES</t>
  </si>
  <si>
    <t>morto 12/07/2014</t>
  </si>
  <si>
    <t>WILLIAN FERNANDO DA CONCEIÇÃO INACIO</t>
  </si>
  <si>
    <t>JEFERSON GILBERTO DE OLIVEIRA</t>
  </si>
  <si>
    <t>GILMAR BUENO CORREA</t>
  </si>
  <si>
    <t>CLEVERSON PEREIRA DA CRUZ</t>
  </si>
  <si>
    <t>CARLOS HENRIQUE DAMASCENO DO JESUS</t>
  </si>
  <si>
    <t>JORGE VANDERLEI DOS SANTOS FILHO</t>
  </si>
  <si>
    <t>LEONARDO BERTASSONI DE OLIVEIRA</t>
  </si>
  <si>
    <t>LUIS CARLOS CARNEIRO</t>
  </si>
  <si>
    <t>DENILSON MARTINS DA SILVA</t>
  </si>
  <si>
    <t>JEAN CARLOS OLIVEIRA PINTO</t>
  </si>
  <si>
    <t>JOSEMIR NADAL JUNIOR</t>
  </si>
  <si>
    <t>VENILTON DOS SANTOS</t>
  </si>
  <si>
    <t>ELITO BERTO</t>
  </si>
  <si>
    <t>SANDRO SCHOBER</t>
  </si>
  <si>
    <t>GUDRIAN CRISTOPHER DE CAMARGO</t>
  </si>
  <si>
    <t>CLAUDIR DE MATOS CASTRO</t>
  </si>
  <si>
    <t>EDEMILSON LUIZ ALVES PEDROSO</t>
  </si>
  <si>
    <t>FAGNER FERREIRA</t>
  </si>
  <si>
    <t>JACKSON LUIS RODRIGUES DE LIMA</t>
  </si>
  <si>
    <t>JEFERSON LUIZ DE OLIVEIRA</t>
  </si>
  <si>
    <t>ANDRE LUIZ DE SOUZA</t>
  </si>
  <si>
    <t>JULIANO FOGAÇA DO NASCIMENTO</t>
  </si>
  <si>
    <t>MIGUEL CUNHA MACHADO</t>
  </si>
  <si>
    <t>ROBERTO FELDE</t>
  </si>
  <si>
    <t>OSMAR ALBUQUERQUE FREIRE</t>
  </si>
  <si>
    <t>ANTONIO PEREIRA DOS SANTOS</t>
  </si>
  <si>
    <t>IVO SUTIL DE ALMEIDA</t>
  </si>
  <si>
    <t>CARLOS CESAR DE PAULA</t>
  </si>
  <si>
    <t>ADILSON TEIXEIRA</t>
  </si>
  <si>
    <t>ODENIR ANTONIO GUADANIN</t>
  </si>
  <si>
    <t>AUGUSTO PEDROSO DOS SANTOS</t>
  </si>
  <si>
    <t>KADESH</t>
  </si>
  <si>
    <t>WESTERLEY EUZEBIO DE OLIVEIRA</t>
  </si>
  <si>
    <t>LUCAS ZANARDINI FAUSTINO</t>
  </si>
  <si>
    <t>PAULO SERGIO FERREIRA</t>
  </si>
  <si>
    <t>FABIO DE MATOS</t>
  </si>
  <si>
    <t>VANDERLEI ALVES DE GOIS</t>
  </si>
  <si>
    <t>JOAQUIM GALVÃO DE ÁVILA</t>
  </si>
  <si>
    <t>JOAO MARCIANO ALVES</t>
  </si>
  <si>
    <t>CARLOS ROBERTO DE OLIVEIRA</t>
  </si>
  <si>
    <t>A 101</t>
  </si>
  <si>
    <t>CELSO ADRIANO VIEIRA</t>
  </si>
  <si>
    <t>CESAR GERALDI DE SOUZA</t>
  </si>
  <si>
    <t>CHARLES FIELTS</t>
  </si>
  <si>
    <t>CLAUDINEI DOS SANTOS</t>
  </si>
  <si>
    <t>CLAUDIO ANDRE DA CRUZ</t>
  </si>
  <si>
    <t>RODRIGO SOARES DA SILVA</t>
  </si>
  <si>
    <t>ROSILDO MACHADO PEDROSO</t>
  </si>
  <si>
    <t>A 204</t>
  </si>
  <si>
    <t>CLEITON MARINHO DE LARA</t>
  </si>
  <si>
    <t>CLEVERSON ALBERTO BELS</t>
  </si>
  <si>
    <t>CLODOALDO ROBERTO PROCOPIO</t>
  </si>
  <si>
    <t>CLOVIS ANTONIO CORADIN</t>
  </si>
  <si>
    <t>GERALDO DJALMA RUBIM</t>
  </si>
  <si>
    <t>IVAN DANILO RIBEIRO DA ROCHA</t>
  </si>
  <si>
    <t>CRISTIAN MAGRINI</t>
  </si>
  <si>
    <t>DANIEL CRUZ</t>
  </si>
  <si>
    <t>secô o sabugo(02/11/14)</t>
  </si>
  <si>
    <t>BRUNO DA SILVA KIEL</t>
  </si>
  <si>
    <t>MAICON JUNIOR GASSO</t>
  </si>
  <si>
    <t>MARCIO ANTONIO PINHEIRO</t>
  </si>
  <si>
    <t>ADEMIR DA SILVA</t>
  </si>
  <si>
    <t>JAIR RIBEIRO DE OLIVEIRA</t>
  </si>
  <si>
    <t>FABIANO FANTONI DOS SANTOS</t>
  </si>
  <si>
    <t>DIMICLEY DA SIVA</t>
  </si>
  <si>
    <t>MAURI PEREIRA DA SILVA</t>
  </si>
  <si>
    <t>PAULO SERGIO CAMARGO</t>
  </si>
  <si>
    <t>VALDECIR PINHEIRO DE SOUZA</t>
  </si>
  <si>
    <t>SIDNEY LOPES LEITE</t>
  </si>
  <si>
    <t>ANDERSON DE ANDRADE</t>
  </si>
  <si>
    <t>ALVANDIR DE MELO</t>
  </si>
  <si>
    <t>CDP</t>
  </si>
  <si>
    <t>JOSE MARCELO SOARES</t>
  </si>
  <si>
    <t>SANDRO DA SILVA RAMOS</t>
  </si>
  <si>
    <t>ROBSON LUIS DOS SANTOS OLIVEIRA</t>
  </si>
  <si>
    <t>ALDERICO BARBOSA</t>
  </si>
  <si>
    <t>JOAO AGEU MARTINS DOS SANTOS</t>
  </si>
  <si>
    <t>ROSEL ANTONIO TEIXEIRA DOS SANTOS</t>
  </si>
  <si>
    <t>JACKSON MACIEL DOS SANTOS</t>
  </si>
  <si>
    <t>JOSE ADILSON VIDAL</t>
  </si>
  <si>
    <t>PAULO ROBERTO DA SILVA MOREIRA</t>
  </si>
  <si>
    <t>JURANDIR DE OLIVEIRA MORAES</t>
  </si>
  <si>
    <t>FRANCISCO RIBEIRO SANTANA</t>
  </si>
  <si>
    <t>JUAREZ KONINCK</t>
  </si>
  <si>
    <t>JOSE PROCHALSKI NETO</t>
  </si>
  <si>
    <t>TOTAL GERAL A</t>
  </si>
  <si>
    <t>TOTAL GERAL B</t>
  </si>
  <si>
    <t>TOTAL GERAL C</t>
  </si>
  <si>
    <t>CLAUDIO CONSUELO DOS SANTOS</t>
  </si>
  <si>
    <t>ADAO BATISTA</t>
  </si>
  <si>
    <t>WILSON ADEVIR GONÇALVES</t>
  </si>
  <si>
    <t>FIDELIS MACIEL DE OLIVEIRA</t>
  </si>
  <si>
    <t>GERALDO FERREIRA SILVINO</t>
  </si>
  <si>
    <t>EVERSON NUNES DE DEUS</t>
  </si>
  <si>
    <t>WILLIAN ACACIO FLORIANO VAZ</t>
  </si>
  <si>
    <t>ANDERSON CORDEIRO DE ARRUDA</t>
  </si>
  <si>
    <t>JOSUE CARLOS DOS SANTOS</t>
  </si>
  <si>
    <t>B 207</t>
  </si>
  <si>
    <t>RUBENS MARQUES DOS SANTOS</t>
  </si>
  <si>
    <t>ANDRE LUIS DE SOUZA</t>
  </si>
  <si>
    <t>VERIDIANO FRANCELINO DOS SANTOS</t>
  </si>
  <si>
    <t>MOISES SCHEIFER</t>
  </si>
  <si>
    <t>ALEXSANDRO FARIAS COSTA</t>
  </si>
  <si>
    <t>CLAUDINIR DOS SANTOS</t>
  </si>
  <si>
    <t>ELIZEU DOS ANJOS LIMA</t>
  </si>
  <si>
    <t>FABIANO SPONHOZ</t>
  </si>
  <si>
    <t>JOSE FERNANDO BATISTA BUENO</t>
  </si>
  <si>
    <t>SANDRO ROMERO LEITE</t>
  </si>
  <si>
    <t>LAVINIA / SP</t>
  </si>
  <si>
    <t>AMILTON CELSO POSSIDONIO</t>
  </si>
  <si>
    <t>RAFAEL HENRIQUE CHAVES</t>
  </si>
  <si>
    <t>LEANDRO MOREIRA TRINDADE</t>
  </si>
  <si>
    <t>DIEGO RIBEIRO GARCIA</t>
  </si>
  <si>
    <t>JOSE CARLO DE QUADROS</t>
  </si>
  <si>
    <t>SEBASTIÃO CARLITO SOARES</t>
  </si>
  <si>
    <t>RODRIGO ALVES</t>
  </si>
  <si>
    <t>ELEANDRO RODRIGUES DE SOUZA</t>
  </si>
  <si>
    <t>ELIZEU APRIGIO DA SILVA</t>
  </si>
  <si>
    <t>ALEX JOAO MATEUS DE CAMPOS</t>
  </si>
  <si>
    <t>ANDRE MAICON KREVELIN</t>
  </si>
  <si>
    <t>CURSO</t>
  </si>
  <si>
    <t>ANTONIO MARCIO PAES DE ALMEIDA</t>
  </si>
  <si>
    <t>CONTAGEM GALERIAS PEPG</t>
  </si>
  <si>
    <t>HOSPITAL</t>
  </si>
  <si>
    <t>TOTAL GERAL</t>
  </si>
  <si>
    <t>FABIO ALVES DE SOUZA</t>
  </si>
  <si>
    <t>CLAUDINEI RODRIGUES DOS SANTOS</t>
  </si>
  <si>
    <t>SANDRO SANTOS PIRES</t>
  </si>
  <si>
    <t>RODRIGO FERREIRA GOMES</t>
  </si>
  <si>
    <t>RAPHAEL THEODORO LEMES</t>
  </si>
  <si>
    <t>JESUEL RAMOS DOS SANTOS</t>
  </si>
  <si>
    <t>CARLOS DE OLIVEIRA ROSA</t>
  </si>
  <si>
    <t>OLEOSVALDO DE CARVALHO</t>
  </si>
  <si>
    <t>SANÇÃO</t>
  </si>
  <si>
    <t>KEILO RENAN DOS SANTOS</t>
  </si>
  <si>
    <t>VALDEVINO FERREIRA PEDROSO</t>
  </si>
  <si>
    <t>VALDECI KULEK</t>
  </si>
  <si>
    <t>ABEL FRANCISCO MARTINS</t>
  </si>
  <si>
    <t>DAVID PINHEIRO</t>
  </si>
  <si>
    <t>EMERSON LUIZ RODRIGUES DOS SANTOS</t>
  </si>
  <si>
    <t>CARLOS IZIDIO JUNIOR</t>
  </si>
  <si>
    <t>NILSO FERREIRA</t>
  </si>
  <si>
    <t>RONALDO DE FREITAS</t>
  </si>
  <si>
    <t>JOSE CARLOS DE MORAIS</t>
  </si>
  <si>
    <t>"+"  IN MEMORIAN (FOI-SE)</t>
  </si>
  <si>
    <t>RICARDO APARECIDO BATISTA</t>
  </si>
  <si>
    <t>FABIO FONSECA DOS SANTOS</t>
  </si>
  <si>
    <t>JAILTON OLIVIO BRONOSKI</t>
  </si>
  <si>
    <t>FERNANDO DE CASTRO LIBORIO</t>
  </si>
  <si>
    <t>LEONILDO LOURENÇO</t>
  </si>
  <si>
    <t>PEDRO PEREIRA DOS SANTOS</t>
  </si>
  <si>
    <t>RODRIGO DA SILVA</t>
  </si>
  <si>
    <t>JOSÉ CARLITO DE OLIVEIRA</t>
  </si>
  <si>
    <t xml:space="preserve">LUIZ CARLOS DOS SANTOS </t>
  </si>
  <si>
    <t>CLAUDIO CESAR PEREIRA</t>
  </si>
  <si>
    <t>ADRIANO PEDROSO GOMES</t>
  </si>
  <si>
    <t>RONALDO RIBEIRO DE LIMA</t>
  </si>
  <si>
    <t>JOSE CARLOS DA SILVA</t>
  </si>
  <si>
    <t>JOSE ROSNEI PEREIRA</t>
  </si>
  <si>
    <t>EDUARDO MESSIAS RENTZ</t>
  </si>
  <si>
    <t>MESSIAS ROCHA</t>
  </si>
  <si>
    <t>JEAN MARCELO BARBOSA</t>
  </si>
  <si>
    <t>JORGE LUIZ DOS SANTOS</t>
  </si>
  <si>
    <t>CLAUDIO LUIZ MARTINS PINTO</t>
  </si>
  <si>
    <r>
      <t>MARIO CESAR VALENTIM JUNIOR</t>
    </r>
    <r>
      <rPr>
        <b/>
        <sz val="10"/>
        <color indexed="10"/>
        <rFont val="Arial Narrow"/>
        <family val="2"/>
      </rPr>
      <t xml:space="preserve"> (Nuno)</t>
    </r>
  </si>
  <si>
    <t>LEANDRO RODRIGUES BISCAIA</t>
  </si>
  <si>
    <t>FLAVIO RICARDO DE FRANÇA</t>
  </si>
  <si>
    <t>TIAGO DE OLIVEIRA CHEPLUKI</t>
  </si>
  <si>
    <t>EDINALDO CARNEIRO LOPES</t>
  </si>
  <si>
    <t>CRISTIAN ROMERO FRANCISCO</t>
  </si>
  <si>
    <t>WILLIAN ROGER ESTEVES</t>
  </si>
  <si>
    <t>RICARDO VIEIRA BRANCO</t>
  </si>
  <si>
    <t>PAULO DO PRADO</t>
  </si>
  <si>
    <t>A 208</t>
  </si>
  <si>
    <t>ALTAIR TEIXEIRA PINTO</t>
  </si>
  <si>
    <t>JOARES OLIGARSKI PALAMAR</t>
  </si>
  <si>
    <t>TIAGO ALBERICHI</t>
  </si>
  <si>
    <t>IVAN ROBERSON MEREHT</t>
  </si>
  <si>
    <t>GELSON ALEXANDRE DA SILVA</t>
  </si>
  <si>
    <t xml:space="preserve">IVANDRO FERREIRA CORREA     </t>
  </si>
  <si>
    <t>IVANILDO DE JESUS</t>
  </si>
  <si>
    <t>PAULO SERGIO DE MELO</t>
  </si>
  <si>
    <t>CLAITON EZEQUIEL DA SILVA</t>
  </si>
  <si>
    <t>JOSE DONIZETI REBELO</t>
  </si>
  <si>
    <t>GILVAGNER BARBOSA</t>
  </si>
  <si>
    <t>VALDENIR LOPES DOS SANTOS</t>
  </si>
  <si>
    <t>KELVIN ALDAIR MARTINS</t>
  </si>
  <si>
    <t>ROBERSON EDUARDO BUENO PINHEIRO</t>
  </si>
  <si>
    <t>CLAUDIO VERSI CAMARGO</t>
  </si>
  <si>
    <t>JOSE RODRIGO DE OLIVEIRA FREITAS</t>
  </si>
  <si>
    <t xml:space="preserve">JOSE AMORIM PIRES  </t>
  </si>
  <si>
    <t>JOSE ARNILDO WON STEIN</t>
  </si>
  <si>
    <t>JOSE CARLOS DA ROCHA BUENO</t>
  </si>
  <si>
    <t>JOSE CARLOS JAQUES</t>
  </si>
  <si>
    <t>WITER BARBOSA DE OLIVEIRA</t>
  </si>
  <si>
    <t>ROBERSON QUADROS DE ANDRADE</t>
  </si>
  <si>
    <t xml:space="preserve">JACKSON RANTHUM     </t>
  </si>
  <si>
    <t xml:space="preserve">JAURI PUL </t>
  </si>
  <si>
    <t>ISRAEL SOUTO</t>
  </si>
  <si>
    <t>JEAN CARLOS CASTRO DOS SANTOS</t>
  </si>
  <si>
    <t>JEAN RICARDO MIARA</t>
  </si>
  <si>
    <t>JEFERSON DE CARVALHO</t>
  </si>
  <si>
    <t>JEFERSON EDENIR MARTINS</t>
  </si>
  <si>
    <t>JEFERSON LUIZ NUNES DA SILVA</t>
  </si>
  <si>
    <t>JEFERSON PAULO AMARANTE DE ARAUJO</t>
  </si>
  <si>
    <t>JEVERSON ALEXANDRE DA SILVA</t>
  </si>
  <si>
    <t>JOAO GILMAR CAMARGO</t>
  </si>
  <si>
    <t>JOAO MARIA NEUMANN</t>
  </si>
  <si>
    <t>JOAO RODRIGUES DOS SANTOS</t>
  </si>
  <si>
    <t>JOAO SILVERIO DA SILVA JUNIOR</t>
  </si>
  <si>
    <t>JOHNNY ARIEL DE OLIVEIRA FRANCO</t>
  </si>
  <si>
    <t>JONAS LOURENÇO PINTO</t>
  </si>
  <si>
    <t xml:space="preserve">JORGE DE ANDRADE </t>
  </si>
  <si>
    <t>LUAN AUGUSTO RODRIGUES RAMOS</t>
  </si>
  <si>
    <t>JONATHAN RAMOS DA SILVA</t>
  </si>
  <si>
    <t>DIEGO ALVES PEDROSO</t>
  </si>
  <si>
    <t>ALESSANDRO CARNEIRO</t>
  </si>
  <si>
    <t>MARCOS ROBERTO SCHULTZ</t>
  </si>
  <si>
    <t>ROSNEY JUNIO DE OLIVEIRA</t>
  </si>
  <si>
    <t>JOAO KUHN</t>
  </si>
  <si>
    <t>WILLIAN KOSINSKI</t>
  </si>
  <si>
    <t>CCP</t>
  </si>
  <si>
    <t>RONALDO RIBEIRO DA LUZ</t>
  </si>
  <si>
    <t>JOSE CARLOS DORIA</t>
  </si>
  <si>
    <t>THIAGO DE OLIVEIRA RODRIGUES</t>
  </si>
  <si>
    <t>ANTONIO GUEDES RODRIGUES</t>
  </si>
  <si>
    <t>LUCIVALDO MOLERO PEREIRA</t>
  </si>
  <si>
    <t>LUIS CARLOS ALVES MACHADO</t>
  </si>
  <si>
    <t>A 206</t>
  </si>
  <si>
    <t>LUIS CARLOS PEREIRA</t>
  </si>
  <si>
    <t>LUIS CARLOS SANTOS</t>
  </si>
  <si>
    <t>LUIS FABIANO DE OLIVEIRA DOMINGUES</t>
  </si>
  <si>
    <t>LUIS FAUSTINO XAVIER</t>
  </si>
  <si>
    <t>LUIZ CAMARGO CORREA</t>
  </si>
  <si>
    <t>LUIZ MANOEL VERNER</t>
  </si>
  <si>
    <t>LUTIER VIANA</t>
  </si>
  <si>
    <t>ALDIVIR DE OLIVEIRA</t>
  </si>
  <si>
    <t>DIEGO MARCELO MATHEUS DA LUZ</t>
  </si>
  <si>
    <t>MARCELO DIVINO CHOMA</t>
  </si>
  <si>
    <t>RICARDO ALEXANDRE DO CARMO</t>
  </si>
  <si>
    <t>NOME</t>
  </si>
  <si>
    <t>DESTINO</t>
  </si>
  <si>
    <t>DATA SAIDA</t>
  </si>
  <si>
    <t>BRUNO TEIXEIRA NOLASCO</t>
  </si>
  <si>
    <t>FRANCISCO DE OLIVEIRA E SILVA</t>
  </si>
  <si>
    <t>AGUINALDO DA SILVA</t>
  </si>
  <si>
    <t>JOSE ALTAIR DO NASCIMENTO</t>
  </si>
  <si>
    <t>OSWALDO MACIEL</t>
  </si>
  <si>
    <t>LEONIR TEODORO PEREIRA</t>
  </si>
  <si>
    <t>GILSON MARTINS CARDOSO</t>
  </si>
  <si>
    <t>JOSIAS APARECIDO DE MOURA</t>
  </si>
  <si>
    <t>PAULO DE OLIVEIRA DIAS</t>
  </si>
  <si>
    <t>RODRIGO DOS SANTOS SIQUEIRA</t>
  </si>
  <si>
    <t>IRONEU DOS SANTOS</t>
  </si>
  <si>
    <t>KAUEI LOPES</t>
  </si>
  <si>
    <t>WAGNER AUGUSTO CASTANHEIRA</t>
  </si>
  <si>
    <t>JELSON BORGES CORDEIRO</t>
  </si>
  <si>
    <t>LEONARDO DOS SANTOS MOREIRA</t>
  </si>
  <si>
    <t>MARCOS MAURICIO JUSCZAK</t>
  </si>
  <si>
    <t>MARCOS ROBERTO CORREIA DA LUZ</t>
  </si>
  <si>
    <t>MARIO BORGES LEITE</t>
  </si>
  <si>
    <t xml:space="preserve">MARIO JOSE CARVALHO </t>
  </si>
  <si>
    <t>MATEUS ANTONIO NAZARIO</t>
  </si>
  <si>
    <t>MAURI BATISTA DA SILVA</t>
  </si>
  <si>
    <t>MAURO CORREA LOURENÇO</t>
  </si>
  <si>
    <t>MICHAEL LUIZ GAUDENCIO</t>
  </si>
  <si>
    <t>ANDRE SILVEIRA CHINAIDER</t>
  </si>
  <si>
    <t xml:space="preserve">MIGUEL ALFREDO GONCALVES      </t>
  </si>
  <si>
    <t>MIGUEL DOS ANJOS</t>
  </si>
  <si>
    <t>EZEQUIEL PINTO MARTINS</t>
  </si>
  <si>
    <t>MIGUEL PINHEIRO DOS SANTOS</t>
  </si>
  <si>
    <t>SILVIO DOS SANTOS</t>
  </si>
  <si>
    <t>MILTON FERREIRA LEAL</t>
  </si>
  <si>
    <t>KLEITON JACKSON DA LUZ MARTINS KUREK</t>
  </si>
  <si>
    <t>DION LENON SÁ BRITO</t>
  </si>
  <si>
    <t>CELSO LUIZ DOS SANTOS</t>
  </si>
  <si>
    <t>MITSSUN GUSTAVO DE CARVALHO</t>
  </si>
  <si>
    <t>MAGNO FREDERICO GRZESZCZAK</t>
  </si>
  <si>
    <t>MARCELO DE FREITAS</t>
  </si>
  <si>
    <t>DEIVIDI ADEMIR MENDES DA SILVA</t>
  </si>
  <si>
    <t xml:space="preserve">MARCELO RAMOS CARVALHO </t>
  </si>
  <si>
    <t>MARCIO DE CARVALHO</t>
  </si>
  <si>
    <t>MARCIO FERREIRA</t>
  </si>
  <si>
    <t>MARCIO JOSE CAMARGO</t>
  </si>
  <si>
    <t>MARCIO JOSE DE OLIVEIRA</t>
  </si>
  <si>
    <t>PEP II</t>
  </si>
  <si>
    <t>MARCIO LOPES FERREIRA</t>
  </si>
  <si>
    <t>RAFAEL WAGNER DOS SANTOS</t>
  </si>
  <si>
    <t>MARCIO ROBERTO BRAZ</t>
  </si>
  <si>
    <t xml:space="preserve">MARCO AURELIO TABOR   </t>
  </si>
  <si>
    <t>MARCOS ACACIO NASCIMENTO</t>
  </si>
  <si>
    <t>MARCOS ANTONIO ALVES</t>
  </si>
  <si>
    <t>MARCOS ANTONIO KUBINSKI</t>
  </si>
  <si>
    <t>GLEBERSON RICARDO SANTOS</t>
  </si>
  <si>
    <t>THALIS WILLIAN DE RAMOS</t>
  </si>
  <si>
    <t>JAIR DE LIMA</t>
  </si>
  <si>
    <t>SERGIO PAULO VALENTIM</t>
  </si>
  <si>
    <t>FERNANDO DE OLIVEIRA LOPES</t>
  </si>
  <si>
    <t>WILLIAN MATEUS CARNEIRO FERREIRA</t>
  </si>
  <si>
    <t>WILLIAN CHAGAS MACHADO</t>
  </si>
  <si>
    <t>DOUGLAS NOGARE</t>
  </si>
  <si>
    <t>PEDRO VALDEMAR FERNANDES JUNIOR</t>
  </si>
  <si>
    <t>EXCEDENTE</t>
  </si>
  <si>
    <t>JOÃO ALFREDO GONÇALVES</t>
  </si>
  <si>
    <t>JULIANO CARVALHO DE SOUZA</t>
  </si>
  <si>
    <t>ESCOLA</t>
  </si>
  <si>
    <t>MARCOS AURELIO OPATA</t>
  </si>
  <si>
    <t>OLIVI ANGELO GANASOLI</t>
  </si>
  <si>
    <t>ROGERIO FRANCISCO GONÇALVES</t>
  </si>
  <si>
    <t>NELSON SANTANA</t>
  </si>
  <si>
    <t>NEWTON CARLOS DE ASSIS</t>
  </si>
  <si>
    <t>NOEL ALVES DA COSTA</t>
  </si>
  <si>
    <t>ODINEI DE ANDRADE</t>
  </si>
  <si>
    <t>ONEAS DE ALMEIDA</t>
  </si>
  <si>
    <t>OSEIAS BUENO</t>
  </si>
  <si>
    <t xml:space="preserve">OSNI DE JESUS DE ALMEIDA  </t>
  </si>
  <si>
    <t>JACKSON GONÇALVES DA CONCEIÇAO</t>
  </si>
  <si>
    <t>JULIANO LENON DOS REIS BATISTA</t>
  </si>
  <si>
    <t>SERGIO LUIS FERNANDES</t>
  </si>
  <si>
    <t>DIOVANE ANDRE DE SOUZA</t>
  </si>
  <si>
    <t>JOSE DE SOUZA</t>
  </si>
  <si>
    <t>DIEGO MARINS CARVALHO</t>
  </si>
  <si>
    <t>JOSE ZUBER SOBRINHO</t>
  </si>
  <si>
    <t>FABIANO MONTEIRO ANTUNES</t>
  </si>
  <si>
    <t>ELISON DE JESUS GOMES</t>
  </si>
  <si>
    <t>LINCOLN ANDRIEL FARIAS</t>
  </si>
  <si>
    <t>MAICON BATISTA</t>
  </si>
  <si>
    <t>SERGIO HENRIQUE MOCELIN</t>
  </si>
  <si>
    <t>VICENTE MARIA RIBEIRO</t>
  </si>
  <si>
    <t xml:space="preserve">VILMAR DOS SANTOS         </t>
  </si>
  <si>
    <t>WILLIAN SOARES DA SILVA</t>
  </si>
  <si>
    <t xml:space="preserve">ZACARIAS BATISTA DA SILVA    </t>
  </si>
  <si>
    <t>VANDERLEI CARLOS FERREIRA</t>
  </si>
  <si>
    <t>PAULO SELATCHEK</t>
  </si>
  <si>
    <t>ALEX DOS SANTOS</t>
  </si>
  <si>
    <t>RAMON GUILHERME DA SILVA</t>
  </si>
  <si>
    <t>NIVALDO DE JESUS VIEIRA</t>
  </si>
  <si>
    <t>ALDO LUIS DA SILVA</t>
  </si>
  <si>
    <t>SEBASTIAO MARCONDES PAES</t>
  </si>
  <si>
    <t>SEBASTIAO ROCHA DA SILVA</t>
  </si>
  <si>
    <t>ANTONIO VALDEVINO DE PAIVA</t>
  </si>
  <si>
    <t>MAYLSON DIEGO RIBAS DE PAULA</t>
  </si>
  <si>
    <t>VARDEMIL PEREIRA BATISTA</t>
  </si>
  <si>
    <t xml:space="preserve">ROBERTO SANTANA RAMOS </t>
  </si>
  <si>
    <t>GERSON VIGGIANO</t>
  </si>
  <si>
    <t>B 206</t>
  </si>
  <si>
    <t>ADILSON DA SILVA GALVÃO</t>
  </si>
  <si>
    <t>JOSE VALDIR DA SILVA</t>
  </si>
  <si>
    <t>CLEBER ALBERTO SERAFIM</t>
  </si>
  <si>
    <t>REGINALDO FELIX</t>
  </si>
  <si>
    <t>ALTHIERES GALDINO DOS SANTOS</t>
  </si>
  <si>
    <t>VALTER VALENTE DE FRANÇA</t>
  </si>
  <si>
    <t xml:space="preserve">VANDERLEI HASS </t>
  </si>
  <si>
    <t>VANDERSON BATISTA DA SILVA</t>
  </si>
  <si>
    <t>EDSON LUIS RODRIGUES CHAVES</t>
  </si>
  <si>
    <t>JAIME DA FONSECA</t>
  </si>
  <si>
    <t>JULIANO RODRIGUES DA SILVA</t>
  </si>
  <si>
    <t>EZEQUIEL COSTA JUNIOR</t>
  </si>
  <si>
    <t>GLESSEN RENAN DE LARA OLIVEIRA</t>
  </si>
  <si>
    <t>CLEVERSON PEREIRA DOS SANTOS</t>
  </si>
  <si>
    <t>ALBERTO GREIN</t>
  </si>
  <si>
    <t>EDGAR JORGE MENDES</t>
  </si>
  <si>
    <t>THIAGO HENRIQUE SABINO</t>
  </si>
  <si>
    <t>VANDERLEI DIEGO SIEIRO</t>
  </si>
  <si>
    <t>EDUARDO PUPO GOUVEIA</t>
  </si>
  <si>
    <t>CLEVERSON DE MORAES LACERDA</t>
  </si>
  <si>
    <t>JULIANO RAFAEL MIKIEWSKI</t>
  </si>
  <si>
    <t>RODRIGO FERNANDO CAVASSIM</t>
  </si>
  <si>
    <t>ERISSON FELIPE DA SILVA DE ALMEIDA</t>
  </si>
  <si>
    <t>MOACIR DE GODOI MARINS</t>
  </si>
  <si>
    <t>JOÃO CARLOS BATISTA FRANCO</t>
  </si>
  <si>
    <t>ANTONIO MARCELO PIRES</t>
  </si>
  <si>
    <t>JESIEL NUNES SZELETSKI</t>
  </si>
  <si>
    <t xml:space="preserve">ANDERSON FRANÇA DOS SANTOS   </t>
  </si>
  <si>
    <t>JOSLEY JUNIOR FERNANDES DE PAULA</t>
  </si>
  <si>
    <t>RODRIGO DOS SANTOS DE MOURA RIBAS</t>
  </si>
  <si>
    <t>RODRIGO DOS SANTOS</t>
  </si>
  <si>
    <t>MAURICIO CHRISTOFORO</t>
  </si>
  <si>
    <t>MARCOS VINICIUS SACH</t>
  </si>
  <si>
    <t>ROBERTO JOSUE DA SILVA PATENE</t>
  </si>
  <si>
    <t>JOSE CARLOS FERREIRA DOMINGUES</t>
  </si>
  <si>
    <t>EDNILSON SCHERPINSKI FERREIRA</t>
  </si>
  <si>
    <t>CLEITON DE MELLO</t>
  </si>
  <si>
    <t>NICANOR RODRIGUES MACHADO</t>
  </si>
  <si>
    <t>NORTO DESSELMANN</t>
  </si>
  <si>
    <t>JURANDIR MAÇANEIRO</t>
  </si>
  <si>
    <t>CRAPG GUARAPUAVA</t>
  </si>
  <si>
    <t>ADEMIR SOUZA DA SILVA</t>
  </si>
  <si>
    <t>ARGEU CARNEIRO RODRIGUES</t>
  </si>
  <si>
    <t>DINO CESAR DA SILVA</t>
  </si>
  <si>
    <t>EDSON AMADEU FERREIRA LIMA</t>
  </si>
  <si>
    <t>JULIANO CORREA</t>
  </si>
  <si>
    <t>JOSIMAR ALCEU MONTEIRO</t>
  </si>
  <si>
    <t>VANDERLEI RIBEIRO</t>
  </si>
  <si>
    <t>OSCAR DOS SANTOS</t>
  </si>
  <si>
    <t>PETERSON PERINOTTI DE RAMOS</t>
  </si>
  <si>
    <t xml:space="preserve">PAULO SERGIO OLIVEIRA </t>
  </si>
  <si>
    <t>JULIO CEZAR DOS SANTOS</t>
  </si>
  <si>
    <t>ARTHUR CORREA DE MELO FILHO</t>
  </si>
  <si>
    <t>MARCOS AURELIO LEITE</t>
  </si>
  <si>
    <t>VALDECIR OLIVEIRA SANTOS</t>
  </si>
  <si>
    <t>FABIO AUGUSTO BARRETO</t>
  </si>
  <si>
    <t>VANDERLEI MOREIRA</t>
  </si>
  <si>
    <t>WAGNER PEREIRA CLAUDIOLINO</t>
  </si>
  <si>
    <t>ALCEU GONÇALVES DE LIMA</t>
  </si>
  <si>
    <t>JOSE LAURINI FERREIRA DE ANDRADE</t>
  </si>
  <si>
    <t>ANTONIO CELIO BETIM DE OLIVEIRA</t>
  </si>
  <si>
    <t>SILVIO VICENTE PESKOVAS</t>
  </si>
  <si>
    <t>RIVALDO APARECIDO BATISTA</t>
  </si>
  <si>
    <t>CLEOCIO NERI DE OLIVEIRA</t>
  </si>
  <si>
    <t>SERGIO LUIZ ALVES DOS SANTOS</t>
  </si>
  <si>
    <t>DIRCEU COLMAN FILHO</t>
  </si>
  <si>
    <t>RAILSON RIBEIRO</t>
  </si>
  <si>
    <t>MARCELO DE JESUS ALVES</t>
  </si>
  <si>
    <t>FERNANDO BARBOSA DA SILVA</t>
  </si>
  <si>
    <t>LOURENÇO JOB DE OLIVEIRA</t>
  </si>
  <si>
    <t>CPA</t>
  </si>
  <si>
    <t>DANIEL CORDEIRO DE ARRUDA</t>
  </si>
  <si>
    <t>MARCIO ELIEZER JUST</t>
  </si>
  <si>
    <t>MAURO APARECIDO GONÇALVES DOS SANTOS</t>
  </si>
  <si>
    <t>CARLOS DOS SANTOS</t>
  </si>
  <si>
    <t>LOURIVAL JOSÉ DA LUZ</t>
  </si>
  <si>
    <t>TONY ROBSON DE LIMA</t>
  </si>
  <si>
    <t>JOSEPHER WILLIAN SOARES PEDROSO</t>
  </si>
  <si>
    <t>EZIQUIEL BATISTA DE FRANÇA</t>
  </si>
  <si>
    <t>MARIOZAN MENDES</t>
  </si>
  <si>
    <t>JOSE LUIZ DOS SANTOS</t>
  </si>
  <si>
    <t>JEAN ADALBERTO LOPES</t>
  </si>
  <si>
    <t>THIAGO SCHUEROFF PATRICIO</t>
  </si>
  <si>
    <t>DERCIO CHAGAS</t>
  </si>
  <si>
    <t>RAFAEL COELHO</t>
  </si>
  <si>
    <t>JULIO CESAR LOPES DA SILVA</t>
  </si>
  <si>
    <t>ARIELSON DA SILVA MACHADO</t>
  </si>
  <si>
    <t>NILTON CESAR FERREIRA PEDROSO</t>
  </si>
  <si>
    <t>LEANDRO DA SILVA</t>
  </si>
  <si>
    <t>JOSNEY FRANÇA DE MATOS</t>
  </si>
  <si>
    <t>DALVAN OLIARSKI</t>
  </si>
  <si>
    <t>VALDEVINO TEIXEIRA</t>
  </si>
  <si>
    <t>RONOILSON CHAGAS DOS SANTOS</t>
  </si>
  <si>
    <r>
      <t xml:space="preserve">IRIOMAR ZAMBILO </t>
    </r>
    <r>
      <rPr>
        <b/>
        <sz val="10"/>
        <color indexed="10"/>
        <rFont val="Arial Narrow"/>
        <family val="2"/>
      </rPr>
      <t>(Grilo)</t>
    </r>
  </si>
  <si>
    <t>ACIR DOMINGUES DOS SANTOS</t>
  </si>
  <si>
    <t>KIT</t>
  </si>
  <si>
    <t>IZAEL MARTINS DE ALMEIDA</t>
  </si>
  <si>
    <t>ERIEL RODRIGUES GONÇALVES</t>
  </si>
  <si>
    <t xml:space="preserve">FERNANDO RODRIGUES TEODORO </t>
  </si>
  <si>
    <t>VINICIUS BORGES CRISSI</t>
  </si>
  <si>
    <t xml:space="preserve">ANTONIO MARCOS KREMER  </t>
  </si>
  <si>
    <t>ODILON FERNANDO HILGEMBERG</t>
  </si>
  <si>
    <t>B 209</t>
  </si>
  <si>
    <t>ANTONIO MARCOS MOREIRA PADILHA</t>
  </si>
  <si>
    <t>ANTONIO MARCOS RODRIGUES</t>
  </si>
  <si>
    <t>EDERSON LUIZ RUGENSKI</t>
  </si>
  <si>
    <t>MARCELO PINHEIRO PIRES</t>
  </si>
  <si>
    <t>TIAGO CARDOSO RODRIGUES</t>
  </si>
  <si>
    <t>JOHN LENON PALMAS</t>
  </si>
  <si>
    <t>ERITON JOSE DA SILVA</t>
  </si>
  <si>
    <t>ANTONIO PEREIRA DA SILVA FILHO</t>
  </si>
  <si>
    <t>APARECIDO FERREIRA</t>
  </si>
  <si>
    <t>ARISTEU APARECIDO PONTES</t>
  </si>
  <si>
    <t>AROLDO VALDEVINO GOMES</t>
  </si>
  <si>
    <t>CARLOS CESAR RODRIGUES DE SOUZA</t>
  </si>
  <si>
    <t>CARLOS FABIANO PAES DE ALMEIDA</t>
  </si>
  <si>
    <t>CARLOS JOSE SIEBRE DE OLIVEIRA</t>
  </si>
  <si>
    <t>CELSO FERREIRA RAMOS</t>
  </si>
  <si>
    <t>CELSO RODRIGUES DE OLIVEIRA</t>
  </si>
  <si>
    <t>CIDERLEI DE OLIVEIRA MIRANDA</t>
  </si>
  <si>
    <t>CIRIACO FERREIRA DOS SANTOS</t>
  </si>
  <si>
    <t>B 205</t>
  </si>
  <si>
    <t>JURANDIR ALVES DA CUNHA FILHO</t>
  </si>
  <si>
    <t>JOVAIL DO PRADO</t>
  </si>
  <si>
    <t>VALDEVINO BUENO DOS SANTOS</t>
  </si>
  <si>
    <t>ISAIAS RIBEIRO</t>
  </si>
  <si>
    <t>PAULO AUGUSTO DE SOUZA</t>
  </si>
  <si>
    <t>CMP</t>
  </si>
  <si>
    <t>HELIO DE JESUS OLIVEIRA</t>
  </si>
  <si>
    <t>JOAO BATISTA DE MELO</t>
  </si>
  <si>
    <t>IZIDIO CARLOS</t>
  </si>
  <si>
    <t>JULIO CESAR SAMPAIO JUNIOR</t>
  </si>
  <si>
    <t>SILVIO PAIZANI BARCZCZ</t>
  </si>
  <si>
    <t>RODRIGO MORAES DA SILVA</t>
  </si>
  <si>
    <t>EDERSON LUIZ DA SILVA</t>
  </si>
  <si>
    <t>SILAS DE MORAIS NETO</t>
  </si>
  <si>
    <t>LUIZ FERNANDO SILVA</t>
  </si>
  <si>
    <t>RENATO GERMANO DOS SANTOS</t>
  </si>
  <si>
    <t>MARCELO HENRIQUE SCHIREINER</t>
  </si>
  <si>
    <t>JULIANO SANDAKA</t>
  </si>
  <si>
    <t>JOAO MARIO FREITAS DOS SANTOS</t>
  </si>
  <si>
    <t xml:space="preserve">PEL II </t>
  </si>
  <si>
    <t>JOÃO RICARDO DOS SANTOS</t>
  </si>
  <si>
    <t>MARCIO DA SILVA</t>
  </si>
  <si>
    <t>27.052</t>
  </si>
  <si>
    <t>JOSNEI LIMA FERREIRA</t>
  </si>
  <si>
    <t>JOSE RIBERTI GONÇALVES</t>
  </si>
  <si>
    <t>REGINALDO APARECIDO CAMARGO</t>
  </si>
  <si>
    <t>CLEBERTON APARECIDO MAÇANEIRO DA SILVA</t>
  </si>
  <si>
    <t>JULIANO FREITAS DOS SANTOS</t>
  </si>
  <si>
    <t>JEAN CARLOS DE OLIVEIRA</t>
  </si>
  <si>
    <t>THIAGO FELIPE OLIVEIRA</t>
  </si>
  <si>
    <t>WILLIAN EDUARDO STARKE</t>
  </si>
  <si>
    <t>ABEL GETULIO DE OLIVEIRA</t>
  </si>
  <si>
    <t>A 115</t>
  </si>
  <si>
    <t>MARCIO DUBIELA</t>
  </si>
  <si>
    <t xml:space="preserve">RODRIGO RODRIGUES DA CRUZ </t>
  </si>
  <si>
    <t>JACKSON FERREIRA DE OLIVEIRA</t>
  </si>
  <si>
    <t>CDR (PIRAQUARA)</t>
  </si>
  <si>
    <t>DEVONSIR DAMAZIO</t>
  </si>
  <si>
    <t>LUCAS APARECIDO FERREIRA</t>
  </si>
  <si>
    <t>ROBERTO CARLOS IANS MACHADO</t>
  </si>
  <si>
    <t>JOAO SCHEIFFER NETO</t>
  </si>
  <si>
    <t>ADAN SCHLOSSER</t>
  </si>
  <si>
    <t>EDNALDO CARNEIRO DE ARAUJO</t>
  </si>
  <si>
    <t>EDNEI MOREIRA MOTA</t>
  </si>
  <si>
    <t>EDNILSON DE ANDRADE</t>
  </si>
  <si>
    <t>EDNILSON SILVA</t>
  </si>
  <si>
    <t>EDSON DE LIMA</t>
  </si>
  <si>
    <t>EDSON RODRIGUES</t>
  </si>
  <si>
    <t>DIACNO RODRIGUES DE SOUZA</t>
  </si>
  <si>
    <t>ABEL LIMA DE SOUZA</t>
  </si>
  <si>
    <t>JEFERSON LUIZ DA ROSA MACIEL</t>
  </si>
  <si>
    <t>ELIEBER HENRIQUE SCHULTZ</t>
  </si>
  <si>
    <t xml:space="preserve">ELMO APARECIDO MARCONDES  </t>
  </si>
  <si>
    <t>EMERSON LUIS RODRIGUES DOS SANTOS</t>
  </si>
  <si>
    <t>EVERTON CARNEIRO ALVES</t>
  </si>
  <si>
    <t>FABIANO DE SOUZA DOS APOSTOLOS</t>
  </si>
  <si>
    <t>FABIANO GLINSKI</t>
  </si>
  <si>
    <t>CLEVERSON ALEXANDRE DA SILVA</t>
  </si>
  <si>
    <t>FABIO APARECIDO LOPES</t>
  </si>
  <si>
    <t>FABIO DANIEL DA SILVA</t>
  </si>
  <si>
    <t>FABIO JUNIOR DE LARA</t>
  </si>
  <si>
    <t>FABIO JUNIOR DOS SANTOS</t>
  </si>
  <si>
    <t>FERNANDO DA SILVA SANTOS</t>
  </si>
  <si>
    <t>GILBERTO PEDRO DE OLIVEIRA</t>
  </si>
  <si>
    <t>GIVANILDO LUCIANO CAMARGO</t>
  </si>
  <si>
    <t>GUMERCINDO JUNIOR DOS SANTOS</t>
  </si>
  <si>
    <t>ROBSON LUIZ GLASS</t>
  </si>
  <si>
    <t>HELIO GUIMARÃES MACHADO</t>
  </si>
  <si>
    <t>HUGO COELHO DE MORAIS</t>
  </si>
  <si>
    <t>IDEMAR MAHL RODRIGUES</t>
  </si>
  <si>
    <t>JACOB MARCIANO KOZAN</t>
  </si>
  <si>
    <t>JAIME DIAS</t>
  </si>
  <si>
    <t>JAIR ALEXANDRE DA SILVA</t>
  </si>
  <si>
    <t>VALDINEY GONÇALVES</t>
  </si>
  <si>
    <t xml:space="preserve">JOAO ADEMIR DE SOUZA         </t>
  </si>
  <si>
    <t>MARCOS AUGUSTO FELIX</t>
  </si>
  <si>
    <t>EDNILSON JESUS DE ALMEIDA</t>
  </si>
  <si>
    <t>MARCELO ACRENDE</t>
  </si>
  <si>
    <t>A 109</t>
  </si>
  <si>
    <t>NEWTON MELLO</t>
  </si>
  <si>
    <t>GILMAR HARTMANN</t>
  </si>
  <si>
    <t xml:space="preserve">JOSUEL FERREIRA LOPES       </t>
  </si>
  <si>
    <t>RONALDO PEREIRA DA LUZ</t>
  </si>
  <si>
    <t>RODRIGO RODRIGUES</t>
  </si>
  <si>
    <t>LOURIVAL SEMBARSKI</t>
  </si>
  <si>
    <t>RICARDO DA SILVEIRA</t>
  </si>
  <si>
    <t>CRISTIAN DE MELLO TOBIAS</t>
  </si>
  <si>
    <t>AGLACIR BATISTA</t>
  </si>
  <si>
    <t>MANOEL LAURINDO NETO</t>
  </si>
  <si>
    <t>ROBERTO CAVALHEIRO</t>
  </si>
  <si>
    <t>LUIZ FERNANDO DA COSTA</t>
  </si>
  <si>
    <t>JOAO ARILDO GUEDES DE CARVALHO</t>
  </si>
  <si>
    <t>LUCIANO DE JESUS PEDROSO</t>
  </si>
  <si>
    <t>MIGUEL ALVES RIBEIRO</t>
  </si>
  <si>
    <t>PAULO SERGIO DA SILVA</t>
  </si>
  <si>
    <t>EMERSOM BARBOSA DA SILVA</t>
  </si>
  <si>
    <t>ELEANDRO TOMAZ DE MIRANDA</t>
  </si>
  <si>
    <t>JOSÉ ADEMIR DE SOUZA</t>
  </si>
  <si>
    <t>RICARDO CESAR GOMES PADILHA</t>
  </si>
  <si>
    <t>RICARDO ANTUNES DOS SANTOS</t>
  </si>
  <si>
    <t>LEANDRO BORGES DA CONCEIÇÃO</t>
  </si>
  <si>
    <t>TIAGO DE OLIVEIRA</t>
  </si>
  <si>
    <t>ANTONIO MARCOS MERCER</t>
  </si>
  <si>
    <t>B 213</t>
  </si>
  <si>
    <t>JULIANO LOPES PEREIRA</t>
  </si>
  <si>
    <t>MARLON AUGUSTO RODRIGUES</t>
  </si>
  <si>
    <t>A 106</t>
  </si>
  <si>
    <t>JEAN CARLOS RODRIGUES DOS SANTOS</t>
  </si>
  <si>
    <t>JOSE AMILTON VIEIRA</t>
  </si>
  <si>
    <t>WESLEY FERNANDO DA SILVA</t>
  </si>
  <si>
    <t>VANDERLEI FILISBINO</t>
  </si>
  <si>
    <t>RICARDO GABRIEL</t>
  </si>
  <si>
    <t>JOSE RODRIGUES DE SOUZA</t>
  </si>
  <si>
    <t>MARCO ANTONIO DA SILVA</t>
  </si>
  <si>
    <t>MAURILIO ROSA NETO</t>
  </si>
  <si>
    <t>MARCOS ASSUMPÇÃO TAQUES</t>
  </si>
  <si>
    <t>ALAN ALBERTO FERREIRA</t>
  </si>
  <si>
    <t>B 214</t>
  </si>
  <si>
    <t>B 217</t>
  </si>
  <si>
    <t>JULIANO ALVES DA MAIAR MIOTTO</t>
  </si>
  <si>
    <t>JULIO CESAR CARNEIRO</t>
  </si>
  <si>
    <t>JURANDIR FERNANDES DOS SANTOS</t>
  </si>
  <si>
    <t>JURANDIR RODRIGUES DE SOUZA</t>
  </si>
  <si>
    <t>JURANDIR SANTANA</t>
  </si>
  <si>
    <t>MIGUEL NUNES PEREIRA</t>
  </si>
  <si>
    <t>DUCIVAL DE JESUS ROSA</t>
  </si>
  <si>
    <t>CARLOS MARLON POHL</t>
  </si>
  <si>
    <t>ANTONIO MARIO CAVAGNARI</t>
  </si>
  <si>
    <t>LEOCADIO ADEMAR DOS SANTOS</t>
  </si>
  <si>
    <t>JOSE AUGUSTO PEREIRA DA SILVA</t>
  </si>
  <si>
    <t>MIGUEL FRANCO FERREIRA</t>
  </si>
  <si>
    <t>MORREU!</t>
  </si>
  <si>
    <t>RONI CESAR DE ALMEIDA SEBERINO</t>
  </si>
  <si>
    <t>ADAO PEPE</t>
  </si>
  <si>
    <t>JUAREZ JOSE DA SILVA</t>
  </si>
  <si>
    <t>VILSON LUIS DE LIMA</t>
  </si>
  <si>
    <t>MARCOS ANTONIO SIQUEIRA</t>
  </si>
  <si>
    <t>VALDECI BRIANO</t>
  </si>
  <si>
    <t>JOEL MUNIZ BARRETO</t>
  </si>
  <si>
    <t>WALNEI EUZEBIO DE OLIVEIRA</t>
  </si>
  <si>
    <t>ADAILDO LASKOSKI</t>
  </si>
  <si>
    <t>CARLOS ALBERTO SIMÃO</t>
  </si>
  <si>
    <t>MARIO CEZAR DA SILVA</t>
  </si>
  <si>
    <t>ADRIANO CESAR LOPES</t>
  </si>
  <si>
    <t>EGNALDO SILVA ROSSI</t>
  </si>
  <si>
    <t>CASTORINO BANKS</t>
  </si>
  <si>
    <t>THIAGO OLIVEIRA DOS SANTOS</t>
  </si>
  <si>
    <t>JOSE DIRCEU DA SILVA</t>
  </si>
  <si>
    <t>LEANDRO LUCENTE BATISTA</t>
  </si>
  <si>
    <t>AFONSO NEPOMOCENO MUCHINSKI</t>
  </si>
  <si>
    <t>JULIANO DA SILVA MACHADO</t>
  </si>
  <si>
    <t>JOSE APARECIDO PEDROSO</t>
  </si>
  <si>
    <t>ELOIR SANTANA DA LUZ</t>
  </si>
  <si>
    <t>BINITUS JOMAR CARVALHO</t>
  </si>
  <si>
    <t>LUIS ANTONIO HORTIMAN</t>
  </si>
  <si>
    <t>ADRIANO NUNES RIBEIRO</t>
  </si>
  <si>
    <t>LEANDRO AUGUSTO DAHNE DE OLIVEIRA</t>
  </si>
  <si>
    <t>IVANIR DOS ANJOS FERREIRA</t>
  </si>
  <si>
    <t>JOAO EDUARDO FABIAN</t>
  </si>
  <si>
    <t>MORTO</t>
  </si>
  <si>
    <t>ADÃO RODRIGUES</t>
  </si>
  <si>
    <t>KLEBERSON MACHADO DA LUZ</t>
  </si>
  <si>
    <t>MARCOS CRISTOVÃO</t>
  </si>
  <si>
    <t>MARCOS ELIZANDRO DE OLIVEIRA</t>
  </si>
  <si>
    <t>MARCOS JOSE DOS SANTOS</t>
  </si>
  <si>
    <t>MARCOS PIRES DE ALMEIDA</t>
  </si>
  <si>
    <t>MARCOS SANTANA DE SOUZA</t>
  </si>
  <si>
    <t>MAURI VIEIRA</t>
  </si>
  <si>
    <t>MAURICIO JOSE MARTINS</t>
  </si>
  <si>
    <t>MAURO CESAR HARTMANN</t>
  </si>
  <si>
    <t>MAURO PEREIRA CAMPOS</t>
  </si>
  <si>
    <t>MIGUEL ALESSANDRO LOPES DA LUZ</t>
  </si>
  <si>
    <t>MARCOS ANTONIO MANDU</t>
  </si>
  <si>
    <t>MARCOS SEBASTIAO VASCO</t>
  </si>
  <si>
    <t>MIGUEL LUIS DE LIMA</t>
  </si>
  <si>
    <t>NILSON PEDROSO DE OLIVEIRA</t>
  </si>
  <si>
    <t>NILTON DA SILVA MALAQUIAS</t>
  </si>
  <si>
    <t>QUINTINO MONTEIRO</t>
  </si>
  <si>
    <t>AMARILDO DE OLIVEIRA</t>
  </si>
  <si>
    <t>JONATHAN ALFREDO BARROS</t>
  </si>
  <si>
    <t>PAULO ROBSON DE MOURA RIBAS</t>
  </si>
  <si>
    <t>JULIANO CARDOSO</t>
  </si>
  <si>
    <t>MAURICIO ANTUNES</t>
  </si>
  <si>
    <t>ISAEL EDUARDO DOS SANTOS</t>
  </si>
  <si>
    <t xml:space="preserve">MAIKO JECKSON DE SOUZA </t>
  </si>
  <si>
    <t>ISAIAS FERREIRA DA COSTA</t>
  </si>
  <si>
    <t>CARLOS ALBERTO GONÇALVES LEMES</t>
  </si>
  <si>
    <t>JOAO PAULO GARCIA</t>
  </si>
  <si>
    <t>LUIS EDUARDO CAMARGO MENDES</t>
  </si>
  <si>
    <t>ODENI DE JESUS GALETO</t>
  </si>
  <si>
    <t>ALTAIR RODRIGUES</t>
  </si>
  <si>
    <t>ANTONIO ROMILDO CAMARGO DE OLIVEIRA</t>
  </si>
  <si>
    <t>CLEVERSON DA SILVA MAGALHÃES</t>
  </si>
  <si>
    <t>ANTONIO LUIZ MARCONATO</t>
  </si>
  <si>
    <t>UNIDADE</t>
  </si>
  <si>
    <t>NOME DO DETENTO</t>
  </si>
  <si>
    <t>MARCOS DE LIMA CARDOSO</t>
  </si>
  <si>
    <t>EDERSON LUIZ CHAGAS</t>
  </si>
  <si>
    <t>AMARAL BATISTA DE OLIVEIRA</t>
  </si>
  <si>
    <t>ANTONIO EDVAN DA SILVA SANTOS</t>
  </si>
  <si>
    <t>ANDERSON MAINARDES</t>
  </si>
  <si>
    <t>DOMICILIAR</t>
  </si>
  <si>
    <t>MARCIO ADRIANO STOCCO</t>
  </si>
  <si>
    <t>JEFERSON LOURENÇO FOGAÇA DE ALMEIDA</t>
  </si>
  <si>
    <t>CIDMAR DA SILVA</t>
  </si>
  <si>
    <t>OSEAS DE ALMEIDA</t>
  </si>
  <si>
    <t>CLAUDINEI SILVEIRA</t>
  </si>
  <si>
    <t>LUIS CARLOS PORTELA DE MEDEIROS</t>
  </si>
  <si>
    <t>ADILSON LUIZ MANGGER</t>
  </si>
  <si>
    <t>EMERSON RODRIGO NUNES DE MORAIS SARAIVA</t>
  </si>
  <si>
    <t>SERGIO LUIZ DA SILVA FERREIRA</t>
  </si>
  <si>
    <t>MARLLON SANTI GOMES DE RAMOS</t>
  </si>
  <si>
    <t>DIVANSIR MACHADO RIBAS</t>
  </si>
  <si>
    <t>MAIKON RODRIGUES DE CARVALHO</t>
  </si>
  <si>
    <t>SETOR</t>
  </si>
  <si>
    <t>MARCIO COSTA MIRANDA</t>
  </si>
  <si>
    <t>JOSE ISMAIL ANTUNES</t>
  </si>
  <si>
    <t>VALDECI DIAS DA SILVA</t>
  </si>
  <si>
    <t>PATRICK EDUARDO BOTELHO CORDEIRO</t>
  </si>
  <si>
    <t>LUIZ GERALDO BELINA</t>
  </si>
  <si>
    <t>BERNARDINO FREITAS DA SILVA</t>
  </si>
  <si>
    <t>BRAZILIO CORDEIRO</t>
  </si>
  <si>
    <t>VALDECIR DA SILVA SILVEIRA</t>
  </si>
  <si>
    <t>TIAGO HENRIQUE GONÇALVES</t>
  </si>
  <si>
    <t>LEANDRO ARAUJO DA SILVA</t>
  </si>
  <si>
    <t>CEZAR APARECIDO DE BIASSIO</t>
  </si>
  <si>
    <t>CARLOS ALBERTO DE OLIVEIRA</t>
  </si>
  <si>
    <t>ANDERSON PAES DE CAMARGO</t>
  </si>
  <si>
    <t>HELTON RUIZ BATISTA DOS SANTOS</t>
  </si>
  <si>
    <t>WAGNER EDIVALDO FERREIRA</t>
  </si>
  <si>
    <t>JOSNEI RODRIGUES DE OLIVEIRA</t>
  </si>
  <si>
    <t>DINOEL MOREIRA POLI</t>
  </si>
  <si>
    <t>GERALDO JANDIR DE FONTOURA</t>
  </si>
  <si>
    <t>OSNI DE JESUS ALMEIDA</t>
  </si>
  <si>
    <t>CARLOS ALBERTO PEDROSO</t>
  </si>
  <si>
    <t>RENATO SIMEÃO RODRIGUES</t>
  </si>
  <si>
    <t>A 210</t>
  </si>
  <si>
    <t>ALEXANDRE GODOI</t>
  </si>
  <si>
    <t>WILSON MACHADO DE OLIVEIRA</t>
  </si>
  <si>
    <t>EMERSON LUIS BECHER</t>
  </si>
  <si>
    <t>EDMILCO SEBASTIAO DE LIMA</t>
  </si>
  <si>
    <t>JOÃO LUIS GONÇALVES DA ROSA</t>
  </si>
  <si>
    <t>ALESSANDRO ARIMATEIA GONÇALVES</t>
  </si>
  <si>
    <t>EDSON LUIS LEMES DE ANDRADE</t>
  </si>
  <si>
    <t>AZEVIR ROQUE BATISTEL</t>
  </si>
  <si>
    <t>JOÃO CARLOS SINTRA</t>
  </si>
  <si>
    <t>SILVANO PALHANO</t>
  </si>
  <si>
    <t>ELIELSON GOMES DE SÁ</t>
  </si>
  <si>
    <t>PIG</t>
  </si>
  <si>
    <t>ADRIANO AUGUSTO RIBEIRO</t>
  </si>
  <si>
    <t>CLEBERSON DA SILVA PACHECO</t>
  </si>
  <si>
    <t>pé na cova</t>
  </si>
  <si>
    <t>TERCIO JULIANO DOS SANTOS</t>
  </si>
  <si>
    <t>ADAO CARLOS MACHADO DA SILVA</t>
  </si>
  <si>
    <t>EVERTON CLAYTON DE OLIVEIRA</t>
  </si>
  <si>
    <t>VITOR DA SILVA</t>
  </si>
  <si>
    <t>LUIZ CARLOS SOUZA</t>
  </si>
  <si>
    <t>CLEBIO FERREIRA DA SILVA</t>
  </si>
  <si>
    <t>CARLOS ANTONIO DOMINGUES</t>
  </si>
  <si>
    <t>JACKSON RICARDO ENES DOS SANTOS</t>
  </si>
  <si>
    <t>ANDERSON MOLLA</t>
  </si>
  <si>
    <t>B 113</t>
  </si>
  <si>
    <t>EDSON LUIZ LEMES DE ANDRADE</t>
  </si>
  <si>
    <t>ELISEU RODRIGUES MARCONDES</t>
  </si>
  <si>
    <t>GUARACY DA LUZ FERREIRA</t>
  </si>
  <si>
    <t>DIEGO EZEQUIEL DOS SANTOS</t>
  </si>
  <si>
    <t>JOSE CARLOS DE CARVALHO</t>
  </si>
  <si>
    <t>ANDERSON PEDRO SIQUEIRA</t>
  </si>
  <si>
    <t>ANDERSON SCHULTZ</t>
  </si>
  <si>
    <t>B 201</t>
  </si>
  <si>
    <t>ANTONIO APARECIDO MIRANDA</t>
  </si>
  <si>
    <t>ANTONIO CASTORINO ROSA</t>
  </si>
  <si>
    <t>B 103</t>
  </si>
  <si>
    <t>A 117</t>
  </si>
  <si>
    <t>ANTONIO MARCOS DE SOUZA PANTALEÃO</t>
  </si>
  <si>
    <t>A 108</t>
  </si>
  <si>
    <t>FABRICIO APARECIDO TETERICZ</t>
  </si>
  <si>
    <t xml:space="preserve">ANTONIO RENATO DOS SANTOS </t>
  </si>
  <si>
    <t>ARGEU RODRIGUES DE OLIVEIRA</t>
  </si>
  <si>
    <t>A 102</t>
  </si>
  <si>
    <t>B 101</t>
  </si>
  <si>
    <t xml:space="preserve">AZIZ MIGUEL HAGGEN NETO  </t>
  </si>
  <si>
    <t>VALDEMIR ANTONIO DE MATOS CASTRO</t>
  </si>
  <si>
    <t>BENTO ADEMIR SILVA</t>
  </si>
  <si>
    <t>ORACI ANTONIO ALVES</t>
  </si>
  <si>
    <t>RAFAEL ROBSON BENETT</t>
  </si>
  <si>
    <t>JULIANO MASCARENHAS ROSA</t>
  </si>
  <si>
    <t>ADILSON MERETT CAMPOS</t>
  </si>
  <si>
    <t>JOSÉ JOAQUIM TEIXEIRA FILHO</t>
  </si>
  <si>
    <t>EDMILSON KLOSTER FELISBINO</t>
  </si>
  <si>
    <t>RODRIGO CARNEIRO VARGAS</t>
  </si>
  <si>
    <t>DAVID MARTINS DOS SANTOS</t>
  </si>
  <si>
    <t>MOISES EVANGELISTA DOS SANTOS</t>
  </si>
  <si>
    <t>ELIAS RIBEIRO DOS SANTOS</t>
  </si>
  <si>
    <t>C 207</t>
  </si>
  <si>
    <t>EDUARDO DA SILVA COSTA</t>
  </si>
  <si>
    <t>EDUARDO MALETZ</t>
  </si>
  <si>
    <t>ELISANDRO SOARES</t>
  </si>
  <si>
    <t>ELISEU MATOS DA SILVA</t>
  </si>
  <si>
    <t>EMERSON CARNEIRO ALVES</t>
  </si>
  <si>
    <t>A 116</t>
  </si>
  <si>
    <t>ENEAS DE MOURA RIBAS</t>
  </si>
  <si>
    <t xml:space="preserve">ERICO HERMES LUIS  </t>
  </si>
  <si>
    <t>ERIEL COELHO</t>
  </si>
  <si>
    <t>B 208</t>
  </si>
  <si>
    <t>VALDEMIR DA SILVA GUIMARÃES</t>
  </si>
  <si>
    <t>REGINALDO FERNANDES DE OLIVEIRA</t>
  </si>
  <si>
    <t>MAX ENEIAS LOPES CORREIA</t>
  </si>
  <si>
    <t>TIAGO AGUINALDO DE ASSIS ALESSI</t>
  </si>
  <si>
    <t>MARCOS AUGUSTO GRITTEN</t>
  </si>
  <si>
    <t>MARLON FELIPE DOS SANTOS</t>
  </si>
  <si>
    <t>JULIO CESAR FERREIRA DE JESUS</t>
  </si>
  <si>
    <t>MIGUEL ANGELO LINZING</t>
  </si>
  <si>
    <t>TIAGO PRESTES BRAGA DE PAULA</t>
  </si>
  <si>
    <t>LUIZ CARLOS DE PAIVA</t>
  </si>
  <si>
    <t>JOSIEL PIRES</t>
  </si>
  <si>
    <t>REGINALDO DIAS MACHADO</t>
  </si>
  <si>
    <t>PEDRO MORILLO VIGIL</t>
  </si>
  <si>
    <t>PAULO FERREIRA LUIZ</t>
  </si>
  <si>
    <t>LEONIR DE JESUS DA SILVA</t>
  </si>
  <si>
    <t>JOSIAS MOURA DA SILVA</t>
  </si>
  <si>
    <t>JOSE FRANCISCO NETO</t>
  </si>
  <si>
    <t>OSVALDO ROSA DOS SANTOS</t>
  </si>
  <si>
    <t>JULIO DO CARMO DE MELO</t>
  </si>
  <si>
    <t>FLAVIO PEREIRA</t>
  </si>
  <si>
    <t>JAMIL REVELINO</t>
  </si>
  <si>
    <t>VALDINEI APARECIDO REVELLIM</t>
  </si>
  <si>
    <t>PEDRO VITKOSKI JUNIOR</t>
  </si>
  <si>
    <t>JOSILDO APARECIDO DE LIMA</t>
  </si>
  <si>
    <t>ANTONIO FERREIRA DOS SANTOS</t>
  </si>
  <si>
    <t>ODINIR EURIDES</t>
  </si>
  <si>
    <t>ANDERSON DOS SANTOS SILVA</t>
  </si>
  <si>
    <t>MARCIO DARCI BUENO</t>
  </si>
  <si>
    <t>EUGENIO HENRIQUE DOS SANTOS</t>
  </si>
  <si>
    <t>EVANDRO FERREIRA ALFERES</t>
  </si>
  <si>
    <t xml:space="preserve">EVERALDO DE LARA   </t>
  </si>
  <si>
    <t xml:space="preserve">EZEQUIEL OLIVEIRA DOS SANTOS </t>
  </si>
  <si>
    <t>FABIANO ALVES DA MAIAR MOTTO</t>
  </si>
  <si>
    <t>FABIANO PERINOTTI DE RAMOS</t>
  </si>
  <si>
    <t>FABIO LOPES DE SOUZA JUSEK</t>
  </si>
  <si>
    <t>ALEX DOS SANTOS PINHEIRO</t>
  </si>
  <si>
    <t>CARLOS LEANDRO FARAGO BITTAR</t>
  </si>
  <si>
    <t xml:space="preserve">DARCI MARIA DOS SANTOS     </t>
  </si>
  <si>
    <t xml:space="preserve">DAVID NASCIMENTO </t>
  </si>
  <si>
    <t>DIEGO RODRIGUES DOS SANTOS</t>
  </si>
  <si>
    <t xml:space="preserve">DINAENES CARNEIRO DA SILVA </t>
  </si>
  <si>
    <t>B 204</t>
  </si>
  <si>
    <t>DINORI GONÇALVES DE LARA</t>
  </si>
  <si>
    <t>DIONEI RICARDO YANSEN</t>
  </si>
  <si>
    <t>DIRCEU BARBOSA</t>
  </si>
  <si>
    <t>DJANER BERNARDO DE OLIVEIRA</t>
  </si>
  <si>
    <t>EDIVALDO SOARES DA SILVA</t>
  </si>
  <si>
    <t>EDNILSON DE OLIVEIRA</t>
  </si>
  <si>
    <t>EDNILSON RODRIGUES SOARES</t>
  </si>
  <si>
    <t>EDSON DONIZETE DA SILVA</t>
  </si>
  <si>
    <t xml:space="preserve">EDSON LUIZ BUCOSKI         </t>
  </si>
  <si>
    <t>RODINALDO DE JESUS DOBKE</t>
  </si>
  <si>
    <t>ADNILSON ANTUNES FOGAÇA</t>
  </si>
  <si>
    <t>CARLOS ALBERTO MORAES</t>
  </si>
  <si>
    <t>IGOR GOMES MATEUS</t>
  </si>
  <si>
    <t>VALDECIR FERREIRA MENDES</t>
  </si>
  <si>
    <t>OSMAIR FERREIRA</t>
  </si>
  <si>
    <t>CARLOS MOURA DOS SANTOS</t>
  </si>
  <si>
    <t>IVONEI CLARO DOS SANTOS</t>
  </si>
  <si>
    <t>IVAN ANCELMO PIJANOWSKI</t>
  </si>
  <si>
    <t>OSMAIR ALVES DE LIMA</t>
  </si>
  <si>
    <t>LEANDRO RODOLFO KOPP</t>
  </si>
  <si>
    <t>ANTONINHO MENDES</t>
  </si>
  <si>
    <t>WILLIAN FERNANDO DE MATOS PEREIRA</t>
  </si>
  <si>
    <t>ADILSON AVELAR</t>
  </si>
  <si>
    <t>VALDINEI DE OLIVEIRA</t>
  </si>
  <si>
    <t>ZAQUEU DOS SANTOS</t>
  </si>
  <si>
    <t>JOSE ADEMIR SCHIMIT</t>
  </si>
  <si>
    <t>ALTAMIR RODRIGUES</t>
  </si>
  <si>
    <t>JOSE IZAIAS KOTSKI</t>
  </si>
  <si>
    <t>PAULO ANDRE DE ALMEIDA</t>
  </si>
  <si>
    <t>EDINALDO DOS SANTOS MENDES</t>
  </si>
  <si>
    <t>MARCOS FERREIRA</t>
  </si>
  <si>
    <t>MAURO CEZAR MARIANO DA SILVA</t>
  </si>
  <si>
    <t>LUCIANO FERREIRA DA SILVA</t>
  </si>
  <si>
    <t>JOSE CARLOS DA LUZ</t>
  </si>
  <si>
    <t>IVANEREI DIAS</t>
  </si>
  <si>
    <t>ANDERSON LIRMANN ANTUNES</t>
  </si>
  <si>
    <t>SILVANO DE LIMA</t>
  </si>
  <si>
    <t>JOAO CARLOS DE ASSIS DA COSTA</t>
  </si>
  <si>
    <t>TIAGO TIZONE</t>
  </si>
  <si>
    <t>EDEGAR FERNANDES</t>
  </si>
  <si>
    <t>ADRIAN DIOGENES RAMOS</t>
  </si>
  <si>
    <t>JOAO CARLOS CARVALHO</t>
  </si>
  <si>
    <t>ERIVELTON BORGES</t>
  </si>
  <si>
    <t>EDEMILCO SEBASTIAO DE LIMA</t>
  </si>
  <si>
    <t>JOAO MARIA RAIMUNDO</t>
  </si>
  <si>
    <t>JOAO MARIA VICENTE BARBOSA</t>
  </si>
  <si>
    <t>EDSON ALEXANDRE GALVAO</t>
  </si>
  <si>
    <t>JOAO CARLOS CAMARGO</t>
  </si>
  <si>
    <t>JOÃO MARIA RODRIGUES DAS NEVES</t>
  </si>
  <si>
    <t>ALESSANDRO EUZEBIO DE OLIVEIRA</t>
  </si>
  <si>
    <t>MARCELO DA LUZ MARTINS</t>
  </si>
  <si>
    <t>FABIO FERREIRA DA SILVA</t>
  </si>
  <si>
    <t>VALDEMIR DA CONCEICAO</t>
  </si>
  <si>
    <t>LINEU DOS SANTOS</t>
  </si>
  <si>
    <t>ADAO SIDNEI FERNANDES</t>
  </si>
  <si>
    <t>JOAO DOMINGUES DA ROCHA</t>
  </si>
  <si>
    <t>CELSO MIRANDA DA SILVA</t>
  </si>
  <si>
    <t>PRISÃO DOMICILIAR</t>
  </si>
  <si>
    <t>MAYCON PEREIRA BARBOSA</t>
  </si>
  <si>
    <t>GEDEAO DE ALMEIDA LOPES</t>
  </si>
  <si>
    <t>ALEX JUNIOR DE OLIVEIRA</t>
  </si>
  <si>
    <t>JOSE MARTINS DE FARIAS NETO</t>
  </si>
  <si>
    <t>DIONATAN BRANDT DE ATAIDE</t>
  </si>
  <si>
    <t>CLEITON DE JESUS COBESKI</t>
  </si>
  <si>
    <t>TIAGO DE GOIS</t>
  </si>
  <si>
    <t>CARLOS RAFAEL FERREIRA</t>
  </si>
  <si>
    <t>CHASTINE JOSE  FURTADO  NOBRE</t>
  </si>
  <si>
    <t>ELIEZER DE ANDRADE</t>
  </si>
  <si>
    <t>PAULO HENRIQUE DE OLIVEIRA</t>
  </si>
  <si>
    <t>JULIO CESAR DE RAMOS</t>
  </si>
  <si>
    <t>VANDRO KRASNHAK</t>
  </si>
  <si>
    <t>JOEL MENDES</t>
  </si>
  <si>
    <t>MIGUEL DOLCI</t>
  </si>
  <si>
    <t>EDVALDO BISPO DOS SANTOS</t>
  </si>
  <si>
    <t>JOCIEL DA LUZ</t>
  </si>
  <si>
    <t>LUIZ MARIO CARVALHO GARCEZ</t>
  </si>
  <si>
    <t>MOACIR RIBAS</t>
  </si>
  <si>
    <t>ALESSANDRO DA SILVA</t>
  </si>
  <si>
    <t>EDER DE ALMEIDA</t>
  </si>
  <si>
    <t>ANDERSON RIBEIRO FERNANDES MESSIAS</t>
  </si>
  <si>
    <t>DIEGO GILBERTO FERREIRA</t>
  </si>
  <si>
    <t>GUATAÇARA DE OLIVEIRA</t>
  </si>
  <si>
    <t>JÁ FOI  !!!! MORREU</t>
  </si>
  <si>
    <t>GILBERTO NUNES DA SILVEIRA</t>
  </si>
  <si>
    <t>GILMAR APARECIDO RIBEIRO</t>
  </si>
  <si>
    <t>GILMAR SCHULTZ</t>
  </si>
  <si>
    <t>ILDEMAR SILVEIRA JUNIOR</t>
  </si>
  <si>
    <t>ISAIAS GOIS</t>
  </si>
  <si>
    <t>TRANSFERIDO</t>
  </si>
  <si>
    <t>ALEX JUNIO DE MOURA</t>
  </si>
  <si>
    <t>ANDRE LUIZ FERNANDES MARTINS EGAS</t>
  </si>
  <si>
    <t>FABIO AURELIO FERREIRA</t>
  </si>
  <si>
    <t>FABRICIO ROBERTO MARTINS</t>
  </si>
  <si>
    <t>JONATHAN AILTON VIEIRA</t>
  </si>
  <si>
    <t>MARLON FABIANO FERREIRA</t>
  </si>
  <si>
    <t>MARCIO TIAGO PATEK</t>
  </si>
  <si>
    <t>ROBERSON DIEGO DOS SANTOS</t>
  </si>
  <si>
    <t>ALISSON RULIAN BERTASSONI</t>
  </si>
  <si>
    <t>RODRIGO VENANCIO PEREIRA CHAVES</t>
  </si>
  <si>
    <t>RODRIGO RODRIGUES DA CRUZ</t>
  </si>
  <si>
    <t>WILLIAN ROCHA VAZ</t>
  </si>
  <si>
    <t>MARCOS LUCIANO ROMANOWSKI</t>
  </si>
  <si>
    <t>CARLOS ALESSANDRO DAVIDOSKI SARAIVA</t>
  </si>
  <si>
    <t>CLAUDEMIR CANDIDO DE OLIVEIRA</t>
  </si>
  <si>
    <t>FELIPE SEBASTIÃO JUNIOR</t>
  </si>
  <si>
    <t>2ª</t>
  </si>
  <si>
    <t>RODRIGO NABOSNY</t>
  </si>
  <si>
    <t>ADRI DE JESUS CORDEIRO</t>
  </si>
  <si>
    <t>3ª</t>
  </si>
  <si>
    <t>5ª</t>
  </si>
  <si>
    <t>6ª</t>
  </si>
  <si>
    <t>JOSE CARLOS CARVALHO</t>
  </si>
  <si>
    <t>JOELCIO JACOB LIMA</t>
  </si>
  <si>
    <t>ISMAEL SAMPIETRO DE OLIVEIRA</t>
  </si>
  <si>
    <t>LUCIVANIO DOS PASSOS SILVA</t>
  </si>
  <si>
    <t>B 102</t>
  </si>
  <si>
    <t xml:space="preserve">ISRAEL FERREIRA LOBO        </t>
  </si>
  <si>
    <t>JESIEL NASCIMENTO</t>
  </si>
  <si>
    <t>TRANSF. FOZ</t>
  </si>
  <si>
    <t>SILSO VIEIRA SIMÃO</t>
  </si>
  <si>
    <t>SAMUEL DA CRUZ WEISS</t>
  </si>
  <si>
    <t>JOSIAS NATAL DE JESUS</t>
  </si>
  <si>
    <t>JOSIEL DE ALMEIDA ROSA</t>
  </si>
  <si>
    <t>ELITON RODRIGO DA SILVA</t>
  </si>
  <si>
    <t>GILDO JOSE DE DEUS</t>
  </si>
  <si>
    <t xml:space="preserve">JOSNEI APARECIDO BORGES </t>
  </si>
  <si>
    <t>JOSUEL PEREIRA DOS SANTOS</t>
  </si>
  <si>
    <t xml:space="preserve">JULIO RODRIGO DOS SANTOS        </t>
  </si>
  <si>
    <t>JULIO TIAGO FERREIRA</t>
  </si>
  <si>
    <t xml:space="preserve">JUNIOR CESAR TIMOTEO KROMINSKI  </t>
  </si>
  <si>
    <t>LAURI FAUSTINO XAVIER</t>
  </si>
  <si>
    <t xml:space="preserve">LAURO DE JESUS RIBEIRO </t>
  </si>
  <si>
    <t>LAURO RODRIGUES DE PAULA</t>
  </si>
  <si>
    <t>LEONEL FERREIRA DE LIMA</t>
  </si>
  <si>
    <t>LISANDRO KULCHESKI</t>
  </si>
  <si>
    <t>A 110</t>
  </si>
  <si>
    <t>JEAN RODRIGUES DE ANDRADE</t>
  </si>
  <si>
    <t>EMERSON SOARES BUENO FERREIRA DIAS DA LUZ</t>
  </si>
  <si>
    <t>CLODOALDO RIBEIRO</t>
  </si>
  <si>
    <t>JOSNEI RAMOS</t>
  </si>
  <si>
    <t>AMAURI ROZARIO</t>
  </si>
  <si>
    <t>JOAO ANGELO RIBEIRO</t>
  </si>
  <si>
    <t>JOAO MOREIRA</t>
  </si>
  <si>
    <t>ADRIANO ROBERTO BRANCO</t>
  </si>
  <si>
    <t>JOSE DELLA TORRES</t>
  </si>
  <si>
    <t>JOSE FRANCISCO DRIDES</t>
  </si>
  <si>
    <t>JOSE JUAREZ BATISTA DE PAULA</t>
  </si>
  <si>
    <t>JOSE MALETZ</t>
  </si>
  <si>
    <t>REGINALDO LUIZ DE ALMEIDA</t>
  </si>
  <si>
    <t>DORNELIO DE OLIVEIRA RAMOS</t>
  </si>
  <si>
    <t>SEBASTIÃO ARI DE MEIRA</t>
  </si>
  <si>
    <t>MAURI SOARES DA SILVA</t>
  </si>
  <si>
    <t>HENRIQUE ESTANISLAU RIBEIRO</t>
  </si>
  <si>
    <t>PAULO ROBERTO ERAT</t>
  </si>
  <si>
    <t>LUIDI BARBOSA CAMPOS</t>
  </si>
  <si>
    <t>OSEIAS BORGES DOS SANTOS</t>
  </si>
  <si>
    <t>ARI FERREIRA MAINARDES</t>
  </si>
  <si>
    <t xml:space="preserve">JOSE VANDERLEI SPRADA        </t>
  </si>
  <si>
    <t>WELLINGTON DIEGO KRIK</t>
  </si>
  <si>
    <t>WILLIAN FRANCISCO GONÇALVES DA SILVA</t>
  </si>
  <si>
    <t>WALDEMIR DINIZ</t>
  </si>
  <si>
    <t>WALDIR MOTTA DA SILVA</t>
  </si>
  <si>
    <t>VANIR FERREIRA DE LIMA</t>
  </si>
  <si>
    <t>VINICIUS TIAGO FLORIANO</t>
  </si>
  <si>
    <t>VALDINEI MOREIRA</t>
  </si>
  <si>
    <t>SEBASTIAO DE ALMEIDA ROSA</t>
  </si>
  <si>
    <t>FLAVIO ALBERTO SALAZAR DA SILVEIRA JUNIOR</t>
  </si>
  <si>
    <t>EMERSON CHACARSKI</t>
  </si>
  <si>
    <t>WASCHINGTON ALEIXO CARVALHO</t>
  </si>
  <si>
    <t>JOÃO JEFERSON INACIO</t>
  </si>
  <si>
    <t>ANDRE LUIZ FIDELIS DE CAMPOS</t>
  </si>
  <si>
    <t>ARLINDO KRINK FILHO</t>
  </si>
  <si>
    <t>JOHN LENON MACHADO DOS PASSOS</t>
  </si>
  <si>
    <t>VALTER LUIZ SERAFIM DA SILVA</t>
  </si>
  <si>
    <t>JEFERSON MAURO NUNES DA SIQUEIRA</t>
  </si>
  <si>
    <t>JORGE AUGUSTO PEREIRA GREGOSKI</t>
  </si>
  <si>
    <t>PAULO SERGIO MACHADO</t>
  </si>
  <si>
    <t>JUNIOR ALVES DA SILVA</t>
  </si>
  <si>
    <t>ERICK BOAVENTURA DE SOUZA</t>
  </si>
  <si>
    <t>NILSON CARVALHO SIQUEIRA</t>
  </si>
  <si>
    <t xml:space="preserve">LUCIANO DA SILVA </t>
  </si>
  <si>
    <t>LUCIANO DE JESUS PEREIRA</t>
  </si>
  <si>
    <t>CELIO TEIXEIRA PINTO</t>
  </si>
  <si>
    <t>JEFERSON DA SILVA</t>
  </si>
  <si>
    <t xml:space="preserve">LUCIANO PEDROSO DA SILVA   </t>
  </si>
  <si>
    <t>LUCINEI MIGUEL SERAFIM</t>
  </si>
  <si>
    <t xml:space="preserve">OSVALDO GONÇALVES DA ROSA </t>
  </si>
  <si>
    <t>OSVALDO THIAGO DUTRA ALECRIM</t>
  </si>
  <si>
    <t>PABLO RODRIGO STOCKLER</t>
  </si>
  <si>
    <t>PATRICK ELIAS PORTELLA GONÇALVES</t>
  </si>
  <si>
    <t xml:space="preserve">PAULO CESAR RIBEIRO      </t>
  </si>
  <si>
    <t>PAULO DE JESUS RIBEIRO</t>
  </si>
  <si>
    <t>PAULO HENRIQUE CHIARO</t>
  </si>
  <si>
    <t>PAULO IVAN DE QUADROS</t>
  </si>
  <si>
    <t>PAULO ROBERTO ROCHA</t>
  </si>
  <si>
    <t>MARCOS JOSE DE MACEDO</t>
  </si>
  <si>
    <t>AMARILDO RODRIGUES DA SILVA</t>
  </si>
  <si>
    <t>JULIO CESAR MACHADO</t>
  </si>
  <si>
    <t>JOÃO PEDRO MANDU</t>
  </si>
  <si>
    <t>JOSE FELIX BRITO DOS SANTOS</t>
  </si>
  <si>
    <t>PEPG</t>
  </si>
  <si>
    <t>DAVI FREITAS DOS SANTOS E JOAO MARIO DE FREITAS</t>
  </si>
  <si>
    <t xml:space="preserve">TABERTON BRUNO CORREIA VICENTE </t>
  </si>
  <si>
    <t>CRISTOPHER ALEXANDRE AURELIANO DOS SANTOS</t>
  </si>
  <si>
    <t>TRIAGENS</t>
  </si>
  <si>
    <t>SENDO</t>
  </si>
  <si>
    <r>
      <t xml:space="preserve">EM </t>
    </r>
    <r>
      <rPr>
        <b/>
        <sz val="12"/>
        <color indexed="10"/>
        <rFont val="Arial"/>
        <family val="2"/>
      </rPr>
      <t>SANÇÃO</t>
    </r>
  </si>
  <si>
    <t>MORTO (JÁ ÉRA)</t>
  </si>
  <si>
    <t>MAYCON CEZAR BARRADAS</t>
  </si>
  <si>
    <t>ORLEI JOSE DOS CAMPOS</t>
  </si>
  <si>
    <t>GALERIA A</t>
  </si>
  <si>
    <t>GALERIA B</t>
  </si>
  <si>
    <t>GALERIA C</t>
  </si>
  <si>
    <t>TOT</t>
  </si>
  <si>
    <t>TOTAL GERAL A:</t>
  </si>
  <si>
    <t>TOTAL GERAL B:</t>
  </si>
  <si>
    <t>TOTAL GERAL C:</t>
  </si>
  <si>
    <t>SOUVENIR MACIEL NETO</t>
  </si>
  <si>
    <t xml:space="preserve">THIAGO BRUNO GONÇALVES </t>
  </si>
  <si>
    <t>JOÃO CARLOS DOS SANTOS</t>
  </si>
  <si>
    <t>TIAGO WAGNER MACHADO</t>
  </si>
  <si>
    <t>VAGNEI FERREIRA BORGES DE PONTES</t>
  </si>
  <si>
    <t>VALDECI DA SILVA ROSA</t>
  </si>
  <si>
    <t>VALDECI DOS ANJOS</t>
  </si>
  <si>
    <t>VALDECI JONAS DE OLIVEIRA PRESTES</t>
  </si>
  <si>
    <t>VALDECI SUBTIL</t>
  </si>
  <si>
    <t>VALDELINO GONÇALVES DA ROSA</t>
  </si>
  <si>
    <t xml:space="preserve">VALDIR INOCENCIO DA SILVA        </t>
  </si>
  <si>
    <t>VALMIR APARECIDO DOS SANTOS</t>
  </si>
  <si>
    <t>ELIEL VIDAL DOS SANTOS</t>
  </si>
  <si>
    <t>NELSON ALDIMIRA PEREIRA</t>
  </si>
  <si>
    <t>TOTAL UNIDADE</t>
  </si>
  <si>
    <t>EDENILSON MARTINS DE FARIAS</t>
  </si>
  <si>
    <t>CUB.</t>
  </si>
  <si>
    <t>BRUNO LEANDRO RAMOS</t>
  </si>
  <si>
    <t>EXTRAD. (PARAGUAI)</t>
  </si>
  <si>
    <t>LUIZ CARLOS MITRUT</t>
  </si>
  <si>
    <t>JAIR DE PAULA SALDANHA</t>
  </si>
  <si>
    <t>TIAGO PODAN</t>
  </si>
  <si>
    <t>LUCIANO MARCELO RIBEIRO</t>
  </si>
  <si>
    <t>ROBSON RODRIGO DOS SANTOS</t>
  </si>
  <si>
    <t>ANTONINHO MARCOS PEREIRA</t>
  </si>
  <si>
    <t>JOSE ROSARIO DOS SANTOS</t>
  </si>
  <si>
    <t>FABRICIO ADRIANO BUENO BARBOSA</t>
  </si>
  <si>
    <t>ROSELEY DA SILVA</t>
  </si>
  <si>
    <t>CASSIANO CARDOSO VISCZAK</t>
  </si>
  <si>
    <t>LEANDRO SOARES PEDROSO</t>
  </si>
  <si>
    <t>ANTONIO SAMUEL RESENDE BORGES</t>
  </si>
  <si>
    <t>ALDECIR MIGUEL HILGENBERG</t>
  </si>
  <si>
    <t>IVAN MARTINS DE OLIVEIRA</t>
  </si>
  <si>
    <t>JEAN CARLOS MORAES FERREIRA</t>
  </si>
  <si>
    <t>MAURO GOIS</t>
  </si>
  <si>
    <t>JOSE IDILSON FERNANDES</t>
  </si>
  <si>
    <t>PAULO SERGIO CAETANO DO PILAR</t>
  </si>
  <si>
    <t xml:space="preserve">PEDRO FIDENCIO DA SILVA       </t>
  </si>
  <si>
    <t xml:space="preserve">PEDRO MENDOKA       </t>
  </si>
  <si>
    <t>PEDRO RIVAIR DE PROENÇA</t>
  </si>
  <si>
    <t>GUILHERME CORDEIRO DE OLIVEIRA</t>
  </si>
  <si>
    <t>PEDRO SERGIO PALHANO</t>
  </si>
  <si>
    <t>PERCIO BRONOSKI</t>
  </si>
  <si>
    <t>PETERSON STELMACHTCHUCK</t>
  </si>
  <si>
    <t>RAFAEL WILLIAN DE VARGAS</t>
  </si>
  <si>
    <t>RICARDO ALVES</t>
  </si>
  <si>
    <t xml:space="preserve">ROBERTO DE LIMA </t>
  </si>
  <si>
    <t>ROBERTO JOB DE OLIVEIRA</t>
  </si>
  <si>
    <t>ROBERTO NIESING FILHO</t>
  </si>
  <si>
    <t>ROBERTO PROENÇA DE OLIVEIRA</t>
  </si>
  <si>
    <t>ROGERIO CARLOS DOS SANTOS</t>
  </si>
  <si>
    <t xml:space="preserve">ROGERIO DE LIMA        </t>
  </si>
  <si>
    <t xml:space="preserve">ROQUE DOS SANTOS BUENO </t>
  </si>
  <si>
    <t>SALVADOR VICENTE PEREIRA JUNIOR</t>
  </si>
  <si>
    <t xml:space="preserve">SAMUEL ALMEIDA DA SILVA   </t>
  </si>
  <si>
    <t>PAULO CESAR DIAS D0S SANTOS</t>
  </si>
  <si>
    <t>ANDRE LUIZ PEREIRA</t>
  </si>
  <si>
    <t>CRISTIANO ANTONIO ALVES LOURENÇO</t>
  </si>
  <si>
    <t>ERON MAYEL TERNOSKI LEMES</t>
  </si>
  <si>
    <t>RODRIGO APARECIDO KALINOSKI</t>
  </si>
  <si>
    <t>MAURICIO TADEU DOS SANTOS</t>
  </si>
  <si>
    <t>FABIANO WENGLAREK FERREIRA</t>
  </si>
  <si>
    <t>MARCOS ANTONIO DOROSXI</t>
  </si>
  <si>
    <t>JEAN CARLOS PUPO DE GOUVEIA</t>
  </si>
  <si>
    <t>C 104</t>
  </si>
  <si>
    <t>C 115</t>
  </si>
  <si>
    <t>LAVANDERIA</t>
  </si>
  <si>
    <t>GEOVANE DOS SANTOS</t>
  </si>
  <si>
    <t>JOSE GUILHERME GANASOLI</t>
  </si>
  <si>
    <t>ALEX RODRIGUES SOARES</t>
  </si>
  <si>
    <t>JOSE EDUARDO MARQUES ALMEIDA</t>
  </si>
  <si>
    <t>ROQUE VANDERLEI RIBEIRO</t>
  </si>
  <si>
    <t>EVERTON ALEXANDRE DA SILVA</t>
  </si>
  <si>
    <t>CLAUDOIR FERREIRA BRAUN</t>
  </si>
  <si>
    <t>ANTONIO SANTOS COSTA</t>
  </si>
  <si>
    <t>MICHAEL FERRAZ DOS SANTOS</t>
  </si>
  <si>
    <t>JAISON APARECIDO DOS SANTOS</t>
  </si>
  <si>
    <t>ANTONIO MARCOS DE OLIVEIRA</t>
  </si>
  <si>
    <t>ALAMIR SANDRO DA LUZ</t>
  </si>
  <si>
    <t>JOAO ROGERIO KRASNHAK</t>
  </si>
  <si>
    <t>REINALDO DOS SANTOS MAIA</t>
  </si>
  <si>
    <t>JOAO PAULO MIERZWA</t>
  </si>
  <si>
    <t>REGIS ALISSON PETROSKI</t>
  </si>
  <si>
    <t>ROBSON DE JESUS FURQUIM DE MELLO</t>
  </si>
  <si>
    <t>PEDRO ALVES DA SILVA</t>
  </si>
  <si>
    <t>ELIAS RODRIGUES ALVES</t>
  </si>
  <si>
    <t>AUGUSTO CEZAR RIBEIRO DE OLIVEIRA</t>
  </si>
  <si>
    <t>NILSON DE JESUS MENDES</t>
  </si>
  <si>
    <t>MICHAEL ALEXANDRE DE FREITAS</t>
  </si>
  <si>
    <t>ALMIR ASSIS PADILAVS</t>
  </si>
  <si>
    <t>ELIAS FAGUNDES</t>
  </si>
  <si>
    <t>COT/CPA</t>
  </si>
  <si>
    <t>DINAELSON DA SILVA ROCHA</t>
  </si>
  <si>
    <t>FRANCISCO ELIAS DE MEIRA</t>
  </si>
  <si>
    <t>PABLO HENRIQUE DA CRUZ</t>
  </si>
  <si>
    <t xml:space="preserve">PABLO MADUREIRA FACCI </t>
  </si>
  <si>
    <t>EMERSON RODRIGUES</t>
  </si>
  <si>
    <t>ROGERIO INOCENCIO LOPES</t>
  </si>
  <si>
    <t>FERNANDO ZACARIAS DE CAMARGO</t>
  </si>
  <si>
    <t>SERGIO BELO DA SILVA</t>
  </si>
  <si>
    <t>ROMAIR MACHADO MARTINS</t>
  </si>
  <si>
    <t>JEAN GONÇALVES NERY</t>
  </si>
  <si>
    <t>HILDEBRANDO</t>
  </si>
  <si>
    <t>ANDERSON MONTEIRO</t>
  </si>
  <si>
    <t>ALEX SANDRO LUIZ PONTES BRAZ</t>
  </si>
  <si>
    <t>TERCIO JULIANO SANTOS</t>
  </si>
  <si>
    <t>WILLIAN RODRIGO GONÇALVES</t>
  </si>
  <si>
    <t>ANDERSON FERREIRA CARVALHO</t>
  </si>
  <si>
    <t>MARCELO DE SIQUEIRA MACIEL</t>
  </si>
  <si>
    <t>ROBSON KLEBER RODRIGUES</t>
  </si>
  <si>
    <t>ANDERSON LUIZ DE OLIVEIRA</t>
  </si>
  <si>
    <t>RAFAEL BARBOZA PORTO</t>
  </si>
  <si>
    <t>RALPH VIEIRA CARNEIRO</t>
  </si>
  <si>
    <t>LEANDRO EUZÉBIO DE OLIVEIRA</t>
  </si>
  <si>
    <t>VALDIVINO BUENO CAMARGO</t>
  </si>
  <si>
    <t>EZIQUIEL COSTA JUNIOR</t>
  </si>
  <si>
    <t>LEANDRO RAMOS DE BARROS</t>
  </si>
  <si>
    <t>JOSE ROBERTO DOMINGOS</t>
  </si>
  <si>
    <t>SILVIO JOLIVER ELTERMANN</t>
  </si>
  <si>
    <t>ROGERIO FERREIRA</t>
  </si>
  <si>
    <t>ADAIR MENDES GONÇALVES</t>
  </si>
  <si>
    <t>MARCO AURELIO ROBERTI LEMES</t>
  </si>
  <si>
    <t>ADAO DE MARIO BATISTA</t>
  </si>
  <si>
    <t>ADÃO PADILHA DE MIRANDA</t>
  </si>
  <si>
    <t>ADÃO SIDNEI FERNANDES</t>
  </si>
  <si>
    <t>FABIO PIRES BARBOZA</t>
  </si>
  <si>
    <t>ANTONIO ADEMIR RIBEIRO</t>
  </si>
  <si>
    <t>LUIS ANTONIO PINTO DOS SANTOS</t>
  </si>
  <si>
    <t>CRIS NAMURTT CARNEIRO JORGE</t>
  </si>
  <si>
    <t>LEANDRO DA LUZ E SOUZA</t>
  </si>
  <si>
    <t>MORTO 15/4/2013</t>
  </si>
  <si>
    <t>ADEMIR GEOVANI DOS SANTOS</t>
  </si>
  <si>
    <t>ADEMIR PERES</t>
  </si>
  <si>
    <t>ADILSON DE LIMA FALCÃO</t>
  </si>
  <si>
    <t>ADRIANO APARECIDO DE OLIVEIRA</t>
  </si>
  <si>
    <t>ADRIANO APARECIDO FERREIRA</t>
  </si>
  <si>
    <t>TRANS.</t>
  </si>
  <si>
    <t>ALAIRTON DOS SANTOS</t>
  </si>
  <si>
    <t>ALCEU RODAK</t>
  </si>
  <si>
    <t>ALEXANDRO MUNIZ DE FREITAS REBEQUE</t>
  </si>
  <si>
    <t>ALEXSANDRO APARECIDO SCHINEIDER</t>
  </si>
  <si>
    <t>ALFREDO CARLOS DE SOUZA BORBA</t>
  </si>
  <si>
    <t>ALISSON ADALBERTO MORENO</t>
  </si>
  <si>
    <t>ALLAN RICARDO FORTES COSTA</t>
  </si>
  <si>
    <t>LC</t>
  </si>
  <si>
    <t>ALMIR CORREA</t>
  </si>
  <si>
    <t>ALVARO MARTINS MACEDO</t>
  </si>
  <si>
    <t>AMAURI MENDES DOS SANTOS</t>
  </si>
  <si>
    <t>AMILTON VALENGA</t>
  </si>
  <si>
    <t>ANDERSON CARTES</t>
  </si>
  <si>
    <t>ANDERSON JHONI TRINDADE</t>
  </si>
  <si>
    <t>ANTONIO ALBARI FERREIRA</t>
  </si>
  <si>
    <t xml:space="preserve">ANTONIO DEJANIR DINIZ        </t>
  </si>
  <si>
    <t>ANTONIO DEMETIER JIANAKEF</t>
  </si>
  <si>
    <t>ANTONIO DZIERVA</t>
  </si>
  <si>
    <t>ANTONIO FERNANDES</t>
  </si>
  <si>
    <t>ANTONIO JOSE DE MOURA JUNIOR</t>
  </si>
  <si>
    <t>ANTONIO MARCOS CARNEIRO</t>
  </si>
  <si>
    <t>FALECIDO</t>
  </si>
  <si>
    <t>PAULO DONIZETE DE OLIVEIRA</t>
  </si>
  <si>
    <t>GERALDO DAS CHAGAS</t>
  </si>
  <si>
    <t>PAULO CESAR PIJANOWSKI</t>
  </si>
  <si>
    <t>B 215</t>
  </si>
  <si>
    <t>LUCIANO ANTONIO RAMOS</t>
  </si>
  <si>
    <t>NILSON LOURENÇO</t>
  </si>
  <si>
    <t>EVERSON RODRIGO DE OLIVEIRA</t>
  </si>
  <si>
    <t>NELSON LUIZ RODRIGUES</t>
  </si>
  <si>
    <t>ALEX DIEGO DA SILVA ASSUNÇÃO</t>
  </si>
  <si>
    <t>EMERSON RENATO PEREIRA</t>
  </si>
  <si>
    <t>NELSON NUNES DE SOUZA</t>
  </si>
  <si>
    <t>MANOEL PINHEIRO NETO</t>
  </si>
  <si>
    <t>VALDENIR DE ASSIS OLIVEIRA</t>
  </si>
  <si>
    <t>MARCELO PORFIRIO MARQUES</t>
  </si>
  <si>
    <t>LUIZ CARLOS DA SILVA</t>
  </si>
  <si>
    <t>WILSON ANTONIO MACIEL</t>
  </si>
  <si>
    <t>CLAUDINEI DA SILVA DE JESUS</t>
  </si>
  <si>
    <t>CLAUDINEI JOAQUIM DIAS RIBEIRO</t>
  </si>
  <si>
    <t>PAULO MAGNO DOS SANTOS</t>
  </si>
  <si>
    <t>CLAUDINES GONÇALVES FERREIRA</t>
  </si>
  <si>
    <t>CLAUDIO DE OLIVEIRA</t>
  </si>
  <si>
    <t xml:space="preserve">CLEBER MARCELO FERREIRA       </t>
  </si>
  <si>
    <t xml:space="preserve">CLEBERSON STANSKI   </t>
  </si>
  <si>
    <t>ALEXANDRE GABRIEL PROBST</t>
  </si>
  <si>
    <t>CLEITON ALBERTO SCHENEMANN</t>
  </si>
  <si>
    <t>CLEVERSON DIEGO BELZ</t>
  </si>
  <si>
    <t>DANIEL WARGENIAK</t>
  </si>
  <si>
    <t>DARIO ALVES DE LIMA</t>
  </si>
  <si>
    <t xml:space="preserve">DENIS MATEUS HONORIO       </t>
  </si>
  <si>
    <t xml:space="preserve">DIEGO RAFAEL BICIGO </t>
  </si>
  <si>
    <t>DIRCEU GONÇALVES DA ROSA</t>
  </si>
  <si>
    <t>DIVALDO CASTURINO RODRIGUES</t>
  </si>
  <si>
    <t>DORACI DE OLIVEIRA JUNIOR</t>
  </si>
  <si>
    <t>DORIVAL RODRIGUES DA SILVA</t>
  </si>
  <si>
    <t>EDGAR DOS SANTOS SUBTIL</t>
  </si>
  <si>
    <t>EDGAR KIESKI</t>
  </si>
  <si>
    <t>MARCIO RODRIGO RIBEIRO CAMARGO</t>
  </si>
  <si>
    <t>PAULO HENRIQUE DAS NEVES</t>
  </si>
  <si>
    <t>FELIPE RAFAEL DA SILVA</t>
  </si>
  <si>
    <t>LUCAS BACHISNKI</t>
  </si>
  <si>
    <t>MARCELO BATISTA</t>
  </si>
  <si>
    <t>JONIVAL CESAR BUENO</t>
  </si>
  <si>
    <t>TRAJANO FERREIRA CALDAS NETO</t>
  </si>
  <si>
    <t>RODRIGO ROSA</t>
  </si>
  <si>
    <t>JAIR INOCENCIO RIBEIRO</t>
  </si>
  <si>
    <t>EDILSON BARONE PIOTTO</t>
  </si>
  <si>
    <t>EDINALDO MANOEL DE OLIVEIRA</t>
  </si>
  <si>
    <t>EDIVALDO BUENO DE SOUZA</t>
  </si>
  <si>
    <t>EDIVALDO GONÇALVES ARAUJO</t>
  </si>
  <si>
    <t>EDMAR MIRANDA COSTA PASSOS</t>
  </si>
  <si>
    <t>IGOR JOSE DE LIMA</t>
  </si>
  <si>
    <t>EDUARDO TEIXEIRA</t>
  </si>
  <si>
    <t>ROGERIO MAYER</t>
  </si>
  <si>
    <t xml:space="preserve">ALLAN BRAGA DA SILVA    </t>
  </si>
  <si>
    <t>JEIMESON PINHEIRO DE SOUZA</t>
  </si>
  <si>
    <t>JOBEL LUIZ GONÇALVES VIEIRA</t>
  </si>
  <si>
    <t>JOCINEI VIDAL</t>
  </si>
  <si>
    <t>ELVIS EURIDES LUIZ</t>
  </si>
  <si>
    <t>TIAGO DA SILVA CARNEIRO</t>
  </si>
  <si>
    <t>NILSON JOSE GOMES FERREIRA JUNIOR</t>
  </si>
  <si>
    <r>
      <t xml:space="preserve">GILBERTO GRZIEBELUCA </t>
    </r>
    <r>
      <rPr>
        <b/>
        <sz val="10"/>
        <color indexed="10"/>
        <rFont val="Arial Narrow"/>
        <family val="2"/>
      </rPr>
      <t>(Béquinho)</t>
    </r>
  </si>
  <si>
    <r>
      <t xml:space="preserve">MAURO DOS SANTOS </t>
    </r>
    <r>
      <rPr>
        <b/>
        <sz val="10"/>
        <color indexed="10"/>
        <rFont val="Arial Narrow"/>
        <family val="2"/>
      </rPr>
      <t>(Índio)</t>
    </r>
  </si>
  <si>
    <t>CLAYTON FREITAS MAINARDES</t>
  </si>
  <si>
    <t>A 205</t>
  </si>
  <si>
    <t xml:space="preserve">JOSUE DA SILVA KRECHINSKI </t>
  </si>
  <si>
    <t>JAIR GOMES CARDOSO</t>
  </si>
  <si>
    <t>JAIR GOMES DA SILVA</t>
  </si>
  <si>
    <t>DIVONZIR QUADROS</t>
  </si>
  <si>
    <t>RUBENS DE DEUS</t>
  </si>
  <si>
    <t>THIAGO DO PRADO</t>
  </si>
  <si>
    <t>Quant.</t>
  </si>
  <si>
    <t>CONFORME PLANILHA DE CONTAGEM</t>
  </si>
  <si>
    <t>JEFERSON LEANDRO FENILI</t>
  </si>
  <si>
    <t>JEFERSON MAURICIO CAMARGO</t>
  </si>
  <si>
    <t>SIDNEI SARNOSKI NEGREIROS</t>
  </si>
  <si>
    <t>JEFERSON SILVA NASCIMENTO</t>
  </si>
  <si>
    <t>JEFERSON WILLI KONIG</t>
  </si>
  <si>
    <t>JOAO CLAUDEMIR DA SILVA</t>
  </si>
  <si>
    <t>JOAO DA ROCHA</t>
  </si>
  <si>
    <t>JOAO DE JESUS DO ROSARIO</t>
  </si>
  <si>
    <t>JOAO DE MATOS</t>
  </si>
  <si>
    <t>JOAO EDENILSON FREITAS DOS SANTOS</t>
  </si>
  <si>
    <t>JOAO INOCENCIO DINIZ</t>
  </si>
  <si>
    <t>JOAO LUIS ROCHA</t>
  </si>
  <si>
    <t>JOILSON CARLOS FRANCO</t>
  </si>
  <si>
    <t>JOSAFAT POIT</t>
  </si>
  <si>
    <t>MALCON ALLAN BIALUZ</t>
  </si>
  <si>
    <t>LEONIR MORAIS LACERDA</t>
  </si>
  <si>
    <t>JOSE CARLOS BONFATI</t>
  </si>
  <si>
    <t>JOSE CARLOS FAGUNDES</t>
  </si>
  <si>
    <t>JOSE CLAUDEMIR PIOTTO</t>
  </si>
  <si>
    <t>JOSE DA LUZ DA SILVA</t>
  </si>
  <si>
    <t>JOSE DE BAIROS MACHADO</t>
  </si>
  <si>
    <t>JOSE FERREIRA</t>
  </si>
  <si>
    <t>JOSE JOAO TEOFILO</t>
  </si>
  <si>
    <t>JOSE LEOCADIO FERREIRA KURZBERSKI</t>
  </si>
  <si>
    <t>JOSE LOURIVAL ALVES</t>
  </si>
  <si>
    <t>JOSE MARCOS CORREA DE SOUZA</t>
  </si>
  <si>
    <t>JOSE OSNI PEREIRA</t>
  </si>
  <si>
    <t xml:space="preserve">JOSE PEREIRA DE SOUZA        </t>
  </si>
  <si>
    <t>EZEQUIEL DE SOUZA</t>
  </si>
  <si>
    <t>LAURO ANTONIO DE BARROS</t>
  </si>
  <si>
    <t>JADIR  DE JESUS LEMES PRESTES</t>
  </si>
  <si>
    <t>JOSE AMAURI DOS SANTOS</t>
  </si>
  <si>
    <t>ANDRE LUIS GOUVEIA</t>
  </si>
  <si>
    <t>APARECIDO DESIDERIO LEAL</t>
  </si>
  <si>
    <t>PAULO DO CARMO DE MELO</t>
  </si>
  <si>
    <t>GILBERTO CAETANO MATTOS</t>
  </si>
  <si>
    <t>ANDERSON PAIANO</t>
  </si>
  <si>
    <t>IZAQUE ROMO DRUM</t>
  </si>
  <si>
    <t>EMERSON FABIANO DE OLIVEIRA</t>
  </si>
  <si>
    <t>RODRIGO DE OLIVEIRA CUBAS</t>
  </si>
  <si>
    <t>THIAGO XAVIER ANTUNES</t>
  </si>
  <si>
    <t>JAIR GREGORIO DOS REIS</t>
  </si>
  <si>
    <t>LUIS ADILSON ANDRADE</t>
  </si>
  <si>
    <t>MARCOS LOPES FERREIRA</t>
  </si>
  <si>
    <t>GERALDO RAITSA</t>
  </si>
  <si>
    <t>DARCI TERNOSKI</t>
  </si>
  <si>
    <t>PETERSON LARA RIBEIRO DA SILVA</t>
  </si>
  <si>
    <t>RAFAEL DOUGLAS DO PRADO</t>
  </si>
  <si>
    <t>MARCIO JOSE PINTO RIBEIRO</t>
  </si>
  <si>
    <t>DIEGO DE MORAIS</t>
  </si>
  <si>
    <t>PETER BESDUDNYJ JUNIOR</t>
  </si>
  <si>
    <t>PAULO LEANDRO LEITE VICENTE</t>
  </si>
  <si>
    <t>JOAO ALBERTO CASTILHO</t>
  </si>
  <si>
    <t>EDSON VANDERLEI PASTURCZAK</t>
  </si>
  <si>
    <t>GILMAR RAMOS</t>
  </si>
  <si>
    <t>LUIZ ANDERSON ALVES DE ABREU</t>
  </si>
  <si>
    <t>LUIZ EMERSON DA LUZ</t>
  </si>
  <si>
    <t>RODRIGO DOS SANTOS RODRIGUES</t>
  </si>
  <si>
    <t>ANTONIO LEMES DE SOUZA</t>
  </si>
  <si>
    <t>EVERTON JHONES MARTINS</t>
  </si>
  <si>
    <t>JOSE VALDECI SILVERIO</t>
  </si>
  <si>
    <t>ADENILSON DA SILVA</t>
  </si>
  <si>
    <t>GABRIEL BARBOSA PORTO</t>
  </si>
  <si>
    <t>RODRIGO DELEON BRUSTOLIN CARDOSO</t>
  </si>
  <si>
    <t>ACACIO ROBERTO DA SILVA</t>
  </si>
  <si>
    <t>TIAGO APARECIDO MACHADO</t>
  </si>
  <si>
    <t>JOÃO MACEDO FERREIRA</t>
  </si>
  <si>
    <t>FEZ A PASSAGEM !</t>
  </si>
  <si>
    <t>MARIO FERREIRA</t>
  </si>
  <si>
    <t>VALDECIR VIEIRA DE ALMEIDA</t>
  </si>
  <si>
    <t>VALDOMIRO ENES DOS SANTOS</t>
  </si>
  <si>
    <t>DOUGLAS MARQUES DOS SANTOS</t>
  </si>
  <si>
    <t>JEAN CARLOS MARQUES</t>
  </si>
  <si>
    <t>VALMECI FEREIRA BRANCO</t>
  </si>
  <si>
    <t>JACKSON EDUARDO BARBOSA</t>
  </si>
  <si>
    <t>MARCOS ANTONIO DOS SANTOS</t>
  </si>
  <si>
    <t>ELIAS DE OLIVEIRA</t>
  </si>
  <si>
    <t>JANDERSON MEDEIROS RODRIGUES</t>
  </si>
  <si>
    <t>JOAREZ APARECIDO DA CRUZ</t>
  </si>
  <si>
    <t>OBSERVAÇÃO</t>
  </si>
  <si>
    <t>ESCOLTAS</t>
  </si>
  <si>
    <t>LOURENÇO DA SILVA SOUZA</t>
  </si>
  <si>
    <t xml:space="preserve">LUCIANO DOMINGUES RAMOS    </t>
  </si>
  <si>
    <t>LUCIANO NUNES SIQUEIRA</t>
  </si>
  <si>
    <t>LUIS ANTONIO CARDOSO</t>
  </si>
  <si>
    <t>LUIS CARLOS DOS SANTOS</t>
  </si>
  <si>
    <t>LUIS CARLOS FERREIRA</t>
  </si>
  <si>
    <t>LUIS ISMAEL TELES</t>
  </si>
  <si>
    <t>LUIZ CARLOS RIBEIRO</t>
  </si>
  <si>
    <t>GLEDSON FERNANDES DA SILVA</t>
  </si>
  <si>
    <t>COT 2</t>
  </si>
  <si>
    <t>LUIZ BOITA</t>
  </si>
  <si>
    <t>JOAO JAQUES MOREIRA</t>
  </si>
  <si>
    <t>JOSE LEANDRO MOREIRA</t>
  </si>
  <si>
    <t>MARCELO DA SILVA</t>
  </si>
  <si>
    <t>MARCELO PEREIRA</t>
  </si>
  <si>
    <t>MARCELO ZACRESKA</t>
  </si>
  <si>
    <t>LEOVANDIR RODRIGUES RAMOS</t>
  </si>
  <si>
    <t>JEAN EZEQUIEL MARTINS</t>
  </si>
  <si>
    <t>MARCIO ADRIANO DA SILVA</t>
  </si>
  <si>
    <t>MARCIO VIVIANO PERACINI</t>
  </si>
  <si>
    <t>MARCO ANTONIO MENDONÇA</t>
  </si>
  <si>
    <t>MARCOS BONFIM</t>
  </si>
  <si>
    <t>JEOVA NERES DOS SANTOS</t>
  </si>
  <si>
    <t>EDIVALDO DA SILVA</t>
  </si>
  <si>
    <t>EVANDRO CARLOS</t>
  </si>
  <si>
    <t>MARCELOS PINTO</t>
  </si>
  <si>
    <t xml:space="preserve">NILSON AGUIRRE DE GODOI </t>
  </si>
  <si>
    <t>ALEXSANDRO MONTEIRO DA ROSA</t>
  </si>
  <si>
    <t>FERNANDO KAISER DA LEVE</t>
  </si>
  <si>
    <t>B 216</t>
  </si>
  <si>
    <t>JOSE ACIR RODRIGUES MARTINS</t>
  </si>
  <si>
    <t>NELSON LUIZ DA SILVA</t>
  </si>
  <si>
    <t>ANTONIO DE CASTRO BUENO</t>
  </si>
  <si>
    <t>MATEUS DE RAMOS</t>
  </si>
  <si>
    <t>JOEL DAMAZIO</t>
  </si>
  <si>
    <t>EDUARDO MARTINS PEREIRA</t>
  </si>
  <si>
    <t>MAURICIO DE JESUS LIMA ALMEIDA</t>
  </si>
  <si>
    <t>A 201</t>
  </si>
  <si>
    <t>ERNESTO APARECIDO DE LIMA</t>
  </si>
  <si>
    <t>JOEL DOS SANTOS FARIAS</t>
  </si>
  <si>
    <t>FABIO DE LIMA</t>
  </si>
  <si>
    <t>MARIANO MALETZ</t>
  </si>
  <si>
    <t>OSNEI CANDIDO DE OLIVEIRA</t>
  </si>
  <si>
    <t>JOSE MOACIR FERRAZ</t>
  </si>
  <si>
    <t>PIC</t>
  </si>
  <si>
    <t>ADAUTO DA SILVA</t>
  </si>
  <si>
    <t>ALEXANDRE DA SILVA IRINEU</t>
  </si>
  <si>
    <t>A 216</t>
  </si>
  <si>
    <t>ALVARÁ</t>
  </si>
  <si>
    <t>JOSE ADMILSON PAVILAKI</t>
  </si>
  <si>
    <t>TRIAGEM</t>
  </si>
  <si>
    <t>CLAUDINEI BUENO IEGER</t>
  </si>
  <si>
    <t>AGNALDO DE SOUZA BENEVIDES</t>
  </si>
  <si>
    <t>ANDERVILCSON DA LUZ COUTINHO DA VITORIA</t>
  </si>
  <si>
    <t>ARLINDO FLORIANO DA SILVA</t>
  </si>
  <si>
    <t>TIAGO ANDRE DOS SANTOS</t>
  </si>
  <si>
    <t>MAYCON GERALDO DE OLIVEIRA</t>
  </si>
  <si>
    <t>EDVAL MARTINS DE FARIAS</t>
  </si>
  <si>
    <t>JOSMAR ANTONIO PINHEIRO</t>
  </si>
  <si>
    <t>IVO TAVARES</t>
  </si>
  <si>
    <t>GILBERTO DOS SANTOS ALCANTARA</t>
  </si>
  <si>
    <t>SERGIO DE FREITAS</t>
  </si>
  <si>
    <t>CARLOS HENRIQUE RODRIGUES</t>
  </si>
  <si>
    <t>RENATO CARDOSO</t>
  </si>
  <si>
    <t>AIRTON FERREIRA DA SILVA JUNIOR</t>
  </si>
  <si>
    <t>LUCAS ANTONIO SOUZA</t>
  </si>
  <si>
    <t>ODILON DE JESUS CAMPOS</t>
  </si>
  <si>
    <t>OTONIEL VIEIRA DOS SANTOS</t>
  </si>
  <si>
    <t>OZEIAS MARIANO</t>
  </si>
  <si>
    <t>PAULO ALEXANDRE BARBOSA</t>
  </si>
  <si>
    <t>PAULO MOREIRA DA CRUZ</t>
  </si>
  <si>
    <t>PAULO PEREIRA DIAS</t>
  </si>
  <si>
    <t>LUIZ HENRIQUE MASSANI YAMAKI</t>
  </si>
  <si>
    <t>PAULO PINHEIRO</t>
  </si>
  <si>
    <t>PAULO ROBERTO CAMARGO</t>
  </si>
  <si>
    <t>PEDRO MARIA DOS SANTOS</t>
  </si>
  <si>
    <t>RAMIRO PEREIRA SILVA</t>
  </si>
  <si>
    <t>REGINALDO ALEX BUENO</t>
  </si>
  <si>
    <t>REGINALDO DE OLIVEIRA CARNEIRO</t>
  </si>
  <si>
    <t>REGINALDO FOGAÇA DOS SANTOS</t>
  </si>
  <si>
    <t>REGINALDO RESENDE</t>
  </si>
  <si>
    <t>REINALDO FERRAZ</t>
  </si>
  <si>
    <t>ROBERTO NASSIF</t>
  </si>
  <si>
    <t>ROBSON DE OLIVEIRA</t>
  </si>
  <si>
    <t>ROBSON DE SOUZA</t>
  </si>
  <si>
    <t>RODRIGO AUGUSTO PIRES</t>
  </si>
  <si>
    <t>RODRIGO ELOI DE ALMEIDA</t>
  </si>
  <si>
    <t>JOSÉ CLAUDINEI DA SILVA</t>
  </si>
  <si>
    <t>JONATHAN ISAIAS LEMES DE ALMEIDA</t>
  </si>
  <si>
    <t>ROGERIO FERNANDES SOARES</t>
  </si>
  <si>
    <t>ROMAIR ANTUNES DA SILVA</t>
  </si>
  <si>
    <t>ROMULO CRESCENCIO DO PRADO</t>
  </si>
  <si>
    <t xml:space="preserve">RONALDO SAMUEL PERES DA SILVA    </t>
  </si>
  <si>
    <t>ROSEVAL ALVES DE LIMA</t>
  </si>
  <si>
    <t>SAULO DA SILVA PALHANO</t>
  </si>
  <si>
    <t>TIAGO PATRICK VICINOSKI GESZA DA SILVA</t>
  </si>
  <si>
    <t>PEP 1</t>
  </si>
  <si>
    <t>CRISTIANO DOMINGUES DE LIMA</t>
  </si>
  <si>
    <t>SILVIO JOSE STADLER</t>
  </si>
  <si>
    <t>NIKOLAS TEIXEIRA DA LUZ</t>
  </si>
  <si>
    <t>RAYLAN WILLIAN CRUZINIANI FERREIRA NETO</t>
  </si>
  <si>
    <t>CRISTIANO NASCIMENTO</t>
  </si>
  <si>
    <t>DANIEL DO NASCIMENTO</t>
  </si>
  <si>
    <t>ESTANLEY DE OLIVEIRA</t>
  </si>
  <si>
    <t>JORGE LUIS IVASKO</t>
  </si>
  <si>
    <t>RENAN RODRIGUES</t>
  </si>
  <si>
    <t>ARI SOUZA MACHADO</t>
  </si>
  <si>
    <t>ÍNTIMA</t>
  </si>
  <si>
    <t>INTERNOS EM SETORES DE TRALALHO, CORRESPONDENDO A</t>
  </si>
  <si>
    <t>DO TOTAL DE INTERNOS DA UNIDADE.</t>
  </si>
  <si>
    <t>INTERNOS NA ESCOLA, CORRESPONDENDO A</t>
  </si>
  <si>
    <t>INTERNOS EM SETORES, CORRESPONDENDO A</t>
  </si>
  <si>
    <t>EDILSON LUIS GONÇALVES MARTINS</t>
  </si>
  <si>
    <t>RAPHAEL DOS ANJOS</t>
  </si>
  <si>
    <t>EVANDRO LOURENÇO PARIS</t>
  </si>
  <si>
    <t>JULIANO DE JESUS PIRES</t>
  </si>
  <si>
    <t>ADAIR FERNANDES MACHADO</t>
  </si>
  <si>
    <t>FABIO MICHAEL PODOLAN</t>
  </si>
  <si>
    <t>JOELSON DE CARVALHO</t>
  </si>
  <si>
    <t>MARCELO APARECIDO DE CARVALHO</t>
  </si>
  <si>
    <t>MARCOS ADRIANO BRANCO</t>
  </si>
  <si>
    <t>MARCOS ELIEL FLORENSKI</t>
  </si>
  <si>
    <t>PETERSON ELIAS BARBOSA</t>
  </si>
  <si>
    <t>DFRV</t>
  </si>
  <si>
    <t>CCSJP</t>
  </si>
  <si>
    <t>IRINEU APARECIDO HENQUE</t>
  </si>
  <si>
    <t>ANTONIO CARLOS MIRANDA</t>
  </si>
  <si>
    <t>JOSE GUILHERME RIBEIRO</t>
  </si>
  <si>
    <t>KELWIN OSMAR SCHUBISZ</t>
  </si>
  <si>
    <t>ELOILSON JOSE PUGSLEY</t>
  </si>
  <si>
    <t>JOSE MARIA BATISTA MENDES</t>
  </si>
  <si>
    <t>VALDIR ANGIESKI</t>
  </si>
  <si>
    <t>IGOR SCHMIDT CEZAR</t>
  </si>
  <si>
    <t>MARCOS VINICIUS DA SILVA CARNEIRO</t>
  </si>
  <si>
    <t>CLEITON RIBEIRO DA SILVA</t>
  </si>
  <si>
    <t>LIZANDRO GONÇALVES</t>
  </si>
  <si>
    <t>MAURICIO RIBEIRO</t>
  </si>
  <si>
    <t>PAULO ALEXANDRE EICHELBAN</t>
  </si>
  <si>
    <t>ROBSON ANTONIO GOMES DE CAMARGO</t>
  </si>
  <si>
    <t>ANDRE ANTUNES BATISTA</t>
  </si>
  <si>
    <t>GABRIEL ALEXANDRE DA ROSA</t>
  </si>
  <si>
    <t>GILSON MELO</t>
  </si>
  <si>
    <t>JONATHAN MACHADO DOS PASSOS</t>
  </si>
  <si>
    <t>PAULO HENRIQUE FERREIRA DOS SANTOS</t>
  </si>
  <si>
    <t>PEDRO PAULO RODRIGUES</t>
  </si>
  <si>
    <t>ALEXSANDRO SANTOS DA SILVA</t>
  </si>
  <si>
    <t>ERAILDO APARECIDO MOREIRA</t>
  </si>
  <si>
    <t>RONALDO CAMARGO</t>
  </si>
  <si>
    <t>JOSEMAR RALO TABORDA PRESTES</t>
  </si>
  <si>
    <t>ROBERT JOSE COITO</t>
  </si>
  <si>
    <t>JAZ</t>
  </si>
  <si>
    <t>JACKSON LUIZ SILVA BASSAI</t>
  </si>
  <si>
    <t>EVERSON DA SILVA</t>
  </si>
  <si>
    <t>JONATHAN WILLIAN SANTOS CORREA</t>
  </si>
  <si>
    <t>JOSE VALDEVIR BONETE</t>
  </si>
  <si>
    <t>EVERTON LUIZ DOS SANTOS</t>
  </si>
  <si>
    <r>
      <t xml:space="preserve">CARLOS ALBERTO FRANCISCO DE MENEZES </t>
    </r>
    <r>
      <rPr>
        <b/>
        <sz val="10"/>
        <color indexed="10"/>
        <rFont val="Arial Narrow"/>
        <family val="2"/>
      </rPr>
      <t>(Paulista/Dinho/Nene)</t>
    </r>
  </si>
  <si>
    <t>FLAVIO DE JESUS MAZEIKA VAZ</t>
  </si>
  <si>
    <t>MARLON ADRIAN SOUZA DA SILVA</t>
  </si>
  <si>
    <t>FABIO MARIANO DA SILVA LEAL</t>
  </si>
  <si>
    <t>LUIZ HENRIQUE DA SILVA</t>
  </si>
  <si>
    <t>PEM</t>
  </si>
  <si>
    <t>NELSON MANOSSO VALENTIM</t>
  </si>
  <si>
    <r>
      <t xml:space="preserve">FERNANDO RICARDO STOCCO </t>
    </r>
    <r>
      <rPr>
        <b/>
        <sz val="10"/>
        <color indexed="10"/>
        <rFont val="Arial Narrow"/>
        <family val="2"/>
      </rPr>
      <t>(Fer / Fernanda)</t>
    </r>
  </si>
  <si>
    <t>GUILHERME DE MELO PADILHA</t>
  </si>
  <si>
    <t>AGUARDANDO CD</t>
  </si>
  <si>
    <t>TOTAL DISCIPLINAR</t>
  </si>
  <si>
    <t>JOSE CLARO DOS SANTOS</t>
  </si>
  <si>
    <t>EDUARDO MOURA DE MATTOS</t>
  </si>
  <si>
    <t>RICARDO DOBZINSKI</t>
  </si>
  <si>
    <t>ADEMAR DOUGLAS DA SILVA</t>
  </si>
  <si>
    <t>WYLKSON ALYSSON SANTOS DE OLIVEIRA</t>
  </si>
  <si>
    <t>NEI GUILHERME TONIOLO LAZARINI</t>
  </si>
  <si>
    <t>NATHANAEL MACHADO DE MIRANDA</t>
  </si>
  <si>
    <t>SILVONEY APARECIDO DOS SANTOS</t>
  </si>
  <si>
    <t>MARCELO MILA DOS SANTOS</t>
  </si>
  <si>
    <t>MARCOS ANTONIO DA SILVA</t>
  </si>
  <si>
    <t>CLAUDINEY RIBEIRO</t>
  </si>
  <si>
    <t>MARCIO JOSÉ DOS SANTOS</t>
  </si>
  <si>
    <t>NEILTON FRANCISCO DE OLIVEIRA JUNIOR</t>
  </si>
  <si>
    <t>WILSON SERGIO DO REGO MONTEIRO ROCHA</t>
  </si>
  <si>
    <t>FELIPE DA CRUZ LEAL</t>
  </si>
  <si>
    <t>INTERNOS EM SETORES DE TRABALHO</t>
  </si>
  <si>
    <t>INTERNOS NA ESCOLA</t>
  </si>
  <si>
    <t>INTERNOS EM ATIVIDADE</t>
  </si>
  <si>
    <t>MAURICIO ANTONIO MACHADO</t>
  </si>
  <si>
    <t>MORTO (enforcou-se A 111 16/08/2015)</t>
  </si>
  <si>
    <t>CLEBERSON FURMANIAK</t>
  </si>
  <si>
    <t>JOSE CLAUDINEI DA SILVA</t>
  </si>
  <si>
    <r>
      <rPr>
        <b/>
        <sz val="10"/>
        <rFont val="Arial Narrow"/>
        <family val="2"/>
      </rPr>
      <t>HEBERTON TEODORO</t>
    </r>
    <r>
      <rPr>
        <b/>
        <sz val="10"/>
        <color indexed="17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(Eto'o)</t>
    </r>
  </si>
  <si>
    <r>
      <t xml:space="preserve">HERMESON PADILHA </t>
    </r>
    <r>
      <rPr>
        <b/>
        <sz val="10"/>
        <color indexed="10"/>
        <rFont val="Arial Narrow"/>
        <family val="2"/>
      </rPr>
      <t>(Toceira/Toceirinha)</t>
    </r>
  </si>
  <si>
    <t>CPJAGUARIAIVA</t>
  </si>
  <si>
    <t>CLAUDEMIR PEDRO COPI</t>
  </si>
  <si>
    <t>ROBINSON ALEX DOS SANTOS</t>
  </si>
  <si>
    <t>JOAO MARIA DOS SANTOS</t>
  </si>
  <si>
    <t>AMADEU FRANCISCO RIBAS</t>
  </si>
  <si>
    <t>EDER LEANDRO DOS SANTOS</t>
  </si>
  <si>
    <t>MORREU! (01/09/2015)</t>
  </si>
  <si>
    <t>Não excluir as linhas, somente apagar os dados.</t>
  </si>
  <si>
    <t>KAIQUE SANTOS CARNEIRO</t>
  </si>
  <si>
    <t>WAGNER PAULO FARIAS</t>
  </si>
  <si>
    <t>MARCIO AURÉLIO MELO XAVIER</t>
  </si>
  <si>
    <r>
      <t xml:space="preserve">EVERLIN JORDÃO DE FREITAS </t>
    </r>
    <r>
      <rPr>
        <b/>
        <sz val="10"/>
        <color indexed="53"/>
        <rFont val="Arial Narrow"/>
        <family val="2"/>
      </rPr>
      <t>(Magrâo)</t>
    </r>
  </si>
  <si>
    <t>VALMIR VIEIRA DA ROSA</t>
  </si>
  <si>
    <t>VALDIVINO AIRTON DOS SANTOS</t>
  </si>
  <si>
    <t>RODRIGO DE ALMEIDA</t>
  </si>
  <si>
    <t>JOAO LUIZ DE QUADROS</t>
  </si>
  <si>
    <t>PAULO HENRIQUE DA SILVA LEITE</t>
  </si>
  <si>
    <t>KENNEDY OLIVEIRA DA SILVA</t>
  </si>
  <si>
    <t>CLAUDIO ROBERTO CASCÃO</t>
  </si>
  <si>
    <r>
      <t xml:space="preserve">NATHAN JUNIOR ADOLFO DE OLIVEIRA </t>
    </r>
    <r>
      <rPr>
        <b/>
        <sz val="10"/>
        <color indexed="10"/>
        <rFont val="Arial Narrow"/>
        <family val="2"/>
      </rPr>
      <t>(Junior / Tartaruga)</t>
    </r>
  </si>
  <si>
    <t>TIAGO RODRIGO DE SOUZA</t>
  </si>
  <si>
    <t>JONNY RIBEIRO DE FREITAS</t>
  </si>
  <si>
    <t>GABRIEL BRIGIDO PALHANO</t>
  </si>
  <si>
    <t>MAICON MOREIRA DOS SANTOS</t>
  </si>
  <si>
    <t>DIEGO FAGUNDES</t>
  </si>
  <si>
    <t>JOSE GERALDO DOROCINSKI</t>
  </si>
  <si>
    <t>ADRIANO DAMASIO</t>
  </si>
  <si>
    <t>JOAO CARLOS GALVÃO</t>
  </si>
  <si>
    <t>NIVALDO CARDOSO SANTOS JUNIOR</t>
  </si>
  <si>
    <t>BEIDE DEVICE LOPES</t>
  </si>
  <si>
    <t>DONIZETE APARECIDO FERRAZ</t>
  </si>
  <si>
    <t xml:space="preserve">   </t>
  </si>
  <si>
    <t>ANDERSON DO CARMO SARAIVA</t>
  </si>
  <si>
    <t>GABRIEL GONÇALVES</t>
  </si>
  <si>
    <t>WELLINGTON DOS SANTOS ALMEIDA</t>
  </si>
  <si>
    <t>FERNANDO KETEMPS</t>
  </si>
  <si>
    <t>ILTON MAYCON PEREIRA DOS SANTOS</t>
  </si>
  <si>
    <t>JOSE LAURI PALHANO</t>
  </si>
  <si>
    <t>PAULO SERGIO DE OLIVEIRA</t>
  </si>
  <si>
    <t>LUCAS ARRUDA</t>
  </si>
  <si>
    <t>LUCIANO ANTONIO LACERDA</t>
  </si>
  <si>
    <t>ELIELTON DOUGLAS DE ANDRADE</t>
  </si>
  <si>
    <t>JORGE TADEU MACHADO GUSKI</t>
  </si>
  <si>
    <t>CARLOS ALEXANDRE JOANICO MARA</t>
  </si>
  <si>
    <t>CHARLES LIRMANE</t>
  </si>
  <si>
    <t>LEANDRO APARECIDO FERNANDES</t>
  </si>
  <si>
    <t>SILVIO FERNANDES</t>
  </si>
  <si>
    <t>EDERSON SCOTTY ALVES RODRIGUES</t>
  </si>
  <si>
    <t>DIEGO DOS SANTOS</t>
  </si>
  <si>
    <t>CLEVERTON HENRIQUE DE MATOS</t>
  </si>
  <si>
    <t>ADRIANO FERREIRA BATISTA</t>
  </si>
  <si>
    <t>BRUNO MATEUS DA SILVEIRA DOMINGUES</t>
  </si>
  <si>
    <t>MARCOS AGOSTINHO DE SOUSA</t>
  </si>
  <si>
    <t>WILLIAN JOSE SANTANA PINHEIRO</t>
  </si>
  <si>
    <t>ADRIANO ARISTIDES SANTOS</t>
  </si>
  <si>
    <t>JAMERSON MACHADO DOS SANTOS</t>
  </si>
  <si>
    <t>JHONATAN RODRIGO DE JESUS</t>
  </si>
  <si>
    <t>KAIKE WESLEY DA SILVA QUEIROZ</t>
  </si>
  <si>
    <t>SERGIO LUIZ PEREIRA</t>
  </si>
  <si>
    <t>WELLINGTON HENRIQUE ALUQUES VIEIRA</t>
  </si>
  <si>
    <t xml:space="preserve">EDSON BATISTA DOS SANTOS </t>
  </si>
  <si>
    <t>JUNIO CEZAR SIQUEIRA SANTOS</t>
  </si>
  <si>
    <t>BENTO JOSE HAAS DE MORAES</t>
  </si>
  <si>
    <t>MARCOS VINICIUS LACERDA SOBRINHO</t>
  </si>
  <si>
    <t>RAFAEL DOS SANTOS TRISTÃO</t>
  </si>
  <si>
    <t>LEANDRO APARECIDO BATISTA</t>
  </si>
  <si>
    <t>JOCIMAR BORTOLIN</t>
  </si>
  <si>
    <t>MAICON EMANUEL DE ASSUNCAO</t>
  </si>
  <si>
    <t>LEONARDO DE PAULA BORGES</t>
  </si>
  <si>
    <t>TIAGO DOS SANTOS</t>
  </si>
  <si>
    <t>RONALDO DE SOUZA GONCALVES</t>
  </si>
  <si>
    <t>RAFAEL FELIX DA SILVA</t>
  </si>
  <si>
    <t>ANTONIO PAULO LUCIO DE MIRANDA</t>
  </si>
  <si>
    <t>OZIEL PEREIRA DA SILVA</t>
  </si>
  <si>
    <t>OZIEL MACHADO DA CONCEICAO</t>
  </si>
  <si>
    <t>ADILSON DA SILVA DE LIMA</t>
  </si>
  <si>
    <t>REINALDO  DE OLIVEIRA</t>
  </si>
  <si>
    <t>FERNANDO MORAES (Mortal)</t>
  </si>
  <si>
    <t>MORTO 02/01/15</t>
  </si>
  <si>
    <t>ANDERSON GOBBI FERREIRA</t>
  </si>
  <si>
    <t>EDINALDO LUIZ DE OLIVEIRA</t>
  </si>
  <si>
    <t>REINALDO DOS SANTOS VALDOVSKI</t>
  </si>
  <si>
    <t>ALEXSANDRO GROPPA</t>
  </si>
  <si>
    <t>DIMAS FELIX</t>
  </si>
  <si>
    <t>DEYVID RICARDO GUIMARAES MARIANO</t>
  </si>
  <si>
    <t>ANDERSON LUIS ROMUALDO DA CRUZ</t>
  </si>
  <si>
    <t>JONES RODRIGUES DE OLIVEIRA</t>
  </si>
  <si>
    <t>VALDEMIR GONÇALVES SANCHES</t>
  </si>
  <si>
    <t>LEANDRO DE ANDRIA LINO</t>
  </si>
  <si>
    <t>JULIANO LUIS FERREIRA</t>
  </si>
  <si>
    <t>CARLOS RODRIGO DOS SANTOS</t>
  </si>
  <si>
    <t>TIAGO ISAC DE LIMA</t>
  </si>
  <si>
    <t>BATEU AS BOTAS 22/02/16</t>
  </si>
  <si>
    <t>MORTO 24/02/2016</t>
  </si>
  <si>
    <t>EVERSON FERNANDO FERREIRA DA SILVA</t>
  </si>
  <si>
    <t>SHAULIN KIOMA CLAUDINEI DOS SANTOS</t>
  </si>
  <si>
    <t>ADEMIR MARTINS</t>
  </si>
  <si>
    <t>LUCIANO MORAIS DE FREITAS</t>
  </si>
  <si>
    <t>RIVALDO CHAVES</t>
  </si>
  <si>
    <t>TAN</t>
  </si>
  <si>
    <t>EDSON LUIZ SCHUCK</t>
  </si>
  <si>
    <t>EDSON MARÇAL</t>
  </si>
  <si>
    <t>JOSE ODAIR DO NASCIMENTO SILVA</t>
  </si>
  <si>
    <t>RODRIGO LOURENCO DA SILVA</t>
  </si>
  <si>
    <r>
      <t xml:space="preserve">RODRIGO DOS SANTOS </t>
    </r>
    <r>
      <rPr>
        <b/>
        <sz val="10"/>
        <color indexed="10"/>
        <rFont val="Arial Narrow"/>
        <family val="2"/>
      </rPr>
      <t>(Tiriça)</t>
    </r>
  </si>
  <si>
    <t>JOÃO LUIZ GONÇALVES DA ROSA</t>
  </si>
  <si>
    <t>DIEGO FERREIRA PEDROSO</t>
  </si>
  <si>
    <t>EDEVALDO GONÇALVES</t>
  </si>
  <si>
    <t>PAULO SERGIO DA ROSA</t>
  </si>
  <si>
    <t>PAULO HENRIQUE SILVA MARTINS</t>
  </si>
  <si>
    <t>LEANDRO JOSE DE ALMEIDA</t>
  </si>
  <si>
    <t>WILLIAN HENRIQUE XAVIER DA SILVA</t>
  </si>
  <si>
    <t>CILMARA</t>
  </si>
  <si>
    <t>TURMA 1</t>
  </si>
  <si>
    <t>ERON</t>
  </si>
  <si>
    <t>ANDREA</t>
  </si>
  <si>
    <t>TARDE</t>
  </si>
  <si>
    <t>MANHÃ</t>
  </si>
  <si>
    <t>SOLANGE</t>
  </si>
  <si>
    <t>NELDY</t>
  </si>
  <si>
    <t>ROSALBA</t>
  </si>
  <si>
    <t>MATILDE</t>
  </si>
  <si>
    <t>VALERIA</t>
  </si>
  <si>
    <t>TURMA 3</t>
  </si>
  <si>
    <t>TURMA 2</t>
  </si>
  <si>
    <t>EDUARDO</t>
  </si>
  <si>
    <t>SILMARA</t>
  </si>
  <si>
    <t>TURMA 4</t>
  </si>
  <si>
    <r>
      <t xml:space="preserve">LUIZ RICARDO DOS SANTOS </t>
    </r>
    <r>
      <rPr>
        <b/>
        <sz val="10"/>
        <color indexed="10"/>
        <rFont val="Arial Narrow"/>
        <family val="2"/>
      </rPr>
      <t>(Zoio)</t>
    </r>
  </si>
  <si>
    <t>BRUNO FERREIRA</t>
  </si>
  <si>
    <t>CLAUDIR DE ANDRADE</t>
  </si>
  <si>
    <t>DIOGO LUAN DOS SANTOS</t>
  </si>
  <si>
    <t>MARCELO LUIZ MACHADO</t>
  </si>
  <si>
    <t>BRUNO ROBERTO DA SILVA ALVES</t>
  </si>
  <si>
    <t>JESSE DE CAMPOS</t>
  </si>
  <si>
    <t>JOAO CARLOS DOS SANTOS</t>
  </si>
  <si>
    <t>ANDERSON CARLOS DE OLIVEIRA</t>
  </si>
  <si>
    <t>Nº</t>
  </si>
  <si>
    <t>WELLISSON DOUGLAS DOS REIS</t>
  </si>
  <si>
    <t>MICHAEL EDUARDO CARNEIRO</t>
  </si>
  <si>
    <t>ALEXANDRE JUNIOR DE ALMEIDA</t>
  </si>
  <si>
    <t>JOHN LENNON MACHADO DOS PASSOS</t>
  </si>
  <si>
    <t>FABIANO CORREIA DOS SANTOS</t>
  </si>
  <si>
    <t>GIOVANE NUNES MACIEL</t>
  </si>
  <si>
    <t>SIDNEI VAZ</t>
  </si>
  <si>
    <t>CARLOS ROBERTO TOCANTINS</t>
  </si>
  <si>
    <t>PAULO POLLI</t>
  </si>
  <si>
    <t>TORNOZELEIRA</t>
  </si>
  <si>
    <t>DANIEL PEREIRA</t>
  </si>
  <si>
    <t>NÃO APAGAR</t>
  </si>
  <si>
    <t>ANTONIO OSCAR RIBAS</t>
  </si>
  <si>
    <t>CHARLES DOMINGUES DE LIMA</t>
  </si>
  <si>
    <t>DIONE ROSINEI DA SILVA MOREIRA</t>
  </si>
  <si>
    <t>DOUGLAS DE MELO</t>
  </si>
  <si>
    <t>MARCELO ADRIANO DA SILVA</t>
  </si>
  <si>
    <t>WAGNER FERREIRA DOS SANTOS</t>
  </si>
  <si>
    <t>PEP 2</t>
  </si>
  <si>
    <t>VALDEIR PAULINO TEIXEIRA</t>
  </si>
  <si>
    <t>PAULO CESAR DA SILVA</t>
  </si>
  <si>
    <t>ALTAMIRO DOS SANTOS</t>
  </si>
  <si>
    <t>PATRICK BUENO DE OLIVEIRA</t>
  </si>
  <si>
    <t>JOELSON DE OLIVEIRA</t>
  </si>
  <si>
    <t>MAICON CRISTIAN DE ALMEIDA</t>
  </si>
  <si>
    <t>ELIAS DOS SANTOS DE MATOS</t>
  </si>
  <si>
    <t>LUIZ CARLOS SOARES DELGADO</t>
  </si>
  <si>
    <t>ULISSES BITTENCOURT</t>
  </si>
  <si>
    <t>ROMULO JOSE DA SILVA DE QUADROS</t>
  </si>
  <si>
    <t xml:space="preserve">GELSON CARLOS RODRIGUES </t>
  </si>
  <si>
    <t>DIEGO FERNANDO VIEIRA DA ROSA RODRIGUES</t>
  </si>
  <si>
    <t>EDERSON NOGUEIRA PEREIRA</t>
  </si>
  <si>
    <t>JOHNNY STALONI SILVESTRE DOS SANTOS</t>
  </si>
  <si>
    <t>LEANDRO DOS SANTOS JANSEN</t>
  </si>
  <si>
    <t>RODRIGO CARVALHO SILVA REIS</t>
  </si>
  <si>
    <t>PEF1 FOZ DO IGUAÇU</t>
  </si>
  <si>
    <t>RAFAEL RIO BRANCO CHEM</t>
  </si>
  <si>
    <t>DULCIDIO ALVAREZ RIBAS</t>
  </si>
  <si>
    <t>GIACOMINY DOS SANTOS ZULATTO</t>
  </si>
  <si>
    <t>DEIVIDI DE MELO</t>
  </si>
  <si>
    <t>GILSON CESAR GOMES</t>
  </si>
  <si>
    <t>TOTAL INFERIOR</t>
  </si>
  <si>
    <t>TOTAL SUPERIOR</t>
  </si>
  <si>
    <t>DOUGLAS CARLOS MOURA CANDIDO</t>
  </si>
  <si>
    <t>PEDRO RIBEIRO DOS SANTOS</t>
  </si>
  <si>
    <r>
      <t xml:space="preserve">JOAO MALETZ </t>
    </r>
    <r>
      <rPr>
        <b/>
        <sz val="10"/>
        <color indexed="10"/>
        <rFont val="Arial Narrow"/>
        <family val="2"/>
      </rPr>
      <t>(Lagarto)</t>
    </r>
  </si>
  <si>
    <t>JOAO MARIA SCHNEIDER</t>
  </si>
  <si>
    <t>QTA</t>
  </si>
  <si>
    <t>ERICO ADRIANO RODRIGUES DOS SANTOS</t>
  </si>
  <si>
    <t>RESSUCITOU AO OITAVO DIA</t>
  </si>
  <si>
    <t>LUIZ EDUARDO DITZEL GORCHACOSKI</t>
  </si>
  <si>
    <t>ENFORCOU-SE NO C 210</t>
  </si>
  <si>
    <t>HERIVELTON VINICIUS DO NASCIMENTO</t>
  </si>
  <si>
    <t>LUCAS DAMAS DA SILVA</t>
  </si>
  <si>
    <t>WILLIAN JOSE MESSIAS SOARES</t>
  </si>
  <si>
    <r>
      <t xml:space="preserve">ROBSON RIBEIRO PINTO </t>
    </r>
    <r>
      <rPr>
        <b/>
        <sz val="10"/>
        <color indexed="10"/>
        <rFont val="Arial Narrow"/>
        <family val="2"/>
      </rPr>
      <t>(Mica)</t>
    </r>
  </si>
  <si>
    <t>FERNANDO MARCOS NUNES SHIMIZU</t>
  </si>
  <si>
    <t>PEFB</t>
  </si>
  <si>
    <t>JOAO JACIR BUENO</t>
  </si>
  <si>
    <t>ADRIANO GONÇALVES DE MELO</t>
  </si>
  <si>
    <t>EREMILTON EVANDERSON SILVA</t>
  </si>
  <si>
    <r>
      <t xml:space="preserve">SERGIO GONÇALVES DE MEIRA </t>
    </r>
    <r>
      <rPr>
        <b/>
        <sz val="10"/>
        <color indexed="10"/>
        <rFont val="Arial Narrow"/>
        <family val="2"/>
      </rPr>
      <t>(Piu)</t>
    </r>
  </si>
  <si>
    <t>PEP1</t>
  </si>
  <si>
    <t>PEP2</t>
  </si>
  <si>
    <t>CARLOS HENRIQUE R. BORGES DE ANDRADE</t>
  </si>
  <si>
    <t>RAFAEL GOMES</t>
  </si>
  <si>
    <t>VALDECI MATHIAS DA SILVA</t>
  </si>
  <si>
    <r>
      <t xml:space="preserve">ROSEMBERG CANDIDO </t>
    </r>
    <r>
      <rPr>
        <b/>
        <sz val="10"/>
        <color indexed="10"/>
        <rFont val="Arial Narrow"/>
        <family val="2"/>
      </rPr>
      <t>(PREDADOR/ PRETO VEIO)</t>
    </r>
  </si>
  <si>
    <t>CLAYTON JACKSON NUNES DE OLIVEIRA</t>
  </si>
  <si>
    <t>ADILSON BERNARDO</t>
  </si>
  <si>
    <t>FRANCISCO AMELIO DE SOUSA</t>
  </si>
  <si>
    <t>GILMAR FURMANIAK FREITAS DA SILVA</t>
  </si>
  <si>
    <t>HILARIO NASCIMENTO</t>
  </si>
  <si>
    <t>IDEVALDO LOURENÇO DE GOUVEIA</t>
  </si>
  <si>
    <t>JEFERSON LEANDRO RODRIGUES</t>
  </si>
  <si>
    <t>CALOS CESAR DE PAULA</t>
  </si>
  <si>
    <t>DONIZETI CARDOSO</t>
  </si>
  <si>
    <t>EDMILSON FERNANDES</t>
  </si>
  <si>
    <r>
      <t>ANGELO RODRIGO RIBEIRO DOS SANTOS</t>
    </r>
    <r>
      <rPr>
        <b/>
        <sz val="10"/>
        <color indexed="10"/>
        <rFont val="Arial Narrow"/>
        <family val="2"/>
      </rPr>
      <t xml:space="preserve"> (Corvo)</t>
    </r>
  </si>
  <si>
    <t>MARCOS FELIPE DOS SANTOS ALVES</t>
  </si>
  <si>
    <t>VINICIUS HENRIQUE DE OLIVEIRA</t>
  </si>
  <si>
    <t>FABIO TORRES BANRUQUE</t>
  </si>
  <si>
    <t>LUIZ ROBERTO SCHERPINSKI</t>
  </si>
  <si>
    <t>JEFERSON RAMOS</t>
  </si>
  <si>
    <t>JOAO MARIA DOMINGUES</t>
  </si>
  <si>
    <t>LEANDRO BATISTA DOS SANTOS</t>
  </si>
  <si>
    <t>JOSE LEANDRO DE ANDRADE</t>
  </si>
  <si>
    <t>JOAO PACHECO</t>
  </si>
  <si>
    <t>MARIO ANDERSON KRIKI DOS SANTOS</t>
  </si>
  <si>
    <r>
      <t>JOSE ROBERTO DOMINGUES JUNIOR</t>
    </r>
    <r>
      <rPr>
        <b/>
        <sz val="10"/>
        <color indexed="10"/>
        <rFont val="Arial Narrow"/>
        <family val="2"/>
      </rPr>
      <t xml:space="preserve"> (Armagedon)</t>
    </r>
  </si>
  <si>
    <t>EGGON HENRIQUE PENNA</t>
  </si>
  <si>
    <t>GILVAM BATISTA DE ALMEIDA JUNIOR</t>
  </si>
  <si>
    <t>JHONNY RIBEIRO DA LUZ</t>
  </si>
  <si>
    <t>ALISSON DE SOUZA MARTINS</t>
  </si>
  <si>
    <r>
      <t xml:space="preserve">MARCELO APARECIDO DE CARVALHO </t>
    </r>
    <r>
      <rPr>
        <b/>
        <sz val="10"/>
        <color indexed="10"/>
        <rFont val="Arial Narrow"/>
        <family val="2"/>
      </rPr>
      <t>(Marcelo DJ)</t>
    </r>
  </si>
  <si>
    <r>
      <t xml:space="preserve">LUAN CARNEIRO ALVES </t>
    </r>
    <r>
      <rPr>
        <b/>
        <sz val="10"/>
        <color indexed="10"/>
        <rFont val="Arial Narrow"/>
        <family val="2"/>
      </rPr>
      <t>(Piraí)</t>
    </r>
  </si>
  <si>
    <t>FOI PRA LUZ 06/10/2016</t>
  </si>
  <si>
    <t>TROMBOU  COM O CHOQUE  , 06/10/2016</t>
  </si>
  <si>
    <t>MAYCON CESAR BARRADAS</t>
  </si>
  <si>
    <t>GILSON CELSO GUIMARÃES</t>
  </si>
  <si>
    <t>CLAYTON CESAR ELEUTERIO SANTOS</t>
  </si>
  <si>
    <t>ANDREI BATISTA DA SILVA</t>
  </si>
  <si>
    <t>JEAN CARLOS RIBEIRO BETIM</t>
  </si>
  <si>
    <t>CURITIBA</t>
  </si>
  <si>
    <t>ANDERSON APARECIDO GASPAR</t>
  </si>
  <si>
    <t>VALDEMAR MOREIRA</t>
  </si>
  <si>
    <t>MISAEL ODAIR GALVAO POLAK</t>
  </si>
  <si>
    <t>ROGERIO DE OLIVEIRA</t>
  </si>
  <si>
    <t>FERNANDO RODRIGUES DOS SANTOS</t>
  </si>
  <si>
    <t>L.C.</t>
  </si>
  <si>
    <t>WALINSON  RODRIGUES FORTUNATO</t>
  </si>
  <si>
    <t>EVANDRO DE OLIVEIRA MARCOLINO</t>
  </si>
  <si>
    <t>DANILO DE OLIVEIRA CARDOSO</t>
  </si>
  <si>
    <t>LEANDRO DA SILVA RIBEIRO</t>
  </si>
  <si>
    <t>ROBERSON MIGUEL PALHANO</t>
  </si>
  <si>
    <t>ALVARA</t>
  </si>
  <si>
    <t>LEANDRO DOS SANTOS MORAES</t>
  </si>
  <si>
    <t>MARCOS AURELIO DOS SANTOS</t>
  </si>
  <si>
    <t>CLEBER MARCELO RODRIGUES</t>
  </si>
  <si>
    <t>GILMAR MELO REIMUNDO</t>
  </si>
  <si>
    <t>LEORNES PEREIRA ALVES SANTOS</t>
  </si>
  <si>
    <t>ADILSON HUÇALO RODRIGUES</t>
  </si>
  <si>
    <t>ANDERSON RODRIGUES SCHINEIDER</t>
  </si>
  <si>
    <t>ANTONIO GOMES DE ARAUJO</t>
  </si>
  <si>
    <t>RODRIGO MARTINS CORREIA</t>
  </si>
  <si>
    <t>LUCAS MITSORO ORION CARVALHO</t>
  </si>
  <si>
    <t>HELCIO EDUARDO SARAFIN</t>
  </si>
  <si>
    <t>MACIO LOPES FERREIRA</t>
  </si>
  <si>
    <t>MARCOS MARCIANO BANFI DE JESUS</t>
  </si>
  <si>
    <t>EGON HENRIQUE GALVÃO</t>
  </si>
  <si>
    <t>LUIZ REINALDO LEONARDO</t>
  </si>
  <si>
    <t>ALAN FERNANDO VAZ MARTINS</t>
  </si>
  <si>
    <t>JONNATAS LUIZ BOROTTO</t>
  </si>
  <si>
    <t>JAQUESON LUIZ ALBUQUERQUE</t>
  </si>
  <si>
    <t>CARLOS RENATO DE JESUS</t>
  </si>
  <si>
    <t>CLAUDEMIR DOS SANTOS DE JESUS</t>
  </si>
  <si>
    <t>JOSE RIVANDO LIMA DA SILVA</t>
  </si>
  <si>
    <t>MURILO LUIZ LOPES</t>
  </si>
  <si>
    <t>JONATHAN RENATO PAES SANTANA</t>
  </si>
  <si>
    <r>
      <t>FERNANDO ELIAS DO NASCIMENTO</t>
    </r>
    <r>
      <rPr>
        <b/>
        <sz val="10"/>
        <color indexed="10"/>
        <rFont val="Arial Narrow"/>
        <family val="2"/>
      </rPr>
      <t>(Apocalipse)</t>
    </r>
  </si>
  <si>
    <t>LUCIANO DOBZINSKI</t>
  </si>
  <si>
    <t>ARGEO DOS SANTOS BUENO FILHO</t>
  </si>
  <si>
    <t>JEAN CARLOS BEDIN</t>
  </si>
  <si>
    <t>CARLOS EDUARDO FELIX</t>
  </si>
  <si>
    <t>CLAUDINEI CAMARGO SANTIAGO</t>
  </si>
  <si>
    <t>MAURINEI ALVES DOS SANTOS</t>
  </si>
  <si>
    <t>LUIZ ROBERTO PEREIRA</t>
  </si>
  <si>
    <t>ISRAEL DOS SANTOS</t>
  </si>
  <si>
    <t>VALDIR LUIS GONÇALVES DA ROCHA</t>
  </si>
  <si>
    <t>EMERSON BATISTA DE LIMA</t>
  </si>
  <si>
    <t>ALEXANDRE GONÇALVES GOMES</t>
  </si>
  <si>
    <t>DANIEL DOS SANTOS</t>
  </si>
  <si>
    <t>FERNANDO DE JESUS DOS SANTOS SAMPAIO</t>
  </si>
  <si>
    <t>SANDRO LUIZ RAMOS ARAKI</t>
  </si>
  <si>
    <t>ROSNEI PINHEIRO</t>
  </si>
  <si>
    <r>
      <t xml:space="preserve">LENISSON DIAS DE SOUZA </t>
    </r>
    <r>
      <rPr>
        <b/>
        <sz val="10"/>
        <color indexed="10"/>
        <rFont val="Arial Narrow"/>
        <family val="2"/>
      </rPr>
      <t>(Nescau)</t>
    </r>
  </si>
  <si>
    <t>EDSON ADRIANO BICUDO</t>
  </si>
  <si>
    <t>JEAN DE RAMOS KALINOSKI</t>
  </si>
  <si>
    <t>JULIO CESAR DOS SANTOS</t>
  </si>
  <si>
    <t>LUCIANO GARCIA DOS SANTOS</t>
  </si>
  <si>
    <t>PEDRO HENRIQUE DE SOUZA RIBEIRO</t>
  </si>
  <si>
    <t>ARISTEU RODRIGUES DA SILVA</t>
  </si>
  <si>
    <t>RAFAEL LUCAS PREMEBIDA</t>
  </si>
  <si>
    <t>JHONATAN MOREIRA DE LIMA</t>
  </si>
  <si>
    <t>MARLON CARDOSO</t>
  </si>
  <si>
    <t>GILBERTO LEMES DOS SANTOS</t>
  </si>
  <si>
    <t>MARCOS LEANDRO DE OLIVEIRA</t>
  </si>
  <si>
    <t>RAMON DOS SANTOS</t>
  </si>
  <si>
    <t>PEDRO ALVES BATISTA</t>
  </si>
  <si>
    <t>HEBERT DIEGO DE SOUZA ROCHA</t>
  </si>
  <si>
    <t>ANDERSON SILVEIRA PADILHA</t>
  </si>
  <si>
    <t>THIAGO CARDOSO DA SILVA</t>
  </si>
  <si>
    <t>LUIS FELIPE DE BRITO SCHINEIDER</t>
  </si>
  <si>
    <t>MACIEL ASSIS DZULINSKI</t>
  </si>
  <si>
    <t>JUNIOR CEZAR CORREIA CASTILHO</t>
  </si>
  <si>
    <t>JOAO SANTOS DE JESUS</t>
  </si>
  <si>
    <t>ANTONIO NALCIO LOURENÇO PINTO</t>
  </si>
  <si>
    <t>WANDERLEY RODRIGUES DA SILVA</t>
  </si>
  <si>
    <t>MARCIO ALEXANDRE BARBOSA</t>
  </si>
  <si>
    <t xml:space="preserve">MARIOZAN MENDES </t>
  </si>
  <si>
    <t>PEP I</t>
  </si>
  <si>
    <t>GRISSON DE OLIVEIRA MIRANDA</t>
  </si>
  <si>
    <t>ELIONAI CAMARGO DRIDIK</t>
  </si>
  <si>
    <t>EDSON CARLOS AMARAL DOS SANTOS</t>
  </si>
  <si>
    <t>NATANAEL DE QUADROS BRAGA</t>
  </si>
  <si>
    <t>ALEXANDRE DOS SANTOS</t>
  </si>
  <si>
    <t>LUCAS ROBERTO MOURA</t>
  </si>
  <si>
    <t>ERICKSON DIEGO MARTINS</t>
  </si>
  <si>
    <t>JOHN LENNON FOGAÇA RODRIGUES</t>
  </si>
  <si>
    <t>CARLOS LEONARDO PACHECO</t>
  </si>
  <si>
    <t>WILLIAM KOSINSKI</t>
  </si>
  <si>
    <t>ERICO ANDRADE DINIZ</t>
  </si>
  <si>
    <t>PAULO CESAR MARIANO</t>
  </si>
  <si>
    <t>LUIZ CARLOS MACHADO</t>
  </si>
  <si>
    <t>JOAO MARCIANO ABRAMOSKI</t>
  </si>
  <si>
    <r>
      <t xml:space="preserve">ROBSON RODRIGO DOS SANTOS </t>
    </r>
    <r>
      <rPr>
        <b/>
        <sz val="10"/>
        <color indexed="10"/>
        <rFont val="Arial Narrow"/>
        <family val="2"/>
      </rPr>
      <t>(Robinho)</t>
    </r>
  </si>
  <si>
    <r>
      <t xml:space="preserve">JOSE AUGUSTO LORENCETTI </t>
    </r>
    <r>
      <rPr>
        <b/>
        <sz val="10"/>
        <color indexed="10"/>
        <rFont val="Arial Narrow"/>
        <family val="2"/>
      </rPr>
      <t>(Bozo)</t>
    </r>
  </si>
  <si>
    <r>
      <t>WAGNER SCHITICOSKI</t>
    </r>
    <r>
      <rPr>
        <b/>
        <sz val="10"/>
        <color indexed="10"/>
        <rFont val="Arial Narrow"/>
        <family val="2"/>
      </rPr>
      <t xml:space="preserve"> (Tiquinho)</t>
    </r>
  </si>
  <si>
    <r>
      <t xml:space="preserve">LUIZ CARLOS DOS SANTOS </t>
    </r>
    <r>
      <rPr>
        <b/>
        <sz val="10"/>
        <color indexed="10"/>
        <rFont val="Arial Narrow"/>
        <family val="2"/>
      </rPr>
      <t>(Secretário/Luizinho)</t>
    </r>
  </si>
  <si>
    <r>
      <t>THIAGO ABREU SILVA</t>
    </r>
    <r>
      <rPr>
        <b/>
        <sz val="10"/>
        <color indexed="10"/>
        <rFont val="Arial Narrow"/>
        <family val="2"/>
      </rPr>
      <t xml:space="preserve"> (Avatar/Curitiba)</t>
    </r>
  </si>
  <si>
    <r>
      <t xml:space="preserve">EDUARDO SACHINSKI </t>
    </r>
    <r>
      <rPr>
        <b/>
        <sz val="10"/>
        <color indexed="10"/>
        <rFont val="Arial Narrow"/>
        <family val="2"/>
      </rPr>
      <t>(Dudi)</t>
    </r>
  </si>
  <si>
    <r>
      <t>JEFERSON XAVIER</t>
    </r>
    <r>
      <rPr>
        <b/>
        <sz val="10"/>
        <color indexed="10"/>
        <rFont val="Arial Narrow"/>
        <family val="2"/>
      </rPr>
      <t xml:space="preserve"> (Cipó, Spock)</t>
    </r>
  </si>
  <si>
    <r>
      <t xml:space="preserve">ROBSON JOE MACHADO FERNANDES </t>
    </r>
    <r>
      <rPr>
        <b/>
        <sz val="10"/>
        <color indexed="10"/>
        <rFont val="Arial Narrow"/>
        <family val="2"/>
      </rPr>
      <t>(Curitiba)</t>
    </r>
  </si>
  <si>
    <r>
      <t xml:space="preserve">PAULO SERGIO FERREIRA </t>
    </r>
    <r>
      <rPr>
        <b/>
        <sz val="10"/>
        <color indexed="10"/>
        <rFont val="Arial Narrow"/>
        <family val="2"/>
      </rPr>
      <t>(Butia)</t>
    </r>
  </si>
  <si>
    <t>WILLIAN DE OLIVEIRA SOUZA</t>
  </si>
  <si>
    <t>GABRIEL FERNANDO ANGIESKI</t>
  </si>
  <si>
    <t>FELIPE COUTINHO CRISTIANO</t>
  </si>
  <si>
    <t>15/02/207</t>
  </si>
  <si>
    <t>EVERALDO OLIVEIRA DE SANTANA</t>
  </si>
  <si>
    <t>TRÂNSITO</t>
  </si>
  <si>
    <t>DOUGLAS VALE</t>
  </si>
  <si>
    <t xml:space="preserve">BRIAN FERNANDO DE OLIVEIRA </t>
  </si>
  <si>
    <t>GILBERTO LEOTERIO DA LUZ</t>
  </si>
  <si>
    <t>MICHEL PEREIRA EVANGELISTA</t>
  </si>
  <si>
    <t>RODRIGO SATO GUIMARAES (gasolina)</t>
  </si>
  <si>
    <t>LUIS TOBIAS ROMUALDO DA CRUZ</t>
  </si>
  <si>
    <t>JOAO VALDERI DA SILVA SILVEIRA</t>
  </si>
  <si>
    <t>EDENILSON RIBEIRO</t>
  </si>
  <si>
    <t>EVERTON SINGER DOS SANTOS</t>
  </si>
  <si>
    <t>WASHINGTON DO VALLE FERREIRA DE ALMEIDA</t>
  </si>
  <si>
    <t>WILLIAN FAUSTIN SERVIDONE</t>
  </si>
  <si>
    <r>
      <t>ROGERIO RODRIGUES</t>
    </r>
    <r>
      <rPr>
        <b/>
        <sz val="10"/>
        <color indexed="10"/>
        <rFont val="Arial Narrow"/>
        <family val="2"/>
      </rPr>
      <t xml:space="preserve"> (Buiu)</t>
    </r>
  </si>
  <si>
    <t>JOSE LUIZ DA FONSECA</t>
  </si>
  <si>
    <t>PAULO SERGIO ROCHA MACHADO</t>
  </si>
  <si>
    <t>PAULO ROBERTO DE QUADROS</t>
  </si>
  <si>
    <t>FABIO ANTUNES RIBEIRO</t>
  </si>
  <si>
    <t>KAILLÃ DOS SANTOS RODRIGUES</t>
  </si>
  <si>
    <t>FABIO CARLOS BORBA DA SILVA</t>
  </si>
  <si>
    <t>JOAO MARCOS DA SILVA TELES</t>
  </si>
  <si>
    <t>MAURICIO FERREIRA DO PRADO</t>
  </si>
  <si>
    <t>PAULO CARVALHO DE SOUZA</t>
  </si>
  <si>
    <t>TIAGO FURQUIM</t>
  </si>
  <si>
    <t>VICTOR EMANUEL PEDROSO</t>
  </si>
  <si>
    <t>WILLIAM ALEXANDRE LEONOR</t>
  </si>
  <si>
    <t>EZEQUIEL DE QUADROS</t>
  </si>
  <si>
    <t>VICTOR HENRIQUE DE ALMEIDA OLIVEIRA</t>
  </si>
  <si>
    <t>CARLOS AUGUSTO MORAES DOMINGOS</t>
  </si>
  <si>
    <t>WASHINGTON PREZENCE DE OLIVEIRA</t>
  </si>
  <si>
    <t xml:space="preserve">CRISTIAN MATEUS SANTOS </t>
  </si>
  <si>
    <t>WILLIAN RIBEIRO MOREIRA</t>
  </si>
  <si>
    <t>CARLOS EMILIO HONIG</t>
  </si>
  <si>
    <t>PEL 2</t>
  </si>
  <si>
    <t>JOAO LUIS  DE CARVALHO</t>
  </si>
  <si>
    <t>ALEX PATRICK ANDRADE LOPES</t>
  </si>
  <si>
    <t>ANDERSON NILSON DA SILVA LOPES</t>
  </si>
  <si>
    <t>JOSE ARANA DAMASIO</t>
  </si>
  <si>
    <t>CARLOS ALBARI DE OLIVEIRA</t>
  </si>
  <si>
    <t>ALESSANDRO CORDEIRO DA FONSECA</t>
  </si>
  <si>
    <t>RODRIGO DE CARVALHO JUVENCIO</t>
  </si>
  <si>
    <t>NILBERTO GALVAO</t>
  </si>
  <si>
    <t>ERICKSON LEONARDO LOPES RODRIGUES</t>
  </si>
  <si>
    <r>
      <rPr>
        <b/>
        <sz val="10"/>
        <rFont val="Arial Narrow"/>
        <family val="2"/>
      </rPr>
      <t>JACKSON DOS SANTOS</t>
    </r>
    <r>
      <rPr>
        <b/>
        <sz val="10"/>
        <color indexed="10"/>
        <rFont val="Arial Narrow"/>
        <family val="2"/>
      </rPr>
      <t xml:space="preserve"> (Gordinho)</t>
    </r>
  </si>
  <si>
    <t>JEAN ALEXANDRE IVAINSKI</t>
  </si>
  <si>
    <t>LUCAS DA SILVA NEVES</t>
  </si>
  <si>
    <t>LUIZ CARLOS CADEN</t>
  </si>
  <si>
    <t>LUIS CARLOS SOARES DELGADO</t>
  </si>
  <si>
    <r>
      <rPr>
        <b/>
        <sz val="10"/>
        <rFont val="Arial Narrow"/>
        <family val="2"/>
      </rPr>
      <t>RODRIGO SATO GUIMARAES</t>
    </r>
    <r>
      <rPr>
        <b/>
        <sz val="10"/>
        <color indexed="10"/>
        <rFont val="Arial Narrow"/>
        <family val="2"/>
      </rPr>
      <t xml:space="preserve"> (gasolina)</t>
    </r>
  </si>
  <si>
    <t>WELLINGTON SOUZA E SILVA</t>
  </si>
  <si>
    <t>REGIME ABERTO</t>
  </si>
  <si>
    <t>JOHN LENON GARCIAS FERREIRA</t>
  </si>
  <si>
    <t>JOCELIO FABIANO NUNES OLIVEIRA</t>
  </si>
  <si>
    <r>
      <t xml:space="preserve">RAFAEL ALVES </t>
    </r>
    <r>
      <rPr>
        <b/>
        <sz val="10"/>
        <color indexed="10"/>
        <rFont val="Arial Narrow"/>
        <family val="2"/>
      </rPr>
      <t>(Seco)</t>
    </r>
  </si>
  <si>
    <r>
      <rPr>
        <b/>
        <sz val="10"/>
        <rFont val="Arial Narrow"/>
        <family val="2"/>
      </rPr>
      <t>SIDINEI MACIEL DE OLIVEIRA</t>
    </r>
    <r>
      <rPr>
        <b/>
        <sz val="10"/>
        <color indexed="17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(Side)</t>
    </r>
  </si>
  <si>
    <r>
      <t xml:space="preserve">ERIEL RODRIGUES GONÇALVES </t>
    </r>
    <r>
      <rPr>
        <b/>
        <sz val="10"/>
        <color indexed="10"/>
        <rFont val="Arial Narrow"/>
        <family val="2"/>
      </rPr>
      <t>(CT2)</t>
    </r>
  </si>
  <si>
    <r>
      <t xml:space="preserve">EVERSON LUIS DE LIMA </t>
    </r>
    <r>
      <rPr>
        <b/>
        <sz val="10"/>
        <color indexed="10"/>
        <rFont val="Arial Narrow"/>
        <family val="2"/>
      </rPr>
      <t>(Chuck)</t>
    </r>
  </si>
  <si>
    <r>
      <t xml:space="preserve">ROBERSON DE QUADROS DE ANDRADE </t>
    </r>
    <r>
      <rPr>
        <b/>
        <sz val="10"/>
        <color indexed="10"/>
        <rFont val="Arial Narrow"/>
        <family val="2"/>
      </rPr>
      <t>(Robinho)</t>
    </r>
  </si>
  <si>
    <r>
      <t>JOSE DENILSON URBANECK</t>
    </r>
    <r>
      <rPr>
        <b/>
        <sz val="10"/>
        <color indexed="10"/>
        <rFont val="Arial Narrow"/>
        <family val="2"/>
      </rPr>
      <t xml:space="preserve"> (D2)</t>
    </r>
  </si>
  <si>
    <r>
      <t>ANDERSON JOSE DOS SANTOS</t>
    </r>
    <r>
      <rPr>
        <b/>
        <sz val="10"/>
        <color indexed="10"/>
        <rFont val="Arial Narrow"/>
        <family val="2"/>
      </rPr>
      <t xml:space="preserve"> (Nego Sete)</t>
    </r>
  </si>
  <si>
    <r>
      <t xml:space="preserve">MARCOS WILLIAN SANTOS DA SILVA </t>
    </r>
    <r>
      <rPr>
        <b/>
        <sz val="10"/>
        <color indexed="10"/>
        <rFont val="Arial Narrow"/>
        <family val="2"/>
      </rPr>
      <t>(Marquinhos)</t>
    </r>
  </si>
  <si>
    <r>
      <t xml:space="preserve">DIEGO MAURICIO MARTINS </t>
    </r>
    <r>
      <rPr>
        <b/>
        <sz val="10"/>
        <color indexed="10"/>
        <rFont val="Arial Narrow"/>
        <family val="2"/>
      </rPr>
      <t>(Toicinho)</t>
    </r>
  </si>
  <si>
    <r>
      <rPr>
        <b/>
        <sz val="10"/>
        <color indexed="8"/>
        <rFont val="Arial Narrow"/>
        <family val="2"/>
      </rPr>
      <t>EZEQUIEL PEREIRA RODRIGUES</t>
    </r>
    <r>
      <rPr>
        <b/>
        <sz val="10"/>
        <color indexed="10"/>
        <rFont val="Arial Narrow"/>
        <family val="2"/>
      </rPr>
      <t xml:space="preserve"> (Peludo)</t>
    </r>
  </si>
  <si>
    <r>
      <t>CLEVERSON GONÇALVES DA SILVA</t>
    </r>
    <r>
      <rPr>
        <b/>
        <sz val="10"/>
        <color indexed="10"/>
        <rFont val="Arial Narrow"/>
        <family val="2"/>
      </rPr>
      <t xml:space="preserve"> (Fantasma / Pequeno)</t>
    </r>
  </si>
  <si>
    <r>
      <t xml:space="preserve">ROBSON RIBEIRO PINTO </t>
    </r>
    <r>
      <rPr>
        <b/>
        <sz val="10"/>
        <color indexed="10"/>
        <rFont val="Arial Narrow"/>
        <family val="2"/>
      </rPr>
      <t>(Mica)</t>
    </r>
  </si>
  <si>
    <r>
      <t xml:space="preserve">WELLINGTON DOS SANTOS  </t>
    </r>
    <r>
      <rPr>
        <b/>
        <sz val="10"/>
        <color indexed="10"/>
        <rFont val="Arial Narrow"/>
        <family val="2"/>
      </rPr>
      <t>(Gauchinho)</t>
    </r>
  </si>
  <si>
    <r>
      <rPr>
        <b/>
        <sz val="10"/>
        <rFont val="Arial Narrow"/>
        <family val="2"/>
      </rPr>
      <t xml:space="preserve">ERLEI DE JESUS ZAMBILO </t>
    </r>
    <r>
      <rPr>
        <b/>
        <sz val="10"/>
        <color indexed="10"/>
        <rFont val="Arial Narrow"/>
        <family val="2"/>
      </rPr>
      <t>(Gringo)</t>
    </r>
  </si>
  <si>
    <r>
      <t xml:space="preserve">DANIEL NOGUEIRA </t>
    </r>
    <r>
      <rPr>
        <b/>
        <sz val="10"/>
        <color indexed="10"/>
        <rFont val="Arial Narrow"/>
        <family val="2"/>
      </rPr>
      <t>(Radical)</t>
    </r>
  </si>
  <si>
    <r>
      <t xml:space="preserve">LEANDRO NOGUEIRA </t>
    </r>
    <r>
      <rPr>
        <b/>
        <sz val="10"/>
        <color indexed="10"/>
        <rFont val="Arial Narrow"/>
        <family val="2"/>
      </rPr>
      <t>(Tornado)</t>
    </r>
  </si>
  <si>
    <r>
      <t>FERNANDO FELIX ESPIRITO SANTO</t>
    </r>
    <r>
      <rPr>
        <b/>
        <sz val="10"/>
        <color indexed="10"/>
        <rFont val="Arial Narrow"/>
        <family val="2"/>
      </rPr>
      <t xml:space="preserve"> (Litinho)</t>
    </r>
  </si>
  <si>
    <r>
      <t xml:space="preserve">AMADOR DE JESUS TRESK </t>
    </r>
    <r>
      <rPr>
        <b/>
        <sz val="10"/>
        <color indexed="10"/>
        <rFont val="Arial Narrow"/>
        <family val="2"/>
      </rPr>
      <t>(Veinho)</t>
    </r>
  </si>
  <si>
    <r>
      <t>WAGNER SCHITICOSKI</t>
    </r>
    <r>
      <rPr>
        <b/>
        <sz val="10"/>
        <color indexed="10"/>
        <rFont val="Arial Narrow"/>
        <family val="2"/>
      </rPr>
      <t xml:space="preserve"> (Tiquinho)</t>
    </r>
  </si>
  <si>
    <r>
      <rPr>
        <b/>
        <sz val="10"/>
        <rFont val="Arial Narrow"/>
        <family val="2"/>
      </rPr>
      <t>WILLIAN JUNIOR SILVEIRA DE BARROS</t>
    </r>
    <r>
      <rPr>
        <b/>
        <sz val="10"/>
        <color indexed="10"/>
        <rFont val="Arial Narrow"/>
        <family val="2"/>
      </rPr>
      <t xml:space="preserve"> (Kiko)</t>
    </r>
  </si>
  <si>
    <r>
      <t xml:space="preserve">PAULO SERGIO COELHO FERREIRA </t>
    </r>
    <r>
      <rPr>
        <b/>
        <sz val="10"/>
        <color indexed="10"/>
        <rFont val="Arial Narrow"/>
        <family val="2"/>
      </rPr>
      <t>(Paeta/Mineiro)</t>
    </r>
  </si>
  <si>
    <r>
      <t xml:space="preserve">MARCOS JOSE SOARES </t>
    </r>
    <r>
      <rPr>
        <b/>
        <sz val="10"/>
        <color indexed="10"/>
        <rFont val="Arial Narrow"/>
        <family val="2"/>
      </rPr>
      <t>(Baiano)</t>
    </r>
  </si>
  <si>
    <r>
      <t xml:space="preserve">JEFFERSON ALVES DE SOUZA </t>
    </r>
    <r>
      <rPr>
        <b/>
        <sz val="10"/>
        <color indexed="10"/>
        <rFont val="Arial Narrow"/>
        <family val="2"/>
      </rPr>
      <t>(Chimbinha)</t>
    </r>
  </si>
  <si>
    <r>
      <t xml:space="preserve">VALDINEI MOREIRA </t>
    </r>
    <r>
      <rPr>
        <b/>
        <sz val="10"/>
        <color indexed="10"/>
        <rFont val="Arial Narrow"/>
        <family val="2"/>
      </rPr>
      <t>(Amendoim)</t>
    </r>
  </si>
  <si>
    <r>
      <t>MAICON HENRIQUE CORREIA</t>
    </r>
    <r>
      <rPr>
        <b/>
        <sz val="10"/>
        <color indexed="10"/>
        <rFont val="Arial Narrow"/>
        <family val="2"/>
      </rPr>
      <t xml:space="preserve"> (Sabiá)</t>
    </r>
  </si>
  <si>
    <r>
      <t xml:space="preserve">ROSEMBERG CANDIDO </t>
    </r>
    <r>
      <rPr>
        <b/>
        <sz val="10"/>
        <color indexed="10"/>
        <rFont val="Arial Narrow"/>
        <family val="2"/>
      </rPr>
      <t>(Predador/ Preto Veio)</t>
    </r>
  </si>
  <si>
    <r>
      <t>ROGERIO RODRIGUES</t>
    </r>
    <r>
      <rPr>
        <b/>
        <sz val="10"/>
        <color indexed="10"/>
        <rFont val="Arial Narrow"/>
        <family val="2"/>
      </rPr>
      <t xml:space="preserve"> (Buiu)</t>
    </r>
  </si>
  <si>
    <r>
      <t>CLEBER ALBERTO SARAFIM</t>
    </r>
    <r>
      <rPr>
        <b/>
        <sz val="10"/>
        <color indexed="10"/>
        <rFont val="Arial Narrow"/>
        <family val="2"/>
      </rPr>
      <t xml:space="preserve"> (Galize)</t>
    </r>
  </si>
  <si>
    <r>
      <t>LEANDRO XAVIER</t>
    </r>
    <r>
      <rPr>
        <b/>
        <sz val="10"/>
        <color indexed="10"/>
        <rFont val="Arial Narrow"/>
        <family val="2"/>
      </rPr>
      <t xml:space="preserve"> (Faustão)</t>
    </r>
  </si>
  <si>
    <r>
      <t xml:space="preserve">CARLOS EDENILSON MONTEIRO CAMARGO </t>
    </r>
    <r>
      <rPr>
        <b/>
        <sz val="10"/>
        <color indexed="10"/>
        <rFont val="Arial Narrow"/>
        <family val="2"/>
      </rPr>
      <t>(Guga)</t>
    </r>
  </si>
  <si>
    <t>JACIMIR RIBAS DOS SANTOS</t>
  </si>
  <si>
    <t>ELIEBER HENRIQUE SCHULTZ (Grilo)</t>
  </si>
  <si>
    <t>LUZIA 1</t>
  </si>
  <si>
    <t>LUZIA 2</t>
  </si>
  <si>
    <t>KLEBERSON MARTINS FERREIRA</t>
  </si>
  <si>
    <t>ROBSON LEANDRO PINHEIRO DE LIMA</t>
  </si>
  <si>
    <t>JORGE LUIZ DIOGO JUNIOR</t>
  </si>
  <si>
    <t>LUIZ HENRIQUE DE PAULA</t>
  </si>
  <si>
    <t>GABRIEL VINICIUS VIEIRA BORGES</t>
  </si>
  <si>
    <t>MARIOLINO LAURENTINO</t>
  </si>
  <si>
    <t>MATHEUS RAFAEL DE OLIVEIRA</t>
  </si>
  <si>
    <t>WESLEY ROGERIO DE CARVALHO</t>
  </si>
  <si>
    <t>DANILO VIEIRA CANDIDO</t>
  </si>
  <si>
    <t>BRUNO ALEXANDRO GOMES VENSÃO</t>
  </si>
  <si>
    <t>FELIPE JOSE STORI MOREIRA</t>
  </si>
  <si>
    <t>RONER JEAN FERREIRA</t>
  </si>
  <si>
    <t>HEMERSON PADILHA</t>
  </si>
  <si>
    <t>JHONATAN FRANTIESCO BASTOS</t>
  </si>
  <si>
    <t>ROBERSON DE QUADROS DE ANDRADE</t>
  </si>
  <si>
    <t>MIGUEL JOSE BAIAK FILHO</t>
  </si>
  <si>
    <t>GIOVANI FERNANDES DE ALMEIDA</t>
  </si>
  <si>
    <t>MARIO CESAR VALENTIN JUNIOR</t>
  </si>
  <si>
    <r>
      <t xml:space="preserve">USAR ÍNTIMA PARA </t>
    </r>
    <r>
      <rPr>
        <b/>
        <sz val="12"/>
        <color indexed="10"/>
        <rFont val="Arial Narrow"/>
        <family val="2"/>
      </rPr>
      <t>ÍNTIMA</t>
    </r>
  </si>
  <si>
    <t>JHONATAN ALEX ROCHA</t>
  </si>
  <si>
    <t>HELZO ANTUNES DOS SANTOS</t>
  </si>
  <si>
    <t>JURANDIR VELOSO</t>
  </si>
  <si>
    <t>MAIKON DA SILVA SARAIVA</t>
  </si>
  <si>
    <t>MARCIO INACIO VIEIRA</t>
  </si>
  <si>
    <t>REINALDO DUARTE DA SILVA</t>
  </si>
  <si>
    <t>JOHN LENON RODRIGUES DE FREITAS</t>
  </si>
  <si>
    <t>MARCELO PEDROSO</t>
  </si>
  <si>
    <t>LEO JEANDREI SCHNEIDER BORGES</t>
  </si>
  <si>
    <t>ILSON VIANA</t>
  </si>
  <si>
    <t>LENISSON DIAS DE SOUZA</t>
  </si>
  <si>
    <t>ANDRE LUCAS MARQUES DOS SANTOS</t>
  </si>
  <si>
    <t>CARLOS DE JESUS CAETANO FILHO</t>
  </si>
  <si>
    <t>JOSUEL JHONATAN PINHEIRO</t>
  </si>
  <si>
    <t>RAFAEL APARECIDO ROSA DE SOUZA</t>
  </si>
  <si>
    <t>REGINALDO PEREIRA VIDAL</t>
  </si>
  <si>
    <t>DAVI MOISES DE BASTOS RAMOS</t>
  </si>
  <si>
    <t>JONAS RIBEIRO</t>
  </si>
  <si>
    <t>LUIS GUILHERME STRACK BRANCO</t>
  </si>
  <si>
    <t>TIAGO PONTES DE LIMA DE PAULA</t>
  </si>
  <si>
    <t>CEZAR NATANAEL NOGUEIRA DE LIMA</t>
  </si>
  <si>
    <t>HENRIQUE SINKIESSICZ</t>
  </si>
  <si>
    <t>JULIANO GONÇALVES</t>
  </si>
  <si>
    <t>PAULO HENRIQUE BORGES</t>
  </si>
  <si>
    <t>VICTOR MORAES DO VALLE</t>
  </si>
  <si>
    <t>ANTONIO LUIZ BATISTA</t>
  </si>
  <si>
    <t>GELSON DE CASTRO</t>
  </si>
  <si>
    <t>SANDRO NASCIMENTO</t>
  </si>
  <si>
    <t>MAIKO MACHADO</t>
  </si>
  <si>
    <t>FEDERAL</t>
  </si>
  <si>
    <t>CLAUDINEI ALVES BORGES</t>
  </si>
  <si>
    <t>EMERSON JULIANO DE OLIVEIRA</t>
  </si>
  <si>
    <t>JUNIOR DOS SANTOS CRUZ</t>
  </si>
  <si>
    <t>MARCELO LOURENÇO DE FARIA</t>
  </si>
  <si>
    <t>NILSON AMARO PEREIRA</t>
  </si>
  <si>
    <t>ALAN JONES DE CARVALHO FRANCO</t>
  </si>
  <si>
    <t>JOAO MARCOS JUSTINO DA SILVA</t>
  </si>
  <si>
    <t>JEAN FERNANDO KOSAKE</t>
  </si>
  <si>
    <t>WESLEY JONSSON MARTINS</t>
  </si>
  <si>
    <t>DANIEL DE BASTOS RAMOS</t>
  </si>
  <si>
    <t>VALDIVAN PEREIRA DOS SANTOS</t>
  </si>
  <si>
    <t>ENIO DE MORAIS</t>
  </si>
  <si>
    <t>CLODOALDO BATISTA GONÇALVES</t>
  </si>
  <si>
    <t>JAQUESON GOMES FERREIRA</t>
  </si>
  <si>
    <t>ALEX DA SILVA PROENÇA</t>
  </si>
  <si>
    <t>IZAEL FERNANDES DOS SANTOS</t>
  </si>
  <si>
    <t>DARLEI INOCENCIO GONÇALVES</t>
  </si>
  <si>
    <t>JULIANO DE JESUS SOARES RODRIGUES</t>
  </si>
  <si>
    <t>REGINALDO DE MIRANDA OLIVEIRA</t>
  </si>
  <si>
    <t>VANDERLEI RIBEIRO DA ROSA JUNIOR</t>
  </si>
  <si>
    <t>LEANDRO JOSE GONÇALVES</t>
  </si>
  <si>
    <t>GERALDO HENRIQUE DO ESPIRITO SANTO</t>
  </si>
  <si>
    <t>SIDIMAR INÁCIO</t>
  </si>
  <si>
    <t>ANDERSON MARCONDES</t>
  </si>
  <si>
    <t>ANDERSON DE LARA CASTANHO</t>
  </si>
  <si>
    <t>LUAN SILVA RODRIGUES</t>
  </si>
  <si>
    <t>WANDERSON EMILIO PALMA</t>
  </si>
  <si>
    <t>ALAN BRUNO MARTINS</t>
  </si>
  <si>
    <t>THIARLES WILLIAN DA SILVA</t>
  </si>
  <si>
    <t>PAULO EDUARDO GODOI MILEK</t>
  </si>
  <si>
    <t>DIEGO MENDES</t>
  </si>
  <si>
    <t>BRUNO RAFAEL DOS SANTOS</t>
  </si>
  <si>
    <t>NAIN MOISES SANTOS ROSA</t>
  </si>
  <si>
    <t>ERICK FERNANDO DA SILVA</t>
  </si>
  <si>
    <t>ROSNEY OLIVEIRA  CARNEIRO</t>
  </si>
  <si>
    <t>LEANDRO DA SILVA CORTES</t>
  </si>
  <si>
    <t>DIRLEI RODRIGUES DOS SANTOS</t>
  </si>
  <si>
    <t>DANIEL MENDES RIBEIRO</t>
  </si>
  <si>
    <t>ANDRE ILTON PEREIRA</t>
  </si>
  <si>
    <t>ANDERSON GONÇALVES DA SILVA</t>
  </si>
  <si>
    <t>MATEUS GUSTAVO MARTINELLI</t>
  </si>
  <si>
    <t>RONI LIMA DE SOUZA</t>
  </si>
  <si>
    <t>BRUNO HENRIQUE SANTOS</t>
  </si>
  <si>
    <t>DIEMERSON JOELSON PEDROZO DE OLIVEIRA</t>
  </si>
  <si>
    <t>DEJALMA CRISTIANO DOS SANTOS</t>
  </si>
  <si>
    <t>EDEVANDRO DE JESUS LARA</t>
  </si>
  <si>
    <t>OK</t>
  </si>
  <si>
    <t>JULIO FERNANDO BORGES</t>
  </si>
  <si>
    <t>ERLEI DE JESUS ZAMBILO</t>
  </si>
  <si>
    <t>PEL1</t>
  </si>
  <si>
    <t>MAGNO RICARDO DE MORAIS SANTANA</t>
  </si>
  <si>
    <t>CLEBERTON APARECIDO M. DOS SANTOS</t>
  </si>
  <si>
    <t>LAURO DE JESUS RIBEIRO</t>
  </si>
  <si>
    <t>ODILON PEREIRA DA SILVA</t>
  </si>
  <si>
    <t>JOSUE DOS SANTOS SOUZA</t>
  </si>
  <si>
    <t>HILDEBRANDRO</t>
  </si>
  <si>
    <t>CASTRO</t>
  </si>
  <si>
    <t>ALAN CHRISTOPHER DE ALMEIDA</t>
  </si>
  <si>
    <t>JHOSEFF DE JESUS ARAÚJO VANDOSKI</t>
  </si>
  <si>
    <t>DEAD</t>
  </si>
  <si>
    <t>MAYCO DE SOUZA MORETTE</t>
  </si>
  <si>
    <t>BRUNO ALEXANDRE APARECIDO DA SILVA REIS</t>
  </si>
  <si>
    <t>RAFAEL DOS SANTOS</t>
  </si>
  <si>
    <t>VINICIUS DE QUADROS MATIAS</t>
  </si>
  <si>
    <t>TARCISIO ALVES DOS SANTOS</t>
  </si>
  <si>
    <t>DOUGLAS BUENO DE CAMARGO</t>
  </si>
  <si>
    <t>ANDERSON SIEIRO DE SALLES</t>
  </si>
  <si>
    <t>ALEF ARIMATÉIA TIELES SILVA</t>
  </si>
  <si>
    <t>ANSELMO LOURENÇO JULINHAK</t>
  </si>
  <si>
    <t>JOEL LIMA DA SILVA</t>
  </si>
  <si>
    <t>ADRIANO MATIAS SANTANA</t>
  </si>
  <si>
    <t>DIOGO JACKSON GOMES DA SILVA</t>
  </si>
  <si>
    <t>RICARDO GOMES DE FREITAS</t>
  </si>
  <si>
    <t>JOSE LEONARDO LEITE DO NASCIMENTO</t>
  </si>
  <si>
    <t>MARCELO RIBEIRO</t>
  </si>
  <si>
    <t>4º</t>
  </si>
  <si>
    <t>ALEX JOÃO MATEUS DE CAMPOS</t>
  </si>
  <si>
    <t>JAIME MADUREIRA FILHO</t>
  </si>
  <si>
    <t>JOAILTON SILVIO VAZ</t>
  </si>
  <si>
    <t xml:space="preserve">MARIO JOSE DA CUNHA </t>
  </si>
  <si>
    <t>ROBSON CARVALHO DE MORAIS</t>
  </si>
  <si>
    <t>SIDNEI MACIEL DE OLIVEIRA</t>
  </si>
  <si>
    <t>AROLDO GARCIA JUNIOR</t>
  </si>
  <si>
    <t>WILLIAN DA SILVA CAMARGO</t>
  </si>
  <si>
    <t>LUIZ FERNANDO WERNECK</t>
  </si>
  <si>
    <t>JONATAN RODRIGO AGUIAR</t>
  </si>
  <si>
    <t>FERNANDO FELIX DO ESPIRITO SANTO</t>
  </si>
  <si>
    <t>DENILSON QUEIROZ</t>
  </si>
  <si>
    <t>CUB</t>
  </si>
  <si>
    <t>ALEX BARBOSA DA ROSA</t>
  </si>
  <si>
    <t>JAIR FIGUEROA FILHO</t>
  </si>
  <si>
    <t xml:space="preserve">WESLEY FERNANDO DA SILVA </t>
  </si>
  <si>
    <t>FABIO PIRES BARBOSA</t>
  </si>
  <si>
    <t>LUIS CESAR SOARES</t>
  </si>
  <si>
    <t>LUIS PAULO ZANDER</t>
  </si>
  <si>
    <t>LUIZ FILIPE MARCELINO</t>
  </si>
  <si>
    <t>VAISTON JUNIOR GONÇALVES</t>
  </si>
  <si>
    <t>TRANSF. LAPA</t>
  </si>
  <si>
    <t xml:space="preserve">ACASSIO GONÇALVES NERY </t>
  </si>
  <si>
    <t>RAFAEL APARECIDO SILVA</t>
  </si>
  <si>
    <t>ROBER ANDERSON SEVERINO</t>
  </si>
  <si>
    <t>GUILHERME ROBERTO DE OLIVEIRA</t>
  </si>
  <si>
    <t>KELTON PEREIRA DA SILVA</t>
  </si>
  <si>
    <t>DANILO RAMOS CARVALHO</t>
  </si>
  <si>
    <t>GABRIEL CRUZ DE RAMOS</t>
  </si>
  <si>
    <t>FERNANDO RAFAEL ZIARESKI</t>
  </si>
  <si>
    <t>FABRIZIO ALEXANDRE DE SOUZA DE OLINDO</t>
  </si>
  <si>
    <t>RODRIGO CARNEIRO</t>
  </si>
  <si>
    <t>ROBERSON DA SILVA ROSA</t>
  </si>
  <si>
    <t>WELYNTON DA SILVA</t>
  </si>
  <si>
    <t>VICTOR MATHEUS RIBEIRO DA SILVA</t>
  </si>
  <si>
    <t>GEOVANE DE MOURA ALVES</t>
  </si>
  <si>
    <t>WAGNER SCHITICOSKI</t>
  </si>
  <si>
    <t>THIAGO HANNCH MULLER</t>
  </si>
  <si>
    <t>ANDREIKE CARDOSO DE LIMA</t>
  </si>
  <si>
    <t>B 203</t>
  </si>
  <si>
    <r>
      <t xml:space="preserve">DIEGO MAURICIO MARTINS DOS SANTOS </t>
    </r>
    <r>
      <rPr>
        <b/>
        <sz val="10"/>
        <color indexed="10"/>
        <rFont val="Arial Narrow"/>
        <family val="2"/>
      </rPr>
      <t>(Toicinho)</t>
    </r>
  </si>
  <si>
    <t>DENIS KAPASSI NATEL</t>
  </si>
  <si>
    <t>DIEGO LIMA MASCARENHAS</t>
  </si>
  <si>
    <t>RONALDO SEBASTIÃO DE OLIVEIRA LACERDA</t>
  </si>
  <si>
    <t>MEIRISOM FLORENTINO SKRENKOVICZ</t>
  </si>
  <si>
    <t>FOICE</t>
  </si>
  <si>
    <t>B 106</t>
  </si>
  <si>
    <t>B 107</t>
  </si>
  <si>
    <t>B 108</t>
  </si>
  <si>
    <t>B 116</t>
  </si>
  <si>
    <t>B 218</t>
  </si>
  <si>
    <t>PAULO SERGIO DA SILVEIRA</t>
  </si>
  <si>
    <t>A 103</t>
  </si>
  <si>
    <t>MARCELO STOCO</t>
  </si>
  <si>
    <t>PATRICK DE OLIVEIRA BARBOSA</t>
  </si>
  <si>
    <t>MARCOS FERNANDO GARCIA</t>
  </si>
  <si>
    <t>NOBORO KAMURA JUNIOR</t>
  </si>
  <si>
    <t>ROGERIO DA SILVA LEITE</t>
  </si>
  <si>
    <t>EMERSON CARNEIRO DA SILVA</t>
  </si>
  <si>
    <t>EVANDRO DE OLIVEIRA</t>
  </si>
  <si>
    <t>B 109</t>
  </si>
  <si>
    <t>B 104</t>
  </si>
  <si>
    <t>CARLOS GILBERTO MENDES JEBI</t>
  </si>
  <si>
    <t>VALDOMIRO JOSÉ DOS S. PEREIRA</t>
  </si>
  <si>
    <t>FRANCISCO DE ASSIS CARVALHO</t>
  </si>
  <si>
    <t>B 115</t>
  </si>
  <si>
    <t>EVERSON RIBEIRO PINTO</t>
  </si>
  <si>
    <t>ISRAEL RIBEIRO BUENO</t>
  </si>
  <si>
    <t>JACKSON LUIZ DOS SANTOS</t>
  </si>
  <si>
    <t>JOHNNY RIBEIRO DA LUZ</t>
  </si>
  <si>
    <t>LUIS RODRIGO DE BAIROS VIRIATO</t>
  </si>
  <si>
    <t>LUIZ CARLOS ROSA</t>
  </si>
  <si>
    <t>WILLIAM JOSÉ MESSIAS SOARES</t>
  </si>
  <si>
    <r>
      <rPr>
        <b/>
        <sz val="10"/>
        <rFont val="Arial Narrow"/>
        <family val="2"/>
      </rPr>
      <t>WILLIAM JUNIOR SILVEIRA DE BARROS</t>
    </r>
    <r>
      <rPr>
        <b/>
        <sz val="10"/>
        <color indexed="10"/>
        <rFont val="Arial Narrow"/>
        <family val="2"/>
      </rPr>
      <t xml:space="preserve"> (Kiko)</t>
    </r>
  </si>
  <si>
    <t>COSTURA</t>
  </si>
  <si>
    <t>NADI ALVES</t>
  </si>
  <si>
    <t>CIRO LUIZ MANOSSO FILHO</t>
  </si>
  <si>
    <t>LEANDERSON SANTANA DA SILVA</t>
  </si>
  <si>
    <t>LUCAS BORGES DE RAMOS</t>
  </si>
  <si>
    <t>LUCIANO RODRIGUES DOS SANTOS</t>
  </si>
  <si>
    <t>RAFAEL LUIZ FERREIRA</t>
  </si>
  <si>
    <t>LEORNES PEREIRA ALVES DOS SANTOS</t>
  </si>
  <si>
    <t>B 118</t>
  </si>
  <si>
    <t>EDUARDO DA SILVA CARNEIRO LOBO</t>
  </si>
  <si>
    <t xml:space="preserve">ERICKSON DIEGO MARTINS </t>
  </si>
  <si>
    <t>GIOVANI BRANCO</t>
  </si>
  <si>
    <t>JORGE LUIZ DIOGO</t>
  </si>
  <si>
    <t>JURENIO DA SILVA</t>
  </si>
  <si>
    <t>MARCOS ALEXANDRE SOARES</t>
  </si>
  <si>
    <t>SANDRO ALEX DIAS DE OLIVEIRA</t>
  </si>
  <si>
    <t>B 114</t>
  </si>
  <si>
    <t>ESDRAS ANTUNES PEREIRA</t>
  </si>
  <si>
    <t>ROMUALDO CONCEIÇÃO CARDOSO</t>
  </si>
  <si>
    <t xml:space="preserve">VALMIR FABRÍCIO </t>
  </si>
  <si>
    <t>B 212</t>
  </si>
  <si>
    <t>ERASMO CARLOS RODRIGUES</t>
  </si>
  <si>
    <t>ELIEL DE BASTOS ASSIS</t>
  </si>
  <si>
    <t>BRUNO DA LUZ DOS SANTOS</t>
  </si>
  <si>
    <t>IZAIAS REQUIÃO ALVES</t>
  </si>
  <si>
    <t>JOAO ELEOMAR PEREIRA</t>
  </si>
  <si>
    <t>JEFERSON RODRIGUES SCHENNEIDER</t>
  </si>
  <si>
    <t>LUCINEI SEBASTIAO DE ANDRADE</t>
  </si>
  <si>
    <t>ROBSON MACHADO</t>
  </si>
  <si>
    <t>ROBERTO CARLOS LOPES DOS SANTOS CAMARGO</t>
  </si>
  <si>
    <t>JOCIMAR ELIAS DE OLIVEIRA</t>
  </si>
  <si>
    <t>JUNIOR CESAR MARTINS PEREIRA</t>
  </si>
  <si>
    <t>ROMULO ADRIANO CAMARGO</t>
  </si>
  <si>
    <t>ABRAHÃO LEANDRO MASSANEIRO</t>
  </si>
  <si>
    <t>AGEU DA SILVA</t>
  </si>
  <si>
    <t>ARISTON APARECIDO CARNEIRO REIS</t>
  </si>
  <si>
    <t>EDIEL DE OLIVEIRA CRESPIM DA ROSA</t>
  </si>
  <si>
    <t>LEANDRO APARECIDO CANTO E SILVA</t>
  </si>
  <si>
    <t>LUCAS COSTA ROSA DE OLIVEIRA</t>
  </si>
  <si>
    <t>RAFAEL FRANCISCO FERREIRA</t>
  </si>
  <si>
    <t>VITOR GEOVANE CORDEIRO</t>
  </si>
  <si>
    <t>LADISLAU DA SILVA FERREIRA</t>
  </si>
  <si>
    <t>WILHAN VILLE MENDES DOS SANTOS</t>
  </si>
  <si>
    <t>KELWIN VINICIUS DE SOUZA</t>
  </si>
  <si>
    <t>RAFAEL DOS SANTOS FERREIRA</t>
  </si>
  <si>
    <t>FELIPE DA CRUZ OLIVEIRA</t>
  </si>
  <si>
    <t>A 212</t>
  </si>
  <si>
    <t>JOAO VITOR FERREIRA DE PAULA</t>
  </si>
  <si>
    <t>JOAO CARLOS OLIVEIRA</t>
  </si>
  <si>
    <t>B 112</t>
  </si>
  <si>
    <t>Bonde CTBA</t>
  </si>
  <si>
    <t>B 117</t>
  </si>
  <si>
    <t>ANDERSON ALVES DE SOUZA</t>
  </si>
  <si>
    <t>ITAMAR GONÇALVES AZEVEDO</t>
  </si>
  <si>
    <t>ELTON DO NASCIMENTO</t>
  </si>
  <si>
    <t>RAFAEL LUCIANO DOS SANTOS</t>
  </si>
  <si>
    <t>CLAUDINEI DE ALMEIDA DE MELO</t>
  </si>
  <si>
    <t>KARLOS MICHEL GONÇALVES</t>
  </si>
  <si>
    <t>RAFAEL CARLOS DE MOURA</t>
  </si>
  <si>
    <t>WILLIAN CEZAR GOMES</t>
  </si>
  <si>
    <t xml:space="preserve">ROBSON CLEITON ROMANKIU </t>
  </si>
  <si>
    <t>DIEGO SODA</t>
  </si>
  <si>
    <t>JULIO DA SILVA ROSA</t>
  </si>
  <si>
    <t>RUDI CESAR RIBEIRO</t>
  </si>
  <si>
    <t>PEDRO FERNANDO DA SILVA</t>
  </si>
  <si>
    <t xml:space="preserve">DANIEL FELIPE ALVES DE LIMA </t>
  </si>
  <si>
    <t>GEOVANI OLIVEIRA CALAUDINO</t>
  </si>
  <si>
    <t>RODRIGO DA SILVA JORDAO</t>
  </si>
  <si>
    <t>EDUARDO GABRIEL DOS SANTOS</t>
  </si>
  <si>
    <t>LISSANDRO SANTOS DA SILVA VEIGA</t>
  </si>
  <si>
    <t>JOSE FERNANDO ROQUE DOIN</t>
  </si>
  <si>
    <t>SEBASTIAO DE JESUS SCHON</t>
  </si>
  <si>
    <t>JONATAN WILLIAN SANTOS RIBAS</t>
  </si>
  <si>
    <t>VAGNER ALEIXO FERREIRA</t>
  </si>
  <si>
    <t>ALAN LEITE SILVA</t>
  </si>
  <si>
    <t>JULIANO DA SILVA MATSUMOTO</t>
  </si>
  <si>
    <t>WILLIAN CRISTIAN DE SOUZA MORAES</t>
  </si>
  <si>
    <t>DYAKSON DE CALES PALMAS</t>
  </si>
  <si>
    <t>ADAN RODRIGO ALVES</t>
  </si>
  <si>
    <t>A 207</t>
  </si>
  <si>
    <t>ALEXANDRE ANDRADE DA SILVA</t>
  </si>
  <si>
    <t>JONAS PORTELA</t>
  </si>
  <si>
    <t>WEIDSON CARNEIRO SILVA</t>
  </si>
  <si>
    <t>GEOVANE LIRA ALBUQUERQUE CRUZ DA SILVA</t>
  </si>
  <si>
    <t>ALISSON DE FREITAS</t>
  </si>
  <si>
    <t xml:space="preserve">PEL I </t>
  </si>
  <si>
    <t>DIEGO JOSE DA SILVA</t>
  </si>
  <si>
    <t>ALEX ADRIANO DA ROCHA</t>
  </si>
  <si>
    <t>EDSON GOMES DE CAMARGO</t>
  </si>
  <si>
    <t>CRISTIANO DE OLIVEIRA</t>
  </si>
  <si>
    <t>ROBSON MOREIRA</t>
  </si>
  <si>
    <t>JEAN CARLOS PALHANO MILEKE</t>
  </si>
  <si>
    <t>GILBERTO ALVES JUNIOR</t>
  </si>
  <si>
    <t>LUIZ CARLOS FERREIRA</t>
  </si>
  <si>
    <t>ROSALDO FERREIRA DOS SANTOS</t>
  </si>
  <si>
    <t>C 116</t>
  </si>
  <si>
    <t>C 217</t>
  </si>
  <si>
    <t>C 204</t>
  </si>
  <si>
    <t>WELLINGTON ADRIANO TIBES DA SILVA (Ton)</t>
  </si>
  <si>
    <t>EDILSON DA SILVA POLICAN (Ibaiti)</t>
  </si>
  <si>
    <t>EVERALDO BRASILIO DE SOUZA (Bugre)</t>
  </si>
  <si>
    <t>FABIANO RODRIGO DOS SANTOS</t>
  </si>
  <si>
    <t>MOISES GOMES DA SILVA (Leo)</t>
  </si>
  <si>
    <t>IVERSON REGO DE FARIAS (Carioca)</t>
  </si>
  <si>
    <t xml:space="preserve">LINDHIOMAR GOMES RUDNIK (Fortaleza) </t>
  </si>
  <si>
    <t>BRUNO PATRICK GOLÇALVES SIMONATO (Daka)</t>
  </si>
  <si>
    <t>JONATHAN ROBSON DE MELLO SOUZA (Chico tripa)</t>
  </si>
  <si>
    <t>THIAGO CUSTODIO</t>
  </si>
  <si>
    <t>C 205</t>
  </si>
  <si>
    <t>LAPA</t>
  </si>
  <si>
    <t>EDSON APARECIDO FREITAS JUNIOR</t>
  </si>
  <si>
    <t>ARTESANATO</t>
  </si>
  <si>
    <t>BRIAN FERNANDO DE OLIVEIRA</t>
  </si>
  <si>
    <t>JOSE LUAN DOS SANTOS</t>
  </si>
  <si>
    <t>C 215</t>
  </si>
  <si>
    <t>ANDERSON FERREIRA DE BARROS</t>
  </si>
  <si>
    <t>UP</t>
  </si>
  <si>
    <t>B 210</t>
  </si>
  <si>
    <t>C 216</t>
  </si>
  <si>
    <t>ADAILTON INACIO DOS SANTOS</t>
  </si>
  <si>
    <t>ANTONIO BARTOSZEWSKI JUNIOR</t>
  </si>
  <si>
    <t>ANTONIO CARLOS MACHADO</t>
  </si>
  <si>
    <t>ANTONIO GOMES DE ARAÚJO</t>
  </si>
  <si>
    <t>DIEGO NAZÁRIO</t>
  </si>
  <si>
    <t>EVANDRO JAILDO DE ALMEIDA</t>
  </si>
  <si>
    <t>JACQUES ANTUNES FERREIRA</t>
  </si>
  <si>
    <t>LUCAS AUGUSTO DOS SANTOS</t>
  </si>
  <si>
    <t>MARCELO CAMARGO OLINK</t>
  </si>
  <si>
    <t>MAURO MIGUEL LINDOLFO</t>
  </si>
  <si>
    <t>REINALDO APARECIDO TEIXEIRA</t>
  </si>
  <si>
    <t>PETERSON RODRIGO WEIBER</t>
  </si>
  <si>
    <t>TIAGO DA LUZ</t>
  </si>
  <si>
    <t>VALDIR TRESKA</t>
  </si>
  <si>
    <t>A 213</t>
  </si>
  <si>
    <t>A 211</t>
  </si>
  <si>
    <t>ALCEU DE MEIRA FILHO</t>
  </si>
  <si>
    <t>ANGELO PEREIRA RAMOS</t>
  </si>
  <si>
    <t>CELSO DOS SANTOS</t>
  </si>
  <si>
    <t>CRISTIANO MORAES DOS SANTOS</t>
  </si>
  <si>
    <t>DIEGO RICARDO DUBEK NASCIMENTO</t>
  </si>
  <si>
    <t>ELTON PLEHN BANKS</t>
  </si>
  <si>
    <t>FERNANDO FERNANDES DE QUADROS</t>
  </si>
  <si>
    <t>JORGE JOSIAS ALMEIDA</t>
  </si>
  <si>
    <t>LUIS AURELIO DE OLIVEIRA</t>
  </si>
  <si>
    <t>MARCIO DE FREITAS</t>
  </si>
  <si>
    <t>MATHEUS MENDES DA ROCHA</t>
  </si>
  <si>
    <t>MURILO ALVES FRANÇA TAVARES</t>
  </si>
  <si>
    <t>ROBERT ROGERIO DE ALMEIDA PIRES</t>
  </si>
  <si>
    <t>SAMUEL DE OLIVEIRA</t>
  </si>
  <si>
    <t>WILLIAM FELIPE VIEIRA DA ROSA</t>
  </si>
  <si>
    <t>ALMIR ROGERIO DE SOUZA</t>
  </si>
  <si>
    <t>C 202</t>
  </si>
  <si>
    <t>C 203</t>
  </si>
  <si>
    <t>C 117</t>
  </si>
  <si>
    <t>C 107</t>
  </si>
  <si>
    <t>C 218</t>
  </si>
  <si>
    <t>C 105</t>
  </si>
  <si>
    <t>C 103</t>
  </si>
  <si>
    <t>C 106</t>
  </si>
  <si>
    <t>A 215</t>
  </si>
  <si>
    <t>A 214</t>
  </si>
  <si>
    <t>ANDERSON CLAYTON DOMINGUES</t>
  </si>
  <si>
    <t>FELIPE SEBASTIAO JUNIOR</t>
  </si>
  <si>
    <t>AMILTON LOURENÇO DA SILVA</t>
  </si>
  <si>
    <t>IZANDRO DA SILVA WROBEL</t>
  </si>
  <si>
    <t>JUNIOR PINHEIRO</t>
  </si>
  <si>
    <t>JONAS LINS</t>
  </si>
  <si>
    <t>MARCOS WELLINTON RIBEIRO DA LUZ</t>
  </si>
  <si>
    <t>VALDEMAR DE SOUZA ROSA</t>
  </si>
  <si>
    <t>ALEXANDRO ANDRE LEAL</t>
  </si>
  <si>
    <t>MAGNUS GEDER VICENTE MACHADO</t>
  </si>
  <si>
    <t>MAILON FAGUNDES VICENTE</t>
  </si>
  <si>
    <t>RODRIGO FEDESCHI</t>
  </si>
  <si>
    <t>ALISSON COOGAN DOS SANTOS</t>
  </si>
  <si>
    <t>EDISON COSTA DONATO JUNIOR</t>
  </si>
  <si>
    <t>FELIPE BUENO VAZ DA SILVA</t>
  </si>
  <si>
    <t>RAFAEL DA SILVA ARAUJO</t>
  </si>
  <si>
    <t>TIAGO ALVES</t>
  </si>
  <si>
    <t>BRUNO WILLYS PEDROSO RIBAS</t>
  </si>
  <si>
    <t>EWERTON BABI RIBEIRO</t>
  </si>
  <si>
    <t>FELIPE ROBERTO LEAL</t>
  </si>
  <si>
    <t>FABIO RODRIGUES DA SILVA</t>
  </si>
  <si>
    <t>BRUNO PAZ DE OLIVEIRA</t>
  </si>
  <si>
    <t>EVERSON NATALICIO PEREIRA</t>
  </si>
  <si>
    <t>EZEQUIEL BONFIM DOS SANTOS</t>
  </si>
  <si>
    <t>MANASSES CARNEIRO DOS SANTOS</t>
  </si>
  <si>
    <t>RUBENS ANDRE RODRIGUES RUTH</t>
  </si>
  <si>
    <t>WESLEY APARECIDO PEREIRA VERNER</t>
  </si>
  <si>
    <t>WILLIAN BLITZKOV</t>
  </si>
  <si>
    <t>JOSENEI MATSUMOTO</t>
  </si>
  <si>
    <t>DIRCEU KRENCIGLOVA</t>
  </si>
  <si>
    <t>ERICK CAMARGO DE ARAUJO</t>
  </si>
  <si>
    <t>GUILHERME HENRIQUE CORREIA ROCHA</t>
  </si>
  <si>
    <t>JACKSON CORREIA DE SOUZA</t>
  </si>
  <si>
    <t>MAICON JEFERSON AUGUSTAT</t>
  </si>
  <si>
    <t>VINICIUS SAMPAIO O. DOS SANTOS</t>
  </si>
  <si>
    <t>JEFERSON MEIRA DE SOUZA ALVES</t>
  </si>
  <si>
    <t>JHON MAICON DOS SANTOS CASTRO</t>
  </si>
  <si>
    <t>DIEGO MARTINS PEREIRA</t>
  </si>
  <si>
    <t>IDIVAN CHOPEK</t>
  </si>
  <si>
    <t>A 202</t>
  </si>
  <si>
    <t>CREISSON JOSE DA SILVA</t>
  </si>
  <si>
    <t>CRIS NAMMURTT CARNEIRO JORGE</t>
  </si>
  <si>
    <t>NARIELL DIEGO DA SILVA</t>
  </si>
  <si>
    <t>ALISSON ANDREY SILVA NOGUEIRA</t>
  </si>
  <si>
    <t>RONALDO DE SOUZA GONÇALVES</t>
  </si>
  <si>
    <t>DENIS WILLIAN GONÇALVES FARIAS</t>
  </si>
  <si>
    <t>GEOVANE FERNANDO FELIX SUEK</t>
  </si>
  <si>
    <t>C 108</t>
  </si>
  <si>
    <t>P. FEDERAL DE CATANDUVAS</t>
  </si>
  <si>
    <t>CATANDUVAS</t>
  </si>
  <si>
    <t>ANDERSON JOSE MOREIRA</t>
  </si>
  <si>
    <t>ANDERSON LEANDRO DICO</t>
  </si>
  <si>
    <t>MICHEL MACHADO CARNEIRO</t>
  </si>
  <si>
    <t>LUIZ CARLOS DA ROSA</t>
  </si>
  <si>
    <t>RAFAEL VAZ</t>
  </si>
  <si>
    <t>EMERSON LUIS RIBEIRO MENDES</t>
  </si>
  <si>
    <t>JOSE RAFAEL BAPTISTA</t>
  </si>
  <si>
    <t>MARCELO HENRIQUE SCHREINER DA SILVA</t>
  </si>
  <si>
    <t>CELIO ROBERTO DE MACEDO</t>
  </si>
  <si>
    <t>MARCOS PAULO RIBEIRO DA COSTA</t>
  </si>
  <si>
    <t>DAVI BORBA</t>
  </si>
  <si>
    <t>DIEGO HENRIQUE ALVES</t>
  </si>
  <si>
    <t>JOSE OSEAS MARTINS</t>
  </si>
  <si>
    <t>LUCAS FELIPE LEAL</t>
  </si>
  <si>
    <t>BRUNO DOS SANTOS MORAES</t>
  </si>
  <si>
    <t>ADILSON JOSE DE MELLO</t>
  </si>
  <si>
    <r>
      <t xml:space="preserve">PAULO MARCOS FUGIHARA </t>
    </r>
    <r>
      <rPr>
        <b/>
        <sz val="10"/>
        <color indexed="10"/>
        <rFont val="Arial Narrow"/>
        <family val="2"/>
      </rPr>
      <t>(Ursinho)</t>
    </r>
  </si>
  <si>
    <r>
      <t xml:space="preserve">PETERSON JUNIOR GONÇALVES </t>
    </r>
    <r>
      <rPr>
        <b/>
        <sz val="10"/>
        <color indexed="10"/>
        <rFont val="Arial Narrow"/>
        <family val="2"/>
      </rPr>
      <t>(Pepinho)</t>
    </r>
  </si>
  <si>
    <r>
      <t xml:space="preserve">PAULO SERGIO FERREIRA </t>
    </r>
    <r>
      <rPr>
        <b/>
        <sz val="10"/>
        <color indexed="10"/>
        <rFont val="Arial Narrow"/>
        <family val="2"/>
      </rPr>
      <t>(Butia)</t>
    </r>
  </si>
  <si>
    <r>
      <t xml:space="preserve">ALEXANDRE HELBERT VILAS BOAS </t>
    </r>
    <r>
      <rPr>
        <b/>
        <sz val="10"/>
        <color indexed="10"/>
        <rFont val="Arial Narrow"/>
        <family val="2"/>
      </rPr>
      <t>(Mixirica)</t>
    </r>
  </si>
  <si>
    <r>
      <t>VILMAR SEBASTIAO MARTINS CARDOSO</t>
    </r>
    <r>
      <rPr>
        <b/>
        <sz val="10"/>
        <color indexed="10"/>
        <rFont val="Arial Narrow"/>
        <family val="2"/>
      </rPr>
      <t xml:space="preserve"> (Mancha)</t>
    </r>
  </si>
  <si>
    <r>
      <t xml:space="preserve">CLEVERSON COLAÇO DIVARDINI </t>
    </r>
    <r>
      <rPr>
        <b/>
        <sz val="10"/>
        <color indexed="10"/>
        <rFont val="Arial Narrow"/>
        <family val="2"/>
      </rPr>
      <t>(Clevinho)</t>
    </r>
  </si>
  <si>
    <r>
      <t xml:space="preserve">ELVIS ORIDES LUIZ </t>
    </r>
    <r>
      <rPr>
        <b/>
        <sz val="10"/>
        <color indexed="10"/>
        <rFont val="Arial Narrow"/>
        <family val="2"/>
      </rPr>
      <t>(Bunda Gorda)</t>
    </r>
  </si>
  <si>
    <r>
      <t xml:space="preserve">JOSNALDO SANTOS GONÇALVES </t>
    </r>
    <r>
      <rPr>
        <b/>
        <sz val="10"/>
        <color indexed="10"/>
        <rFont val="Arial Narrow"/>
        <family val="2"/>
      </rPr>
      <t>(Polaquinho)</t>
    </r>
  </si>
  <si>
    <r>
      <t xml:space="preserve">ANDERSON FERREIRA SCHEUNEMANN </t>
    </r>
    <r>
      <rPr>
        <b/>
        <sz val="10"/>
        <color indexed="10"/>
        <rFont val="Arial Narrow"/>
        <family val="2"/>
      </rPr>
      <t>(Carção)</t>
    </r>
  </si>
  <si>
    <r>
      <rPr>
        <b/>
        <sz val="10"/>
        <rFont val="Arial Narrow"/>
        <family val="2"/>
      </rPr>
      <t>DIRCEU RIBAS</t>
    </r>
    <r>
      <rPr>
        <b/>
        <sz val="10"/>
        <color indexed="17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(Caveirinha)</t>
    </r>
  </si>
  <si>
    <r>
      <t xml:space="preserve">SEBASTIAO DANIEL PEDROSO DE LIMA </t>
    </r>
    <r>
      <rPr>
        <b/>
        <sz val="10"/>
        <color indexed="10"/>
        <rFont val="Arial Narrow"/>
        <family val="2"/>
      </rPr>
      <t>(Maconha)</t>
    </r>
  </si>
  <si>
    <r>
      <t xml:space="preserve">OZEIAS COSTA </t>
    </r>
    <r>
      <rPr>
        <b/>
        <sz val="10"/>
        <color indexed="10"/>
        <rFont val="Arial Narrow"/>
        <family val="2"/>
      </rPr>
      <t>(Pastor)</t>
    </r>
  </si>
  <si>
    <r>
      <t xml:space="preserve">FERNANDO MACHADO GONÇALVES </t>
    </r>
    <r>
      <rPr>
        <b/>
        <sz val="10"/>
        <color indexed="10"/>
        <rFont val="Arial Narrow"/>
        <family val="2"/>
      </rPr>
      <t>( Imortal )</t>
    </r>
  </si>
  <si>
    <r>
      <t xml:space="preserve">DIEGO MARCELO MATHEUS DA LUZ </t>
    </r>
    <r>
      <rPr>
        <b/>
        <sz val="10"/>
        <color indexed="10"/>
        <rFont val="Arial Narrow"/>
        <family val="2"/>
      </rPr>
      <t>(Boca)</t>
    </r>
  </si>
  <si>
    <r>
      <t>LUCAS CARNEIRO DE OLIVEIRA</t>
    </r>
    <r>
      <rPr>
        <b/>
        <sz val="10"/>
        <color indexed="10"/>
        <rFont val="Arial Narrow"/>
        <family val="2"/>
      </rPr>
      <t xml:space="preserve"> ( Beiço )</t>
    </r>
  </si>
  <si>
    <r>
      <t xml:space="preserve">WAGNER FERREIRA DOS SANTOS </t>
    </r>
    <r>
      <rPr>
        <b/>
        <sz val="10"/>
        <color indexed="10"/>
        <rFont val="Arial Narrow"/>
        <family val="2"/>
      </rPr>
      <t>( Carijó )</t>
    </r>
  </si>
  <si>
    <r>
      <t xml:space="preserve">ROBSON JOE MACHADO FERNANDES </t>
    </r>
    <r>
      <rPr>
        <b/>
        <sz val="10"/>
        <color indexed="10"/>
        <rFont val="Arial Narrow"/>
        <family val="2"/>
      </rPr>
      <t>(Curitiba)</t>
    </r>
  </si>
  <si>
    <r>
      <t>ANDERSON DA SILVA CUSTODIO</t>
    </r>
    <r>
      <rPr>
        <b/>
        <sz val="10"/>
        <color indexed="10"/>
        <rFont val="Arial Narrow"/>
        <family val="2"/>
      </rPr>
      <t xml:space="preserve"> (Guió)</t>
    </r>
  </si>
  <si>
    <r>
      <t>GENILSON CARDOSO DOS SANTOS</t>
    </r>
    <r>
      <rPr>
        <b/>
        <sz val="10"/>
        <color indexed="10"/>
        <rFont val="Arial Narrow"/>
        <family val="2"/>
      </rPr>
      <t xml:space="preserve"> (Tatu)</t>
    </r>
  </si>
  <si>
    <t>C 101</t>
  </si>
  <si>
    <t>FABIO DO PRADO SANTOS</t>
  </si>
  <si>
    <t>JORGE AUGUSTO PEREIRA GREZOSKI</t>
  </si>
  <si>
    <t>TIAGO RANGEL TRINDADE</t>
  </si>
  <si>
    <r>
      <t>LEANDRO RAMOS DE BARROS</t>
    </r>
    <r>
      <rPr>
        <b/>
        <sz val="10"/>
        <color indexed="10"/>
        <rFont val="Arial Narrow"/>
        <family val="2"/>
      </rPr>
      <t xml:space="preserve"> (Canelinha/Gordinho)</t>
    </r>
  </si>
  <si>
    <r>
      <t xml:space="preserve">FERNANDO SOARES DIAS </t>
    </r>
    <r>
      <rPr>
        <b/>
        <sz val="10"/>
        <color indexed="10"/>
        <rFont val="Arial Narrow"/>
        <family val="2"/>
      </rPr>
      <t>(Fernandão)</t>
    </r>
  </si>
  <si>
    <r>
      <t xml:space="preserve">ANDERSON LUIZ CORREIA MARQUES </t>
    </r>
    <r>
      <rPr>
        <b/>
        <sz val="10"/>
        <color indexed="10"/>
        <rFont val="Arial Narrow"/>
        <family val="2"/>
      </rPr>
      <t>(</t>
    </r>
    <r>
      <rPr>
        <b/>
        <sz val="10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Negão)</t>
    </r>
  </si>
  <si>
    <r>
      <t xml:space="preserve">ROBERTO SANTANA RAMOS </t>
    </r>
    <r>
      <rPr>
        <b/>
        <sz val="10"/>
        <color indexed="10"/>
        <rFont val="Arial Narrow"/>
        <family val="2"/>
      </rPr>
      <t>(Rato)</t>
    </r>
  </si>
  <si>
    <t>C 109</t>
  </si>
  <si>
    <r>
      <t xml:space="preserve">WILSON JOSÉ DA ROSA JUNIOR </t>
    </r>
    <r>
      <rPr>
        <b/>
        <sz val="10"/>
        <color indexed="10"/>
        <rFont val="Arial Narrow"/>
        <family val="2"/>
      </rPr>
      <t>(Xio)</t>
    </r>
  </si>
  <si>
    <t>C 114</t>
  </si>
  <si>
    <r>
      <rPr>
        <b/>
        <sz val="10"/>
        <rFont val="Arial Narrow"/>
        <family val="2"/>
      </rPr>
      <t>RODRIGO SATO GUIMARAES</t>
    </r>
    <r>
      <rPr>
        <b/>
        <sz val="10"/>
        <color indexed="10"/>
        <rFont val="Arial Narrow"/>
        <family val="2"/>
      </rPr>
      <t xml:space="preserve"> (gasolina)</t>
    </r>
  </si>
  <si>
    <r>
      <t>CHARLES WILLIAM DE LIMA</t>
    </r>
    <r>
      <rPr>
        <b/>
        <sz val="10"/>
        <color indexed="10"/>
        <rFont val="Arial Narrow"/>
        <family val="2"/>
      </rPr>
      <t xml:space="preserve"> (Caverna)</t>
    </r>
  </si>
  <si>
    <t>C 208</t>
  </si>
  <si>
    <r>
      <t>MAYCON JEAN DOS SANTOS</t>
    </r>
    <r>
      <rPr>
        <b/>
        <sz val="10"/>
        <color indexed="10"/>
        <rFont val="Arial Narrow"/>
        <family val="2"/>
      </rPr>
      <t xml:space="preserve"> (Choquito)</t>
    </r>
  </si>
  <si>
    <t>C 214</t>
  </si>
  <si>
    <r>
      <t xml:space="preserve">ANDERSON MARQUES MARTINS </t>
    </r>
    <r>
      <rPr>
        <b/>
        <sz val="10"/>
        <color indexed="10"/>
        <rFont val="Arial Narrow"/>
        <family val="2"/>
      </rPr>
      <t>(Comando Vermelho)</t>
    </r>
  </si>
  <si>
    <t>CRISTIANO DE OLIVEIRA ALVES</t>
  </si>
  <si>
    <r>
      <t xml:space="preserve">FELIPE JOSÉ STORI MOREIRA </t>
    </r>
    <r>
      <rPr>
        <b/>
        <sz val="10"/>
        <color indexed="10"/>
        <rFont val="Arial Narrow"/>
        <family val="2"/>
      </rPr>
      <t>( Twister )</t>
    </r>
  </si>
  <si>
    <r>
      <t>LEANDRO CARVALHO NASCIMENTO</t>
    </r>
    <r>
      <rPr>
        <b/>
        <sz val="8"/>
        <color indexed="10"/>
        <rFont val="Arial"/>
        <family val="2"/>
      </rPr>
      <t xml:space="preserve"> (MAFIA PARANAENSE)</t>
    </r>
  </si>
  <si>
    <r>
      <t xml:space="preserve">PAULO SERGIO DOS SANTOS </t>
    </r>
    <r>
      <rPr>
        <b/>
        <sz val="10"/>
        <color indexed="10"/>
        <rFont val="Arial Narrow"/>
        <family val="2"/>
      </rPr>
      <t>(Paulinho Guaira) M. P.</t>
    </r>
  </si>
  <si>
    <r>
      <t xml:space="preserve">RICARDO LUIS DE FRANÇA </t>
    </r>
    <r>
      <rPr>
        <b/>
        <sz val="10"/>
        <color indexed="10"/>
        <rFont val="Arial Narrow"/>
        <family val="2"/>
      </rPr>
      <t>(Kadu)</t>
    </r>
  </si>
  <si>
    <r>
      <t xml:space="preserve">SAMUEL LOPES DE MATOS </t>
    </r>
    <r>
      <rPr>
        <b/>
        <sz val="10"/>
        <color indexed="10"/>
        <rFont val="Arial Narrow"/>
        <family val="2"/>
      </rPr>
      <t>(Boca)</t>
    </r>
  </si>
  <si>
    <t>JEAN DE OLIVEIRA RAMOS</t>
  </si>
  <si>
    <t>C 110</t>
  </si>
  <si>
    <t>ALEXANDRE FREITAS DOS SANTOS</t>
  </si>
  <si>
    <t>ODAIR LOURENÇO DOS SANTOS</t>
  </si>
  <si>
    <t>RENAN FELIPE OLIVEIRA EURICH</t>
  </si>
  <si>
    <t>ADEMIR DE J. FREITAS JENUÍNO</t>
  </si>
  <si>
    <t>ALEX FERNANDO DOS SANTOS ALVES</t>
  </si>
  <si>
    <t>CLEVERTON COLASSO DE GOIS</t>
  </si>
  <si>
    <t>DIRCEU ALELUIA</t>
  </si>
  <si>
    <t>DONIZETE CARDOSO</t>
  </si>
  <si>
    <t>EDNILSON LOPES CANOBRE</t>
  </si>
  <si>
    <t>EVALDO DA SILVA ALMEIDA</t>
  </si>
  <si>
    <t>FELIPE DOUGLAS DA SILVA</t>
  </si>
  <si>
    <t>FELIPE MATHEUS DOS SANTOS</t>
  </si>
  <si>
    <t>GABRIEL PACHECO</t>
  </si>
  <si>
    <t>C 209</t>
  </si>
  <si>
    <t>JOANDERSON WERICKISON DA ROCHA</t>
  </si>
  <si>
    <t>JOAO LUCAS RAMOS DA SILVA</t>
  </si>
  <si>
    <t>JONATHAN CESAR PALMAS</t>
  </si>
  <si>
    <t>JOSÉ WILSON F. CARVALHO</t>
  </si>
  <si>
    <t>LUCAS DE JESUS</t>
  </si>
  <si>
    <t>LUIZ ADILSON RIBEIRO</t>
  </si>
  <si>
    <t>MARLON MENSEN</t>
  </si>
  <si>
    <t>MATHEUS BONET DOS SANTOS</t>
  </si>
  <si>
    <t>ODAIR MARINHO DE LARA</t>
  </si>
  <si>
    <t>PATRICK VILHENA CEZARIO</t>
  </si>
  <si>
    <t>RODRIGO DOS S. SIQUEIRA</t>
  </si>
  <si>
    <t xml:space="preserve">UP </t>
  </si>
  <si>
    <t>PRESIDIO FEDERAL</t>
  </si>
  <si>
    <r>
      <t>DYONI WILLIAN PEREIRA</t>
    </r>
    <r>
      <rPr>
        <b/>
        <sz val="10"/>
        <color indexed="10"/>
        <rFont val="Arial Narrow"/>
        <family val="2"/>
      </rPr>
      <t xml:space="preserve"> (Dioninho)</t>
    </r>
  </si>
  <si>
    <t>JEFFERSON GUARACI GONÇALO</t>
  </si>
  <si>
    <t>MAURO DOS SANTOS</t>
  </si>
  <si>
    <t>DOMINGOS OSMAR BERNARDO</t>
  </si>
  <si>
    <t>EZIO SERGIO DA SILVA</t>
  </si>
  <si>
    <t>GIOVANI GABRIEL HASS PEREIRA</t>
  </si>
  <si>
    <t>AUGUSTO RODRIGUES DE OLIVEIRA RIQUERME</t>
  </si>
  <si>
    <t>EVERTON FRANCO DOS SANTOS</t>
  </si>
  <si>
    <t>WESLEY DOS SANTOS BORBA ( Saci )</t>
  </si>
  <si>
    <t>MARCELO DOS SANTOS BORBA</t>
  </si>
  <si>
    <t>TIAGO KAPP DOS SANTOS</t>
  </si>
  <si>
    <t>EZEQUIEL PEREIRA RODRIGUES</t>
  </si>
  <si>
    <t>WESLEY DOS SANTOS BORBA</t>
  </si>
  <si>
    <t>CPAI</t>
  </si>
  <si>
    <t>CLAILTON JOSUÉ MENDES (Pimpolho)</t>
  </si>
  <si>
    <t>ANDERSON FERREIRA SCHEUNEMANN (Carção)</t>
  </si>
  <si>
    <t>FELIPE PIECYCOLAN</t>
  </si>
  <si>
    <t>ADÃO BATISTA</t>
  </si>
  <si>
    <t>ALEXANDRE JUNIOR DE ALMEIRA</t>
  </si>
  <si>
    <t>EDSON BATISTA DOS SANTOS</t>
  </si>
  <si>
    <t>HENRIQUE SINKIESSISCZ</t>
  </si>
  <si>
    <t>JOSÉ ROBERTO DOMINGUES JUNIOR</t>
  </si>
  <si>
    <t>JOSÉ ROBERTO DOMINGUES DOS SANTOS</t>
  </si>
  <si>
    <t>LUIZ ANTONIO HORTMAN</t>
  </si>
  <si>
    <t>MARCIO FARIA DOS SANTOS</t>
  </si>
  <si>
    <t>ROBERTO SABVITSKI</t>
  </si>
  <si>
    <t>ROBERTO SAVITISK</t>
  </si>
  <si>
    <t>SILVIO JOSÉ STADLER</t>
  </si>
  <si>
    <t>LINEU FERREIRA DOS SANTOS</t>
  </si>
  <si>
    <t>MARCOS EDENILSON MONTEIRO DA LUZ</t>
  </si>
  <si>
    <t xml:space="preserve">ANDERSON DOS SANTOS </t>
  </si>
  <si>
    <t>CLEVERSON PALHANO DE OLIVEIRA</t>
  </si>
  <si>
    <t>RAFAEL FLAVIO FERNANDES DOS SANTOS</t>
  </si>
  <si>
    <t xml:space="preserve">EVERSON RODRIGO GREGORIO </t>
  </si>
  <si>
    <t>ELIZEU RODRIGUES MARCONDES</t>
  </si>
  <si>
    <t>WILSON FELIX DA SILVA</t>
  </si>
  <si>
    <t>AMADOR DE JESUS TRESK</t>
  </si>
  <si>
    <t>FELIPE MACHADO RIBEIRO</t>
  </si>
  <si>
    <t>GILBERTO LEOTÉRIO DA LUZ</t>
  </si>
  <si>
    <t>JEAN ALMEIDA GALVAO</t>
  </si>
  <si>
    <t>JOSÉ ADAO CAMARGO</t>
  </si>
  <si>
    <t>JOSÉ AUGUSTO TAVARES</t>
  </si>
  <si>
    <t>JOSÉ HONOFRE STOCKLER</t>
  </si>
  <si>
    <t xml:space="preserve">EDER LEANDRO DOS SANTOS </t>
  </si>
  <si>
    <t>JAIR JOSÉ ORGE</t>
  </si>
  <si>
    <t>VALTER LUIZ SERAFIM</t>
  </si>
  <si>
    <t>VANDERLEI MARTINS</t>
  </si>
  <si>
    <t>VANDERLEY MARTINS</t>
  </si>
  <si>
    <t>NELSON LUIS DA SILVA</t>
  </si>
  <si>
    <t>ANDERSON BARBOZA DE PAULA</t>
  </si>
  <si>
    <t>HUELLITON FERNANDO DE ANHAIA</t>
  </si>
  <si>
    <t>WESLEY ROBERTO ALMEIDA MENDES</t>
  </si>
  <si>
    <t>FELIPE CESAR SIERPIEN</t>
  </si>
  <si>
    <t>PABULO MESSIAS ANTONIO CHRISTOVAO</t>
  </si>
  <si>
    <t>MICHAEL WYLLSON VERZA</t>
  </si>
  <si>
    <t>PABLO ARALDO GONÇALVES FERREIRA</t>
  </si>
  <si>
    <t>JAILSON SANTOS DUBINSKI</t>
  </si>
  <si>
    <t>JOSE EDENILSON BATISTA</t>
  </si>
  <si>
    <t>PAULO SERGIO VIEIRA DOS SANTOS</t>
  </si>
  <si>
    <t>JOHN LENON PEREIRA DA SILVA</t>
  </si>
  <si>
    <t>NELSON WILLIAN LOURENÇO PINTO</t>
  </si>
  <si>
    <t>GUILHERME LUIZ DA SILVA</t>
  </si>
  <si>
    <t>BRUNO FELIPE RODRIGUES DOS SANTOS</t>
  </si>
  <si>
    <t>EVERTON PEDROSO DE MORAIS</t>
  </si>
  <si>
    <r>
      <t xml:space="preserve">ANTONIO GILSON FERREIRA DE ALMEIDA </t>
    </r>
    <r>
      <rPr>
        <b/>
        <sz val="10"/>
        <color indexed="10"/>
        <rFont val="Arial Narrow"/>
        <family val="2"/>
      </rPr>
      <t>(Leitão/Perninha)</t>
    </r>
  </si>
  <si>
    <r>
      <t xml:space="preserve">PAULO CEZAR MOTINHO </t>
    </r>
    <r>
      <rPr>
        <b/>
        <sz val="10"/>
        <color indexed="10"/>
        <rFont val="Arial Narrow"/>
        <family val="2"/>
      </rPr>
      <t>( Meia noite )</t>
    </r>
  </si>
  <si>
    <t>THIAGO CORDEIRO DE MORAES</t>
  </si>
  <si>
    <t>ANTONIO CARLOS RIBEIRO DA SILVA</t>
  </si>
  <si>
    <t>EDUARDO AUGUSTO OLIVEIRA DOS SANTOS</t>
  </si>
  <si>
    <t>wilson felix da silva</t>
  </si>
  <si>
    <t>EVERSON RODRIGO GREGORIO</t>
  </si>
  <si>
    <t>SANDRO GERALDO DA SILVA</t>
  </si>
  <si>
    <t>NENE SWIATOWSKI</t>
  </si>
  <si>
    <t>OLÍVIO DE ALMEIDA</t>
  </si>
  <si>
    <t>FABIO GRDEN</t>
  </si>
  <si>
    <t>VALDINEI RIBEIRO</t>
  </si>
  <si>
    <t>ALEF MACHADO DOS PASSOS</t>
  </si>
  <si>
    <t>CLEVERSON DO CARMO MARTINS</t>
  </si>
  <si>
    <t>CLEVERSON ELOI VIEIRA</t>
  </si>
  <si>
    <t>RICARDO GONÇALVES GUIMARAES</t>
  </si>
  <si>
    <t>ANDRÉ RAFHAEL GALVÃO</t>
  </si>
  <si>
    <t>EDUARDO FERREIRA DE MELO</t>
  </si>
  <si>
    <t>MARCIO JOSE BONNET DE AMORIM</t>
  </si>
  <si>
    <t>JHONY RALF ARAÚJO VANDOSKI</t>
  </si>
  <si>
    <t>DIONES RODRIGUES DE QUADROS MIRANDA</t>
  </si>
  <si>
    <t>JONATHAN JOSÉ DOS SANTOS</t>
  </si>
  <si>
    <t>DOUGLAS MADUREIRA DIOGO</t>
  </si>
  <si>
    <t>CARLOS EDUARDO DOS SANTOS</t>
  </si>
  <si>
    <t>JOSNEI MAZEIKA</t>
  </si>
  <si>
    <t>JOSE ROBERTO DE OLIVEIRA (Chuteira)</t>
  </si>
  <si>
    <t>A 203</t>
  </si>
  <si>
    <t>JOAO CARLOS KRUGER (Coelho)</t>
  </si>
  <si>
    <t>CRISTIANO FIDELIS</t>
  </si>
  <si>
    <t>ELIAS MACHADO ANHAIA</t>
  </si>
  <si>
    <t>C 102</t>
  </si>
  <si>
    <t>SAYMON DEUSDETH MACHADO FERREIRA</t>
  </si>
  <si>
    <t>ANTONIO JOSE PADILHA</t>
  </si>
  <si>
    <t>HEBRON SKOLUT</t>
  </si>
  <si>
    <t>ALEX CARDOSO DA SILVA</t>
  </si>
  <si>
    <t>IVAN ALVES DOS SANTOS</t>
  </si>
  <si>
    <t>ADRIANO BARBOSA</t>
  </si>
  <si>
    <t>RAFAEL ALVES (Seco)</t>
  </si>
  <si>
    <t>MARLON HENRIQUE DE OLIVEIRA</t>
  </si>
  <si>
    <r>
      <t xml:space="preserve">THIAGO ABREU SILVA </t>
    </r>
    <r>
      <rPr>
        <b/>
        <sz val="10"/>
        <color indexed="10"/>
        <rFont val="Arial Narrow"/>
        <family val="2"/>
      </rPr>
      <t>(Avatar / Curitiba)</t>
    </r>
  </si>
  <si>
    <t>JOSE MARCELO S. DE OLIVEIRA</t>
  </si>
  <si>
    <t>PEDRO ERNESTO DE QUADROS</t>
  </si>
  <si>
    <t>MAURICIO RAMOS</t>
  </si>
  <si>
    <t>JOSE MARCIO DE SOUZA</t>
  </si>
  <si>
    <t>EDEILTON RUTIELE GALVAO POLAK</t>
  </si>
  <si>
    <t>REINALDO CARMO MARCONDES ROLIM</t>
  </si>
  <si>
    <t>VALERIO APARECIDO DE LIMA</t>
  </si>
  <si>
    <t>LUCAS SPRANGOSKI</t>
  </si>
  <si>
    <t>MIQUEIAS MARTINS</t>
  </si>
  <si>
    <t>WAGNER LEPPING</t>
  </si>
  <si>
    <t>JHON LENON GONÇALVES</t>
  </si>
  <si>
    <t>A 217</t>
  </si>
  <si>
    <t>ROMALDO OLIVEIRA ROSA</t>
  </si>
  <si>
    <t>EVAIR MOREIRA MAESS</t>
  </si>
  <si>
    <t>JOSEMAR TOMAZ DE MIRANDA</t>
  </si>
  <si>
    <t>A 218</t>
  </si>
  <si>
    <t>B 211</t>
  </si>
  <si>
    <t>C 212</t>
  </si>
  <si>
    <t>C 211</t>
  </si>
  <si>
    <t>CRISTIANO CARNEIRO</t>
  </si>
  <si>
    <t>MATHEUS FELIPE FERREIRA</t>
  </si>
  <si>
    <t>VALDEIR ALVES DE QUADROS</t>
  </si>
  <si>
    <t>A 111</t>
  </si>
  <si>
    <t>FELIPE PIECYCKOLAN</t>
  </si>
  <si>
    <t>ANTONIO CARLOS BASILIO</t>
  </si>
  <si>
    <t>HUANS PINHEIRO KOPP</t>
  </si>
  <si>
    <t>C 213</t>
  </si>
  <si>
    <t>GILSOELI CAMARGO DA SILVA</t>
  </si>
  <si>
    <t>PAULO SERGIO GONÇALVES DE CASTRO</t>
  </si>
  <si>
    <t>LUIZ CARLOS FERREIRA DA COSTA MOREIRA</t>
  </si>
  <si>
    <t>DANIEL SAMPAIO</t>
  </si>
  <si>
    <t>RAY JUNIOR OLIVEIRA RAEIN</t>
  </si>
  <si>
    <t>MAICKSON FELIPE SIELSKI MORAIS</t>
  </si>
  <si>
    <t>ALISSON JOÃO GONÇALVES CARNEIRO</t>
  </si>
  <si>
    <t>ARIANO MATEUS FARIA DE MELLO</t>
  </si>
  <si>
    <t>C 210</t>
  </si>
  <si>
    <t>B 110</t>
  </si>
  <si>
    <t>RAULI COELHO FONSECA</t>
  </si>
  <si>
    <t>CLEVERTON COLAÇO DE GOES</t>
  </si>
  <si>
    <t>B 111</t>
  </si>
  <si>
    <t>IGOMAR DE OLIVEIRA</t>
  </si>
  <si>
    <t>RENAN PINHEIRO NUNES</t>
  </si>
  <si>
    <t>FABRICIO DE LARA</t>
  </si>
  <si>
    <t>DIEGO DE SOUZA MARTINS</t>
  </si>
  <si>
    <t>LUIZ ALBERTO FERREIRA DOS SANTOS</t>
  </si>
  <si>
    <t>JEFERSON PAES CORREIA</t>
  </si>
  <si>
    <t>IGOR HENRIQUE DOS SANTOS</t>
  </si>
  <si>
    <t>MICHAEL LYON MELO DOS SANTOS</t>
  </si>
  <si>
    <t>DARCY FRANCISCO WIEGAND JUNIOR</t>
  </si>
  <si>
    <t>C 113</t>
  </si>
  <si>
    <t>C 118</t>
  </si>
  <si>
    <t>HELTON PEDROZO MACHADO</t>
  </si>
  <si>
    <t>GIOVANE HENRIQUE SIEIRO</t>
  </si>
  <si>
    <t>A 112</t>
  </si>
  <si>
    <t>C 112</t>
  </si>
  <si>
    <t>C 111</t>
  </si>
  <si>
    <t>LEANDRO XAVIER</t>
  </si>
  <si>
    <t>JONATHAN JORDAN DE OLIVEIRA</t>
  </si>
  <si>
    <t>VALDEVIR DA SILVA GALVÃO</t>
  </si>
  <si>
    <t>PEDRO OLIBRATOSKI SOBRINHO</t>
  </si>
  <si>
    <t>B 105</t>
  </si>
  <si>
    <t>EDERSON FERNANDO DE SOUZA</t>
  </si>
  <si>
    <t>RENATO MILONE</t>
  </si>
  <si>
    <t>DAVID WESLEY MUNHOZ DA CONCEIÇÃO</t>
  </si>
  <si>
    <t>FABIO DA SILVA</t>
  </si>
  <si>
    <t xml:space="preserve">SANT CLAIR DE LIMA </t>
  </si>
  <si>
    <t>VINICIUS PRADO ANTUNES</t>
  </si>
  <si>
    <t xml:space="preserve">DIEMERSON MACHADO </t>
  </si>
  <si>
    <t>JEORGE MICHAEL DA FONSECA</t>
  </si>
  <si>
    <t>WILKE CORDEIRO</t>
  </si>
  <si>
    <t>JOMAR PIRES DAMASIO</t>
  </si>
  <si>
    <t>IGOR GABRIEL ROTH CAMPOS</t>
  </si>
  <si>
    <t>JOSE CARLOS ALVES</t>
  </si>
  <si>
    <t>CLEIDERSON DOS SANTOS DE OLIVEIRA (Bixigo)</t>
  </si>
  <si>
    <t xml:space="preserve">                       UP</t>
  </si>
  <si>
    <t xml:space="preserve">           02/07/2019</t>
  </si>
  <si>
    <t>BIBLIOTECA</t>
  </si>
  <si>
    <t>MANUEL DIRCEU RODRIGUES</t>
  </si>
  <si>
    <t>ANDERSON</t>
  </si>
  <si>
    <t>SEBASTIAO LEONEI DE  CAMARGO</t>
  </si>
  <si>
    <t xml:space="preserve">WILLIAM RICHARD FERREIRA PADILHA </t>
  </si>
  <si>
    <t>ANDRE GUILHERME MACHADO RODRIGUES</t>
  </si>
  <si>
    <t>TIAGO RODRIGO ESPERIDIAO</t>
  </si>
  <si>
    <t>ROBERSON CARLOS DA ROSA</t>
  </si>
  <si>
    <t>LUIZ FELIPE ALVES DE LIMA</t>
  </si>
  <si>
    <t>JEFERSON DOS SANTOS BUENO</t>
  </si>
  <si>
    <t>MAICON PONTES</t>
  </si>
  <si>
    <t>ALEXANDRO MENDES DA COSTA</t>
  </si>
  <si>
    <t>GILBERTO TELES</t>
  </si>
  <si>
    <t>JOELCIO MALITZ</t>
  </si>
  <si>
    <t>OSVALDO NEGRELLO</t>
  </si>
  <si>
    <t>PAULO ROBERTO POMBEIRO</t>
  </si>
  <si>
    <t>WALDEMAR JOAQUIM DOS SANTOS</t>
  </si>
  <si>
    <t>VALTER CONTADOR DE OLIVEIRA</t>
  </si>
  <si>
    <t>MATHEUS AMARAL GOES</t>
  </si>
  <si>
    <t>SANDRO RAFAEL TEIXEIRA DE MORAES</t>
  </si>
  <si>
    <t>LUAN ZIPP RODRIGUES</t>
  </si>
  <si>
    <t>LUIZ PEDRO LEVANDOSKI</t>
  </si>
  <si>
    <t>RODRIGO VINICIUS ANTUNES VAZ</t>
  </si>
  <si>
    <t>ALEXANDRE LUIZ CARDOSO DE MIRANDA</t>
  </si>
  <si>
    <t>ANDRE PEREIRA DA VEIGA JUNIOR</t>
  </si>
  <si>
    <t>JOAO LENO TEIXEIRA</t>
  </si>
  <si>
    <t>JOAO MARINO RODRIGUES FILHO</t>
  </si>
  <si>
    <t>REYDISON LAZARO DE SOUZA ARAUJO</t>
  </si>
  <si>
    <t>DOUGLAS FERREIRA PEDROSO</t>
  </si>
  <si>
    <t>ALCEU RIBEIRO NETO</t>
  </si>
  <si>
    <r>
      <rPr>
        <b/>
        <sz val="10"/>
        <rFont val="Arial Narrow"/>
        <family val="2"/>
      </rPr>
      <t>WILSON PINHEIRO</t>
    </r>
    <r>
      <rPr>
        <b/>
        <sz val="10"/>
        <color indexed="17"/>
        <rFont val="Arial Narrow"/>
        <family val="2"/>
      </rPr>
      <t xml:space="preserve"> (</t>
    </r>
    <r>
      <rPr>
        <b/>
        <sz val="10"/>
        <color indexed="10"/>
        <rFont val="Arial Narrow"/>
        <family val="2"/>
      </rPr>
      <t>DI</t>
    </r>
    <r>
      <rPr>
        <b/>
        <sz val="10"/>
        <color indexed="17"/>
        <rFont val="Arial Narrow"/>
        <family val="2"/>
      </rPr>
      <t>)</t>
    </r>
  </si>
  <si>
    <r>
      <rPr>
        <b/>
        <sz val="10"/>
        <rFont val="Arial Narrow"/>
        <family val="2"/>
      </rPr>
      <t>ALBAN SANTOS DE SOUZA</t>
    </r>
    <r>
      <rPr>
        <b/>
        <sz val="10"/>
        <color indexed="17"/>
        <rFont val="Arial Narrow"/>
        <family val="2"/>
      </rPr>
      <t>(</t>
    </r>
    <r>
      <rPr>
        <b/>
        <sz val="10"/>
        <color indexed="10"/>
        <rFont val="Arial Narrow"/>
        <family val="2"/>
      </rPr>
      <t>Nego Drama / Capixaba</t>
    </r>
    <r>
      <rPr>
        <b/>
        <sz val="10"/>
        <color indexed="17"/>
        <rFont val="Arial Narrow"/>
        <family val="2"/>
      </rPr>
      <t>)</t>
    </r>
  </si>
  <si>
    <r>
      <rPr>
        <b/>
        <sz val="10"/>
        <rFont val="Arial Narrow"/>
        <family val="2"/>
      </rPr>
      <t>FERNANDO MARCOS NUNES SHIMIZU</t>
    </r>
    <r>
      <rPr>
        <b/>
        <sz val="10"/>
        <color indexed="17"/>
        <rFont val="Arial Narrow"/>
        <family val="2"/>
      </rPr>
      <t xml:space="preserve"> (</t>
    </r>
    <r>
      <rPr>
        <b/>
        <sz val="10"/>
        <color indexed="10"/>
        <rFont val="Arial Narrow"/>
        <family val="2"/>
      </rPr>
      <t>Nova Era</t>
    </r>
    <r>
      <rPr>
        <b/>
        <sz val="10"/>
        <color indexed="17"/>
        <rFont val="Arial Narrow"/>
        <family val="2"/>
      </rPr>
      <t>)</t>
    </r>
  </si>
  <si>
    <r>
      <t>EDEMIR PAULO GONÇALVES</t>
    </r>
    <r>
      <rPr>
        <b/>
        <sz val="10"/>
        <color indexed="10"/>
        <rFont val="Arial Narrow"/>
        <family val="2"/>
      </rPr>
      <t>(Nego Adilson)</t>
    </r>
  </si>
  <si>
    <t>ROSALVO GONÇALVES DOS SANTOS</t>
  </si>
  <si>
    <t>JONATHA GOMES FERREIRA</t>
  </si>
  <si>
    <t>JESSE ADRIANO DA SILVA DE PAULA</t>
  </si>
  <si>
    <t>CONDICIONAL</t>
  </si>
  <si>
    <t>JOAO VANDIR FERREIRA</t>
  </si>
  <si>
    <t>CLOVIS ABRAMOSKI</t>
  </si>
  <si>
    <t>JEAN CARLOS DA LUZ</t>
  </si>
  <si>
    <t>DOUGLAS RIBEIRO</t>
  </si>
  <si>
    <t>JOSUE LUÍS CORDEIRO</t>
  </si>
  <si>
    <t>JOSE CARLOS DA SILVA ANDRADE</t>
  </si>
  <si>
    <t>ADAO TIAGO DE OLIVEIRA</t>
  </si>
  <si>
    <t>PEP</t>
  </si>
  <si>
    <t>JOSE ANTONIO DOS SANTOS</t>
  </si>
  <si>
    <t>LEONARDO NASCIMENTO DOS SANTOS</t>
  </si>
  <si>
    <r>
      <t xml:space="preserve">JULIO CESAR PEREIRA DA SILVA SANTOS </t>
    </r>
    <r>
      <rPr>
        <b/>
        <sz val="10"/>
        <color indexed="10"/>
        <rFont val="Arial Narrow"/>
        <family val="2"/>
      </rPr>
      <t>PG</t>
    </r>
  </si>
  <si>
    <t>ALEXANDRO BARBOSA</t>
  </si>
  <si>
    <t>JEANSON POLHUHA</t>
  </si>
  <si>
    <t>MAIKON ALEXANDRE MENDES PAULINO</t>
  </si>
  <si>
    <t>EZEQUIAS NUNES DA SILVA</t>
  </si>
  <si>
    <r>
      <t xml:space="preserve">JOSE ADEMIR DOS REIS </t>
    </r>
    <r>
      <rPr>
        <b/>
        <sz val="10"/>
        <color indexed="10"/>
        <rFont val="Arial Narrow"/>
        <family val="2"/>
      </rPr>
      <t>(Milo)</t>
    </r>
  </si>
  <si>
    <r>
      <t xml:space="preserve">JOSE RIVANDO LIMA DA SILVA </t>
    </r>
    <r>
      <rPr>
        <b/>
        <sz val="10"/>
        <color indexed="10"/>
        <rFont val="Arial Narrow"/>
        <family val="2"/>
      </rPr>
      <t>(Ceara)</t>
    </r>
  </si>
  <si>
    <r>
      <t xml:space="preserve">MANOEL PINHEIRO NETO </t>
    </r>
    <r>
      <rPr>
        <b/>
        <sz val="10"/>
        <color indexed="10"/>
        <rFont val="Arial Narrow"/>
        <family val="2"/>
      </rPr>
      <t>(Neto)</t>
    </r>
  </si>
  <si>
    <r>
      <t xml:space="preserve">THIAGO FERREIRA CORREIA </t>
    </r>
    <r>
      <rPr>
        <b/>
        <sz val="10"/>
        <color indexed="10"/>
        <rFont val="Arial Narrow"/>
        <family val="2"/>
      </rPr>
      <t>(Neguinho)</t>
    </r>
  </si>
  <si>
    <t>GRACIEL CARNEIRO DA LUZ</t>
  </si>
  <si>
    <t>ALLAN BRAGA DA SILVA</t>
  </si>
  <si>
    <r>
      <t xml:space="preserve">JEFERSON SOARES DA SILVA </t>
    </r>
    <r>
      <rPr>
        <b/>
        <sz val="10"/>
        <color indexed="10"/>
        <rFont val="Arial Narrow"/>
        <family val="2"/>
      </rPr>
      <t>(Madimbu)</t>
    </r>
  </si>
  <si>
    <r>
      <t xml:space="preserve">JOSE LUIS DE SOUZA MACIEL </t>
    </r>
    <r>
      <rPr>
        <b/>
        <sz val="10"/>
        <color indexed="10"/>
        <rFont val="Arial Narrow"/>
        <family val="2"/>
      </rPr>
      <t>(Polaquinho)</t>
    </r>
  </si>
  <si>
    <r>
      <t xml:space="preserve">MARIO ANDERSON KRIKI DOS SANTOS </t>
    </r>
    <r>
      <rPr>
        <b/>
        <sz val="10"/>
        <color indexed="10"/>
        <rFont val="Arial Narrow"/>
        <family val="2"/>
      </rPr>
      <t>(Polaco)</t>
    </r>
  </si>
  <si>
    <t>ALEXANDRE JUNIO DE ALMEIDA</t>
  </si>
  <si>
    <r>
      <t xml:space="preserve">RODRIGO DOS SANTOS </t>
    </r>
    <r>
      <rPr>
        <b/>
        <sz val="10"/>
        <color indexed="10"/>
        <rFont val="Arial Narrow"/>
        <family val="2"/>
      </rPr>
      <t>(Tiriça)</t>
    </r>
  </si>
  <si>
    <r>
      <t>JAKSON DOS SANTOS (</t>
    </r>
    <r>
      <rPr>
        <b/>
        <sz val="10"/>
        <color indexed="10"/>
        <rFont val="Arial Narrow"/>
        <family val="2"/>
      </rPr>
      <t>Gordinho</t>
    </r>
    <r>
      <rPr>
        <b/>
        <sz val="10"/>
        <rFont val="Arial Narrow"/>
        <family val="2"/>
      </rPr>
      <t>)</t>
    </r>
  </si>
  <si>
    <t>FERNANDO HENRIQUE ALVES NOGUEIRA</t>
  </si>
  <si>
    <t>OSEIAS COSTA</t>
  </si>
  <si>
    <t>CELSO DJAVAN GUIDO</t>
  </si>
  <si>
    <t>ANTONIO BARTOZEWSKI JUNIOR</t>
  </si>
  <si>
    <t>OLIVIO DE ALMEIDA</t>
  </si>
  <si>
    <t>06/102019</t>
  </si>
  <si>
    <t>JOSIAS MENDES DE OLIVEIRA</t>
  </si>
  <si>
    <t>JOSE REIS DE BRITO JUNIOR</t>
  </si>
  <si>
    <t>JHONY RALF ARAUJO  VANDOSKI</t>
  </si>
  <si>
    <t>ALISSON KOOGAN DOS SANTOS</t>
  </si>
  <si>
    <t>RONALDO RODRIGUES DA SILVA</t>
  </si>
  <si>
    <t>CRISTYFEER LOPES DE OLIVEIRA</t>
  </si>
  <si>
    <r>
      <t xml:space="preserve">FERNANDO MARCOS NUNES SHIMIZU </t>
    </r>
    <r>
      <rPr>
        <b/>
        <sz val="10"/>
        <color indexed="10"/>
        <rFont val="Arial Narrow"/>
        <family val="2"/>
      </rPr>
      <t>(Nova Era)</t>
    </r>
  </si>
  <si>
    <t>MAICON ADRIANO DOS SANTOS</t>
  </si>
  <si>
    <t>MARCOS SOEL APARECIDO MACHADO</t>
  </si>
  <si>
    <t>ELEANDRO APARECIDO EUZEBIO</t>
  </si>
  <si>
    <t>WASHINGTON LUIS GARCIA</t>
  </si>
  <si>
    <t>JONIELTON BARBOSA DE OLIVEIRA COSTA</t>
  </si>
  <si>
    <t>LOURIVAL BUENO DOS SANTOS</t>
  </si>
  <si>
    <t>LUIZ CARLOS DE ABREU</t>
  </si>
  <si>
    <t>VALDIR DE ALMEIDA</t>
  </si>
  <si>
    <t>EMERSON LUNGAREZI DE OLIVEIRA</t>
  </si>
  <si>
    <r>
      <t>JAKSON DOS SANTOS</t>
    </r>
    <r>
      <rPr>
        <b/>
        <sz val="10"/>
        <color indexed="10"/>
        <rFont val="Arial Narrow"/>
        <family val="2"/>
      </rPr>
      <t xml:space="preserve"> (Gordinho)</t>
    </r>
  </si>
  <si>
    <r>
      <t xml:space="preserve">JULIO CESAR PEREIRA DA SILVA SANTOS </t>
    </r>
    <r>
      <rPr>
        <b/>
        <sz val="10"/>
        <color indexed="10"/>
        <rFont val="Arial Narrow"/>
        <family val="2"/>
      </rPr>
      <t>(PG)</t>
    </r>
  </si>
  <si>
    <r>
      <t xml:space="preserve">EDEMIR PAULO GONÇALVES </t>
    </r>
    <r>
      <rPr>
        <b/>
        <sz val="10"/>
        <color indexed="10"/>
        <rFont val="Arial Narrow"/>
        <family val="2"/>
      </rPr>
      <t>(Nego Adilson)</t>
    </r>
  </si>
  <si>
    <r>
      <t xml:space="preserve">FERNANDO MACHADO GONÇALVES </t>
    </r>
    <r>
      <rPr>
        <b/>
        <sz val="10"/>
        <color indexed="10"/>
        <rFont val="Arial Narrow"/>
        <family val="2"/>
      </rPr>
      <t>(Imortal)</t>
    </r>
  </si>
  <si>
    <t>JORGE NICOLAU DA SILVA</t>
  </si>
  <si>
    <t>CLAUDEMIR DE CARVALHO DA ROCHA</t>
  </si>
  <si>
    <t>REGINALDO APARECIDO CANAL</t>
  </si>
  <si>
    <t>LINCON DIEGO VICENTE DA SILVA</t>
  </si>
  <si>
    <t>GILBERTO FERNANDES</t>
  </si>
  <si>
    <t>SERGIO GONÇALVES DE MEIRA</t>
  </si>
  <si>
    <t>LUCAS DOS SANTOS PRADO</t>
  </si>
  <si>
    <r>
      <t xml:space="preserve">ODAIR APARECIDO DOS SANTOS </t>
    </r>
    <r>
      <rPr>
        <b/>
        <sz val="10"/>
        <color indexed="10"/>
        <rFont val="Arial Narrow"/>
        <family val="2"/>
      </rPr>
      <t>(Sanguinário / Vlad / Blad)</t>
    </r>
  </si>
  <si>
    <r>
      <t>RAFAEL BARBOSA DA SILVA</t>
    </r>
    <r>
      <rPr>
        <b/>
        <sz val="10"/>
        <color indexed="10"/>
        <rFont val="Arial Narrow"/>
        <family val="2"/>
      </rPr>
      <t xml:space="preserve"> </t>
    </r>
  </si>
  <si>
    <t xml:space="preserve">VALDIERI PEREIRA GONÇALVES     </t>
  </si>
  <si>
    <r>
      <t>WELLINGTON DE VINICIUS RODRIGUES BIMBATE</t>
    </r>
    <r>
      <rPr>
        <b/>
        <sz val="10"/>
        <color indexed="10"/>
        <rFont val="Arial Narrow"/>
        <family val="2"/>
      </rPr>
      <t xml:space="preserve"> (Corinthiano)</t>
    </r>
  </si>
  <si>
    <r>
      <t xml:space="preserve">ODAIR CARVALHO DE OLIVEIRA </t>
    </r>
    <r>
      <rPr>
        <b/>
        <sz val="10"/>
        <color indexed="10"/>
        <rFont val="Arial Narrow"/>
        <family val="2"/>
      </rPr>
      <t>(Gringo / Polaco)</t>
    </r>
  </si>
  <si>
    <t>ORLEI VIEIRA</t>
  </si>
  <si>
    <r>
      <t xml:space="preserve">ORLANDO RENILSON MARCONDES   </t>
    </r>
    <r>
      <rPr>
        <b/>
        <sz val="10"/>
        <color indexed="10"/>
        <rFont val="Arial Narrow"/>
        <family val="2"/>
      </rPr>
      <t xml:space="preserve"> (Gigante)</t>
    </r>
  </si>
  <si>
    <r>
      <t xml:space="preserve">OSEIAS APARECIDO DE SOUZA    </t>
    </r>
    <r>
      <rPr>
        <b/>
        <sz val="10"/>
        <color indexed="10"/>
        <rFont val="Arial Narrow"/>
        <family val="2"/>
      </rPr>
      <t>(Drácula)</t>
    </r>
  </si>
  <si>
    <r>
      <t xml:space="preserve">RAFAEL BRUNO RODRIGUES    </t>
    </r>
    <r>
      <rPr>
        <b/>
        <sz val="10"/>
        <color indexed="10"/>
        <rFont val="Arial Narrow"/>
        <family val="2"/>
      </rPr>
      <t>(Rubro Negro)</t>
    </r>
  </si>
  <si>
    <r>
      <t xml:space="preserve">RAFAEL BRUNO RODRIGUES    </t>
    </r>
    <r>
      <rPr>
        <b/>
        <sz val="10"/>
        <color indexed="10"/>
        <rFont val="Arial Narrow"/>
        <family val="2"/>
      </rPr>
      <t xml:space="preserve">(Rubro Negro)      </t>
    </r>
  </si>
  <si>
    <r>
      <t xml:space="preserve">RODRIGO FERNANDO DIAS GALVÃO    </t>
    </r>
    <r>
      <rPr>
        <b/>
        <sz val="10"/>
        <color indexed="10"/>
        <rFont val="Arial Narrow"/>
        <family val="2"/>
      </rPr>
      <t>(Camelo)</t>
    </r>
  </si>
  <si>
    <r>
      <t xml:space="preserve">SEBASTIAO DANIEL PEDROSO DE LIMA    </t>
    </r>
    <r>
      <rPr>
        <b/>
        <sz val="10"/>
        <color indexed="10"/>
        <rFont val="Arial Narrow"/>
        <family val="2"/>
      </rPr>
      <t>(Maconha)</t>
    </r>
  </si>
  <si>
    <r>
      <t xml:space="preserve">SEBASTIAO DANIEL PEDROSO DE LIMA   </t>
    </r>
    <r>
      <rPr>
        <b/>
        <sz val="10"/>
        <color indexed="10"/>
        <rFont val="Arial Narrow"/>
        <family val="2"/>
      </rPr>
      <t>(Tramontina / Maconha)</t>
    </r>
  </si>
  <si>
    <r>
      <t xml:space="preserve">SERGIO ADRIANO FERREIRA DA SILVA    </t>
    </r>
    <r>
      <rPr>
        <b/>
        <sz val="10"/>
        <color indexed="10"/>
        <rFont val="Arial Narrow"/>
        <family val="2"/>
      </rPr>
      <t>(Cadela)</t>
    </r>
  </si>
  <si>
    <r>
      <rPr>
        <b/>
        <sz val="10"/>
        <rFont val="Arial Narrow"/>
        <family val="2"/>
      </rPr>
      <t>SERGIO GONÇALVES DE MEIRA</t>
    </r>
    <r>
      <rPr>
        <b/>
        <sz val="10"/>
        <color indexed="10"/>
        <rFont val="Arial Narrow"/>
        <family val="2"/>
      </rPr>
      <t xml:space="preserve">    (Piu)</t>
    </r>
  </si>
  <si>
    <r>
      <t xml:space="preserve">SIDNEI DA SILVA PARANHOS </t>
    </r>
    <r>
      <rPr>
        <b/>
        <sz val="10"/>
        <color indexed="53"/>
        <rFont val="Arial Narrow"/>
        <family val="2"/>
      </rPr>
      <t xml:space="preserve">    </t>
    </r>
    <r>
      <rPr>
        <b/>
        <sz val="10"/>
        <color indexed="10"/>
        <rFont val="Arial Narrow"/>
        <family val="2"/>
      </rPr>
      <t>(Paulista / São Paulo)</t>
    </r>
  </si>
  <si>
    <r>
      <t>UEDERSON PAULINO GONÇALVES DA SILVA</t>
    </r>
    <r>
      <rPr>
        <b/>
        <sz val="10"/>
        <color indexed="53"/>
        <rFont val="Arial Narrow"/>
        <family val="2"/>
      </rPr>
      <t xml:space="preserve">    </t>
    </r>
    <r>
      <rPr>
        <b/>
        <sz val="10"/>
        <color indexed="10"/>
        <rFont val="Arial Narrow"/>
        <family val="2"/>
      </rPr>
      <t>(Chula)</t>
    </r>
  </si>
  <si>
    <r>
      <t>VALDECI DE JESUS MACHADO</t>
    </r>
    <r>
      <rPr>
        <b/>
        <sz val="10"/>
        <color indexed="53"/>
        <rFont val="Arial Narrow"/>
        <family val="2"/>
      </rPr>
      <t xml:space="preserve">    </t>
    </r>
    <r>
      <rPr>
        <b/>
        <sz val="10"/>
        <color indexed="10"/>
        <rFont val="Arial Narrow"/>
        <family val="2"/>
      </rPr>
      <t>(Diabinho / Máscara)</t>
    </r>
  </si>
  <si>
    <r>
      <t xml:space="preserve">VALDEMIR GOMES DAS DORES JUNIOR   </t>
    </r>
    <r>
      <rPr>
        <b/>
        <sz val="10"/>
        <color indexed="10"/>
        <rFont val="Arial Narrow"/>
        <family val="2"/>
      </rPr>
      <t xml:space="preserve"> (Gordinho)</t>
    </r>
  </si>
  <si>
    <r>
      <t xml:space="preserve">WILLIAN BRONCZEK LUIZ    </t>
    </r>
    <r>
      <rPr>
        <b/>
        <sz val="10"/>
        <color indexed="10"/>
        <rFont val="Arial Narrow"/>
        <family val="2"/>
      </rPr>
      <t>(Gordinho / Palhaço/ Marisa)</t>
    </r>
  </si>
  <si>
    <r>
      <t xml:space="preserve">WILLIAN FERNANDO DA CONCEIÇÃO INACIO   </t>
    </r>
    <r>
      <rPr>
        <b/>
        <sz val="10"/>
        <color indexed="10"/>
        <rFont val="Arial Narrow"/>
        <family val="2"/>
      </rPr>
      <t>(Black / Buiu)</t>
    </r>
  </si>
  <si>
    <r>
      <t>ADEMILSON ALVES FERREIRA</t>
    </r>
    <r>
      <rPr>
        <b/>
        <sz val="10"/>
        <color indexed="53"/>
        <rFont val="Arial Narrow"/>
        <family val="2"/>
      </rPr>
      <t xml:space="preserve">    </t>
    </r>
    <r>
      <rPr>
        <b/>
        <sz val="10"/>
        <color indexed="10"/>
        <rFont val="Arial Narrow"/>
        <family val="2"/>
      </rPr>
      <t>(Negão / Palmeirense)</t>
    </r>
  </si>
  <si>
    <r>
      <t xml:space="preserve">ADILSON GONÇALVES DE SOUZA    </t>
    </r>
    <r>
      <rPr>
        <b/>
        <sz val="10"/>
        <color indexed="10"/>
        <rFont val="Arial Narrow"/>
        <family val="2"/>
      </rPr>
      <t xml:space="preserve"> (Mascara)</t>
    </r>
  </si>
  <si>
    <r>
      <t xml:space="preserve">ALESSANDRO APARECIDO FONSECA    </t>
    </r>
    <r>
      <rPr>
        <b/>
        <sz val="10"/>
        <color indexed="10"/>
        <rFont val="Arial Narrow"/>
        <family val="2"/>
      </rPr>
      <t>(João Grandão)</t>
    </r>
  </si>
  <si>
    <r>
      <t xml:space="preserve">ALESSANDRO MARCONDES DA SILVA    </t>
    </r>
    <r>
      <rPr>
        <b/>
        <sz val="10"/>
        <color indexed="10"/>
        <rFont val="Arial Narrow"/>
        <family val="2"/>
      </rPr>
      <t>(Diabólico / Sangés)</t>
    </r>
  </si>
  <si>
    <r>
      <t xml:space="preserve">ALEXANDRE DOS SANTOS AMANCIO     </t>
    </r>
    <r>
      <rPr>
        <b/>
        <sz val="10"/>
        <color indexed="10"/>
        <rFont val="Arial Narrow"/>
        <family val="2"/>
      </rPr>
      <t>(Preá / Xandão)</t>
    </r>
  </si>
  <si>
    <r>
      <t xml:space="preserve">ALLAN VINICIUS DOS SANTOS DA SILVA    </t>
    </r>
    <r>
      <rPr>
        <b/>
        <sz val="10"/>
        <color indexed="10"/>
        <rFont val="Arial Narrow"/>
        <family val="2"/>
      </rPr>
      <t>(Raji)</t>
    </r>
  </si>
  <si>
    <r>
      <t xml:space="preserve">ANDERSON OLIVEIRA DOS SANTOS    </t>
    </r>
    <r>
      <rPr>
        <b/>
        <sz val="10"/>
        <color indexed="10"/>
        <rFont val="Arial Narrow"/>
        <family val="2"/>
      </rPr>
      <t>(Gambá / G.B.)</t>
    </r>
  </si>
  <si>
    <r>
      <t xml:space="preserve">ANDRE LUIS PRUDENCIANO GOUVEIA    </t>
    </r>
    <r>
      <rPr>
        <b/>
        <sz val="10"/>
        <color indexed="10"/>
        <rFont val="Arial Narrow"/>
        <family val="2"/>
      </rPr>
      <t>(Paulista)</t>
    </r>
  </si>
  <si>
    <r>
      <t xml:space="preserve">ANDRE LUIZ TORRES CUNHA      </t>
    </r>
    <r>
      <rPr>
        <b/>
        <sz val="10"/>
        <color indexed="10"/>
        <rFont val="Arial Narrow"/>
        <family val="2"/>
      </rPr>
      <t>(Cabelo)</t>
    </r>
  </si>
  <si>
    <r>
      <t xml:space="preserve">ANDRE MAICON KREVELIN    </t>
    </r>
    <r>
      <rPr>
        <b/>
        <sz val="10"/>
        <color indexed="10"/>
        <rFont val="Arial Narrow"/>
        <family val="2"/>
      </rPr>
      <t>(Narizinho / Peladinho)</t>
    </r>
  </si>
  <si>
    <r>
      <t xml:space="preserve">ANDRIO FABRICIO FERREIRA DE MORAES    </t>
    </r>
    <r>
      <rPr>
        <b/>
        <sz val="10"/>
        <color indexed="10"/>
        <rFont val="Arial Narrow"/>
        <family val="2"/>
      </rPr>
      <t>(Patati)</t>
    </r>
  </si>
  <si>
    <r>
      <t xml:space="preserve">ANGELO RODRIGO RIBEIRO DOS SANTOS    </t>
    </r>
    <r>
      <rPr>
        <b/>
        <sz val="10"/>
        <color indexed="10"/>
        <rFont val="Arial Narrow"/>
        <family val="2"/>
      </rPr>
      <t>(Corvo)</t>
    </r>
  </si>
  <si>
    <r>
      <t xml:space="preserve">ANTONIO CARLOS ANTUNES DE SOUZA    </t>
    </r>
    <r>
      <rPr>
        <b/>
        <sz val="10"/>
        <color indexed="10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(Zinho</t>
    </r>
    <r>
      <rPr>
        <b/>
        <sz val="10"/>
        <color indexed="53"/>
        <rFont val="Arial Narrow"/>
        <family val="2"/>
      </rPr>
      <t>)</t>
    </r>
  </si>
  <si>
    <r>
      <t xml:space="preserve">ANTONIO GILSON FERREIRA DE ALMEIDA   </t>
    </r>
    <r>
      <rPr>
        <b/>
        <sz val="10"/>
        <color indexed="10"/>
        <rFont val="Arial Narrow"/>
        <family val="2"/>
      </rPr>
      <t>(Leitão / Perna)</t>
    </r>
  </si>
  <si>
    <r>
      <t xml:space="preserve">ANTONIO MARCOS DA LUZ DE MELLO    </t>
    </r>
    <r>
      <rPr>
        <b/>
        <sz val="10"/>
        <color indexed="10"/>
        <rFont val="Arial Narrow"/>
        <family val="2"/>
      </rPr>
      <t>(Tio Casca)</t>
    </r>
  </si>
  <si>
    <r>
      <t xml:space="preserve">CARLOS EDUARDO DE JESUS    </t>
    </r>
    <r>
      <rPr>
        <b/>
        <sz val="10"/>
        <color indexed="10"/>
        <rFont val="Arial Narrow"/>
        <family val="2"/>
      </rPr>
      <t>(Carlito / Veloz)</t>
    </r>
  </si>
  <si>
    <r>
      <t xml:space="preserve">CHARLES RIBEIRO RODRIGUES    </t>
    </r>
    <r>
      <rPr>
        <b/>
        <sz val="10"/>
        <color indexed="10"/>
        <rFont val="Arial Narrow"/>
        <family val="2"/>
      </rPr>
      <t>(Charlinho)</t>
    </r>
  </si>
  <si>
    <r>
      <t xml:space="preserve">CHRISTIAN JUNIO DA SILVA ALVES </t>
    </r>
    <r>
      <rPr>
        <b/>
        <sz val="10"/>
        <color indexed="10"/>
        <rFont val="Arial Narrow"/>
        <family val="2"/>
      </rPr>
      <t xml:space="preserve">   (Vigote)</t>
    </r>
  </si>
  <si>
    <r>
      <t xml:space="preserve">CLAILTON JOSUE MENDES    </t>
    </r>
    <r>
      <rPr>
        <b/>
        <sz val="10"/>
        <color indexed="10"/>
        <rFont val="Arial Narrow"/>
        <family val="2"/>
      </rPr>
      <t>(Pimpolho)</t>
    </r>
  </si>
  <si>
    <r>
      <t xml:space="preserve">CLAILTON JOSUÉ MENDES    </t>
    </r>
    <r>
      <rPr>
        <b/>
        <sz val="10"/>
        <color indexed="10"/>
        <rFont val="Arial Narrow"/>
        <family val="2"/>
      </rPr>
      <t>(Pimpolho)</t>
    </r>
  </si>
  <si>
    <r>
      <t xml:space="preserve">CLAUDEMIR APARECIDO DE OLIVEIRA   </t>
    </r>
    <r>
      <rPr>
        <b/>
        <sz val="10"/>
        <color indexed="10"/>
        <rFont val="Arial Narrow"/>
        <family val="2"/>
      </rPr>
      <t>(Paulista / Esqueleto)</t>
    </r>
  </si>
  <si>
    <r>
      <t>CLAUDINEI SEBASTIÃO DOS SANTOS</t>
    </r>
    <r>
      <rPr>
        <b/>
        <sz val="10"/>
        <color indexed="53"/>
        <rFont val="Arial Narrow"/>
        <family val="2"/>
      </rPr>
      <t xml:space="preserve">    </t>
    </r>
    <r>
      <rPr>
        <b/>
        <sz val="10"/>
        <color indexed="10"/>
        <rFont val="Arial Narrow"/>
        <family val="2"/>
      </rPr>
      <t>(Tabela)</t>
    </r>
  </si>
  <si>
    <r>
      <t xml:space="preserve">CLEVERSON GONÇALVES DA SILVA    </t>
    </r>
    <r>
      <rPr>
        <b/>
        <sz val="10"/>
        <color indexed="10"/>
        <rFont val="Arial Narrow"/>
        <family val="2"/>
      </rPr>
      <t>(Fantasma / Pequeno)</t>
    </r>
  </si>
  <si>
    <r>
      <t xml:space="preserve">DANILO LUIZ GONÇALVES DE FREITAS    </t>
    </r>
    <r>
      <rPr>
        <b/>
        <sz val="10"/>
        <color indexed="10"/>
        <rFont val="Arial Narrow"/>
        <family val="2"/>
      </rPr>
      <t>(Dandan)</t>
    </r>
  </si>
  <si>
    <r>
      <t xml:space="preserve">DONIZETE APARECIDO DA SILVA    </t>
    </r>
    <r>
      <rPr>
        <b/>
        <sz val="10"/>
        <color indexed="10"/>
        <rFont val="Arial Narrow"/>
        <family val="2"/>
      </rPr>
      <t>(Mudinho)</t>
    </r>
  </si>
  <si>
    <r>
      <t xml:space="preserve">EDSON DOS PASSOS CARDOSO     </t>
    </r>
    <r>
      <rPr>
        <b/>
        <sz val="10"/>
        <color indexed="10"/>
        <rFont val="Arial Narrow"/>
        <family val="2"/>
      </rPr>
      <t>(Eca)</t>
    </r>
  </si>
  <si>
    <r>
      <t>ELIEBER HENRIQUE SCHULTZ</t>
    </r>
    <r>
      <rPr>
        <b/>
        <sz val="10"/>
        <color indexed="10"/>
        <rFont val="Arial Narrow"/>
        <family val="2"/>
      </rPr>
      <t xml:space="preserve">    (Grilo)</t>
    </r>
  </si>
  <si>
    <r>
      <t xml:space="preserve">ELIEBER HENRIQUE SCHULTZ    </t>
    </r>
    <r>
      <rPr>
        <b/>
        <sz val="10"/>
        <color indexed="10"/>
        <rFont val="Arial Narrow"/>
        <family val="2"/>
      </rPr>
      <t>(Grilo)</t>
    </r>
  </si>
  <si>
    <r>
      <t xml:space="preserve">ELINTON DE MORAES SOARES      </t>
    </r>
    <r>
      <rPr>
        <b/>
        <sz val="10"/>
        <color indexed="10"/>
        <rFont val="Arial Narrow"/>
        <family val="2"/>
      </rPr>
      <t>(Teta)</t>
    </r>
  </si>
  <si>
    <r>
      <t xml:space="preserve">ELIEZER DONIZETE SOVINSKI      </t>
    </r>
    <r>
      <rPr>
        <b/>
        <sz val="10"/>
        <color indexed="10"/>
        <rFont val="Arial Narrow"/>
        <family val="2"/>
      </rPr>
      <t>(Gadeia)</t>
    </r>
  </si>
  <si>
    <r>
      <t xml:space="preserve">ELTON OLIVEIRA XAVIER    </t>
    </r>
    <r>
      <rPr>
        <b/>
        <sz val="10"/>
        <color indexed="10"/>
        <rFont val="Arial Narrow"/>
        <family val="2"/>
      </rPr>
      <t>(Neguinho)</t>
    </r>
  </si>
  <si>
    <r>
      <t xml:space="preserve">ELVIS RAYLSON PEREIRA DA SILVA    </t>
    </r>
    <r>
      <rPr>
        <b/>
        <sz val="10"/>
        <color indexed="10"/>
        <rFont val="Arial Narrow"/>
        <family val="2"/>
      </rPr>
      <t>(Pingo)</t>
    </r>
  </si>
  <si>
    <r>
      <t xml:space="preserve">EMERSON DOS SANTOS CUNHA FERNANDES    </t>
    </r>
    <r>
      <rPr>
        <b/>
        <sz val="10"/>
        <color indexed="10"/>
        <rFont val="Arial Narrow"/>
        <family val="2"/>
      </rPr>
      <t>( Guerra )</t>
    </r>
  </si>
  <si>
    <r>
      <t xml:space="preserve">EMERSON DOS SANTOS CUNHA FERNANDES    </t>
    </r>
    <r>
      <rPr>
        <b/>
        <sz val="10"/>
        <color indexed="10"/>
        <rFont val="Arial Narrow"/>
        <family val="2"/>
      </rPr>
      <t>(Guerra)</t>
    </r>
  </si>
  <si>
    <r>
      <t xml:space="preserve">ERICSON LUIS CARDOSO GASPAR DE ARAUJO    </t>
    </r>
    <r>
      <rPr>
        <b/>
        <sz val="10"/>
        <color indexed="10"/>
        <rFont val="Arial Narrow"/>
        <family val="2"/>
      </rPr>
      <t>(Londrina)</t>
    </r>
  </si>
  <si>
    <r>
      <t xml:space="preserve">ERLEI DE JESUS ZAMBILO    </t>
    </r>
    <r>
      <rPr>
        <b/>
        <sz val="10"/>
        <color indexed="10"/>
        <rFont val="Arial Narrow"/>
        <family val="2"/>
      </rPr>
      <t>(Gringo)</t>
    </r>
  </si>
  <si>
    <r>
      <t>ERLEI DE JESUS ZAMBILO</t>
    </r>
    <r>
      <rPr>
        <b/>
        <sz val="10"/>
        <color indexed="53"/>
        <rFont val="Arial Narrow"/>
        <family val="2"/>
      </rPr>
      <t xml:space="preserve">    </t>
    </r>
    <r>
      <rPr>
        <b/>
        <sz val="10"/>
        <color indexed="10"/>
        <rFont val="Arial Narrow"/>
        <family val="2"/>
      </rPr>
      <t>(Gringo)</t>
    </r>
  </si>
  <si>
    <r>
      <t xml:space="preserve">EVANDRO SOARES SIQUEIRA     </t>
    </r>
    <r>
      <rPr>
        <b/>
        <sz val="10"/>
        <color indexed="10"/>
        <rFont val="Arial Narrow"/>
        <family val="2"/>
      </rPr>
      <t>(Gordinho)</t>
    </r>
  </si>
  <si>
    <r>
      <t xml:space="preserve">EVERLIN JORDÃO DE FREITAS     </t>
    </r>
    <r>
      <rPr>
        <b/>
        <sz val="10"/>
        <color indexed="10"/>
        <rFont val="Arial Narrow"/>
        <family val="2"/>
      </rPr>
      <t>(Magrâo)</t>
    </r>
  </si>
  <si>
    <r>
      <t xml:space="preserve">EVERTON RICARDO SOARES DOS SANTOS  </t>
    </r>
    <r>
      <rPr>
        <b/>
        <sz val="10"/>
        <color indexed="10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 Cebola )</t>
    </r>
  </si>
  <si>
    <r>
      <t xml:space="preserve">FABIANO RODRIGO DOS SANTOS   </t>
    </r>
    <r>
      <rPr>
        <b/>
        <sz val="10"/>
        <color indexed="10"/>
        <rFont val="Arial Narrow"/>
        <family val="2"/>
      </rPr>
      <t xml:space="preserve"> (Gugo)</t>
    </r>
  </si>
  <si>
    <r>
      <t xml:space="preserve">FABIO ANTONIO DE OLIVEIRA FERREIRA    </t>
    </r>
    <r>
      <rPr>
        <b/>
        <sz val="10"/>
        <color indexed="10"/>
        <rFont val="Arial Narrow"/>
        <family val="2"/>
      </rPr>
      <t>(Passarinho)</t>
    </r>
  </si>
  <si>
    <r>
      <t>FABIO GOMES DOS SANTOS</t>
    </r>
    <r>
      <rPr>
        <b/>
        <sz val="10"/>
        <color indexed="10"/>
        <rFont val="Arial Narrow"/>
        <family val="2"/>
      </rPr>
      <t xml:space="preserve">    (Gago)</t>
    </r>
  </si>
  <si>
    <r>
      <t xml:space="preserve">FABIO JOSÉ AGOSTINHO SOARES   </t>
    </r>
    <r>
      <rPr>
        <b/>
        <sz val="10"/>
        <color indexed="10"/>
        <rFont val="Arial Narrow"/>
        <family val="2"/>
      </rPr>
      <t>(Neguinho)</t>
    </r>
  </si>
  <si>
    <r>
      <t xml:space="preserve">FABIO RENE PEREIRA    </t>
    </r>
    <r>
      <rPr>
        <b/>
        <sz val="10"/>
        <color indexed="10"/>
        <rFont val="Arial Narrow"/>
        <family val="2"/>
      </rPr>
      <t>(Binho)</t>
    </r>
  </si>
  <si>
    <r>
      <t xml:space="preserve">FELIPE JOSÉ STORI MOREIRA    </t>
    </r>
    <r>
      <rPr>
        <b/>
        <sz val="10"/>
        <color indexed="10"/>
        <rFont val="Arial Narrow"/>
        <family val="2"/>
      </rPr>
      <t>(Twister)</t>
    </r>
  </si>
  <si>
    <r>
      <t>FABRICIO JULIANO FERREIRA</t>
    </r>
    <r>
      <rPr>
        <b/>
        <sz val="10"/>
        <color indexed="10"/>
        <rFont val="Arial Narrow"/>
        <family val="2"/>
      </rPr>
      <t xml:space="preserve">    (Jacaré)</t>
    </r>
  </si>
  <si>
    <r>
      <t xml:space="preserve">FABRICIO JULIANO FERREIRA    </t>
    </r>
    <r>
      <rPr>
        <b/>
        <sz val="10"/>
        <color indexed="10"/>
        <rFont val="Arial Narrow"/>
        <family val="2"/>
      </rPr>
      <t>(Jacaré)</t>
    </r>
  </si>
  <si>
    <r>
      <t xml:space="preserve">FABIO RODRIGUES DA SILVA    </t>
    </r>
    <r>
      <rPr>
        <b/>
        <sz val="10"/>
        <color indexed="10"/>
        <rFont val="Arial Narrow"/>
        <family val="2"/>
      </rPr>
      <t>(Febronha / Fabio Cola)</t>
    </r>
  </si>
  <si>
    <r>
      <t xml:space="preserve">FELIPE PIECYKOLAN     </t>
    </r>
    <r>
      <rPr>
        <b/>
        <sz val="10"/>
        <color indexed="10"/>
        <rFont val="Arial Narrow"/>
        <family val="2"/>
      </rPr>
      <t>(Mormaii)</t>
    </r>
  </si>
  <si>
    <r>
      <t xml:space="preserve">FERNANDO ELIAS DO NASCIMENTO    </t>
    </r>
    <r>
      <rPr>
        <b/>
        <sz val="10"/>
        <color indexed="10"/>
        <rFont val="Arial Narrow"/>
        <family val="2"/>
      </rPr>
      <t>(Apocalipse)</t>
    </r>
  </si>
  <si>
    <r>
      <t xml:space="preserve">FERNANDO RICARDO STOCCO    </t>
    </r>
    <r>
      <rPr>
        <b/>
        <sz val="10"/>
        <color indexed="10"/>
        <rFont val="Arial Narrow"/>
        <family val="2"/>
      </rPr>
      <t>(Fer / Fernanda)</t>
    </r>
  </si>
  <si>
    <r>
      <t>FERNANDO RODRIGUES DOS SANTOS</t>
    </r>
    <r>
      <rPr>
        <b/>
        <sz val="10"/>
        <color indexed="10"/>
        <rFont val="Arial Narrow"/>
        <family val="2"/>
      </rPr>
      <t xml:space="preserve">    (Tetinha)</t>
    </r>
  </si>
  <si>
    <r>
      <t xml:space="preserve">FLAVIO LUIZ CARNEIRO     </t>
    </r>
    <r>
      <rPr>
        <b/>
        <sz val="10"/>
        <color indexed="53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(Flavinho)</t>
    </r>
  </si>
  <si>
    <r>
      <t xml:space="preserve">GABRIEL PACHECO      </t>
    </r>
    <r>
      <rPr>
        <b/>
        <sz val="10"/>
        <color indexed="10"/>
        <rFont val="Arial Narrow"/>
        <family val="2"/>
      </rPr>
      <t>(Raul)</t>
    </r>
  </si>
  <si>
    <r>
      <t>GENILSON CARDOSO DOS SANTOS</t>
    </r>
    <r>
      <rPr>
        <b/>
        <sz val="10"/>
        <color indexed="10"/>
        <rFont val="Arial Narrow"/>
        <family val="2"/>
      </rPr>
      <t xml:space="preserve">    (Tatu)</t>
    </r>
  </si>
  <si>
    <r>
      <t xml:space="preserve">GENILSON DE PAULA BRITO    </t>
    </r>
    <r>
      <rPr>
        <b/>
        <sz val="10"/>
        <color indexed="10"/>
        <rFont val="Arial Narrow"/>
        <family val="2"/>
      </rPr>
      <t>(Geninho)</t>
    </r>
  </si>
  <si>
    <r>
      <t xml:space="preserve">GENILSON FREITAS DIOGO    </t>
    </r>
    <r>
      <rPr>
        <b/>
        <sz val="10"/>
        <color indexed="10"/>
        <rFont val="Arial Narrow"/>
        <family val="2"/>
      </rPr>
      <t>(Borracha)</t>
    </r>
  </si>
  <si>
    <r>
      <t xml:space="preserve">GILCEMAR DE CASTRO FREITAS </t>
    </r>
    <r>
      <rPr>
        <b/>
        <sz val="10"/>
        <color indexed="10"/>
        <rFont val="Arial Narrow"/>
        <family val="2"/>
      </rPr>
      <t xml:space="preserve">    (Tigê)</t>
    </r>
  </si>
  <si>
    <r>
      <t xml:space="preserve">GILMAR PEREIRA DE SOUZA    </t>
    </r>
    <r>
      <rPr>
        <b/>
        <sz val="10"/>
        <color indexed="10"/>
        <rFont val="Arial Narrow"/>
        <family val="2"/>
      </rPr>
      <t>(Gil)</t>
    </r>
  </si>
  <si>
    <r>
      <t>GILVANI DOS SANTOS</t>
    </r>
    <r>
      <rPr>
        <b/>
        <sz val="10"/>
        <color indexed="10"/>
        <rFont val="Arial Narrow"/>
        <family val="2"/>
      </rPr>
      <t xml:space="preserve">       (Foz / Di)</t>
    </r>
  </si>
  <si>
    <r>
      <t xml:space="preserve">GIOVANE CAMARGO DE SOUZA   </t>
    </r>
    <r>
      <rPr>
        <b/>
        <sz val="10"/>
        <color indexed="52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(Sprite)</t>
    </r>
  </si>
  <si>
    <r>
      <t xml:space="preserve">GIULIANO MACIEL GOMES   </t>
    </r>
    <r>
      <rPr>
        <b/>
        <sz val="10"/>
        <color indexed="10"/>
        <rFont val="Arial Narrow"/>
        <family val="2"/>
      </rPr>
      <t xml:space="preserve">   (Bozó)</t>
    </r>
  </si>
  <si>
    <r>
      <t xml:space="preserve">HAMILTON CARNEIRO DA SILVA     </t>
    </r>
    <r>
      <rPr>
        <b/>
        <sz val="10"/>
        <color indexed="10"/>
        <rFont val="Arial Narrow"/>
        <family val="2"/>
      </rPr>
      <t>(Sarapião)</t>
    </r>
  </si>
  <si>
    <r>
      <t>HEBERTON TEODORO</t>
    </r>
    <r>
      <rPr>
        <b/>
        <sz val="10"/>
        <color indexed="17"/>
        <rFont val="Arial Narrow"/>
        <family val="2"/>
      </rPr>
      <t xml:space="preserve">       </t>
    </r>
    <r>
      <rPr>
        <b/>
        <sz val="10"/>
        <color indexed="10"/>
        <rFont val="Arial Narrow"/>
        <family val="2"/>
      </rPr>
      <t>(Eto'o)</t>
    </r>
  </si>
  <si>
    <r>
      <t xml:space="preserve">HELZO ANTUNES DOS SANTOS    </t>
    </r>
    <r>
      <rPr>
        <b/>
        <sz val="10"/>
        <color indexed="10"/>
        <rFont val="Arial Narrow"/>
        <family val="2"/>
      </rPr>
      <t xml:space="preserve"> (Babão)</t>
    </r>
  </si>
  <si>
    <r>
      <t xml:space="preserve">ISAAC BIBERG DE OLIVEIRA     </t>
    </r>
    <r>
      <rPr>
        <b/>
        <sz val="10"/>
        <color indexed="10"/>
        <rFont val="Arial Narrow"/>
        <family val="2"/>
      </rPr>
      <t>(Matelândia)</t>
    </r>
  </si>
  <si>
    <r>
      <t xml:space="preserve">ISAAC FERREIRA CAVALHEIRO    </t>
    </r>
    <r>
      <rPr>
        <b/>
        <sz val="10"/>
        <color indexed="10"/>
        <rFont val="Arial Narrow"/>
        <family val="2"/>
      </rPr>
      <t>(Macaco)</t>
    </r>
  </si>
  <si>
    <r>
      <rPr>
        <b/>
        <sz val="10"/>
        <rFont val="Arial Narrow"/>
        <family val="2"/>
      </rPr>
      <t xml:space="preserve">ISAEL NUNES DA SILVA     </t>
    </r>
    <r>
      <rPr>
        <b/>
        <sz val="10"/>
        <color indexed="10"/>
        <rFont val="Arial Narrow"/>
        <family val="2"/>
      </rPr>
      <t>(Cagão)</t>
    </r>
  </si>
  <si>
    <r>
      <t xml:space="preserve">JACKSON MOREIRA FREITAS   </t>
    </r>
    <r>
      <rPr>
        <b/>
        <sz val="10"/>
        <color indexed="10"/>
        <rFont val="Arial Narrow"/>
        <family val="2"/>
      </rPr>
      <t xml:space="preserve"> (Tiozinho)</t>
    </r>
  </si>
  <si>
    <r>
      <t>JANDER ISAC DOS SANTOS</t>
    </r>
    <r>
      <rPr>
        <b/>
        <sz val="10"/>
        <color indexed="10"/>
        <rFont val="Arial Narrow"/>
        <family val="2"/>
      </rPr>
      <t xml:space="preserve">    (Febem / M.P.)</t>
    </r>
    <r>
      <rPr>
        <b/>
        <sz val="10"/>
        <rFont val="Arial Narrow"/>
        <family val="2"/>
      </rPr>
      <t xml:space="preserve">                </t>
    </r>
  </si>
  <si>
    <r>
      <t>JEAN MARCEL DIAS</t>
    </r>
    <r>
      <rPr>
        <b/>
        <sz val="10"/>
        <color indexed="53"/>
        <rFont val="Arial Narrow"/>
        <family val="2"/>
      </rPr>
      <t xml:space="preserve">     </t>
    </r>
    <r>
      <rPr>
        <b/>
        <sz val="10"/>
        <color indexed="10"/>
        <rFont val="Arial Narrow"/>
        <family val="2"/>
      </rPr>
      <t>(José)</t>
    </r>
  </si>
  <si>
    <r>
      <t xml:space="preserve">JEANSON PALHUHA       </t>
    </r>
    <r>
      <rPr>
        <b/>
        <sz val="10"/>
        <color indexed="10"/>
        <rFont val="Arial Narrow"/>
        <family val="2"/>
      </rPr>
      <t>(Chupeta)</t>
    </r>
  </si>
  <si>
    <r>
      <t xml:space="preserve">JEFERSON DA CRUZ DE OLIVEIRA    </t>
    </r>
    <r>
      <rPr>
        <b/>
        <sz val="10"/>
        <color indexed="10"/>
        <rFont val="Arial Narrow"/>
        <family val="2"/>
      </rPr>
      <t>(Tirço)</t>
    </r>
  </si>
  <si>
    <r>
      <t xml:space="preserve">JEFERSON GUARACI GONÇALO    </t>
    </r>
    <r>
      <rPr>
        <b/>
        <sz val="10"/>
        <color indexed="10"/>
        <rFont val="Arial Narrow"/>
        <family val="2"/>
      </rPr>
      <t>(Moisés)</t>
    </r>
  </si>
  <si>
    <r>
      <t>JEFERSON LUIZ RIBEIRO</t>
    </r>
    <r>
      <rPr>
        <b/>
        <sz val="10"/>
        <color indexed="53"/>
        <rFont val="Arial Narrow"/>
        <family val="2"/>
      </rPr>
      <t xml:space="preserve">    </t>
    </r>
    <r>
      <rPr>
        <b/>
        <sz val="10"/>
        <color indexed="10"/>
        <rFont val="Arial Narrow"/>
        <family val="2"/>
      </rPr>
      <t>(Tibinha)</t>
    </r>
  </si>
  <si>
    <r>
      <t xml:space="preserve">JEFERSON SILVESTRE FERREIRA    </t>
    </r>
    <r>
      <rPr>
        <b/>
        <sz val="10"/>
        <color indexed="10"/>
        <rFont val="Arial Narrow"/>
        <family val="2"/>
      </rPr>
      <t>(Véio)</t>
    </r>
  </si>
  <si>
    <r>
      <t xml:space="preserve">JEFERSON SOARES DA SILVA    </t>
    </r>
    <r>
      <rPr>
        <b/>
        <sz val="10"/>
        <color indexed="10"/>
        <rFont val="Arial Narrow"/>
        <family val="2"/>
      </rPr>
      <t>(Madimbu)</t>
    </r>
  </si>
  <si>
    <r>
      <t xml:space="preserve">IVERSON REGO DE FARIAS       </t>
    </r>
    <r>
      <rPr>
        <b/>
        <sz val="10"/>
        <color indexed="10"/>
        <rFont val="Arial Narrow"/>
        <family val="2"/>
      </rPr>
      <t>(Carioca)</t>
    </r>
  </si>
  <si>
    <r>
      <t xml:space="preserve">JACIR PRUDENCIO      </t>
    </r>
    <r>
      <rPr>
        <b/>
        <sz val="10"/>
        <color indexed="53"/>
        <rFont val="Arial Narrow"/>
        <family val="2"/>
      </rPr>
      <t xml:space="preserve">   </t>
    </r>
    <r>
      <rPr>
        <b/>
        <sz val="10"/>
        <color indexed="10"/>
        <rFont val="Arial Narrow"/>
        <family val="2"/>
      </rPr>
      <t xml:space="preserve"> (Titanic)</t>
    </r>
  </si>
  <si>
    <r>
      <t xml:space="preserve">JAMES IGOR MADUREIRA      </t>
    </r>
    <r>
      <rPr>
        <b/>
        <sz val="10"/>
        <color indexed="10"/>
        <rFont val="Arial Narrow"/>
        <family val="2"/>
      </rPr>
      <t xml:space="preserve"> (Mico)</t>
    </r>
  </si>
  <si>
    <r>
      <t xml:space="preserve">JEFERSON XAVIER    </t>
    </r>
    <r>
      <rPr>
        <b/>
        <sz val="10"/>
        <color indexed="10"/>
        <rFont val="Arial Narrow"/>
        <family val="2"/>
      </rPr>
      <t>(Cipó / Spock)</t>
    </r>
  </si>
  <si>
    <r>
      <t xml:space="preserve">JEFFERSON ALVES DE SOUZA    </t>
    </r>
    <r>
      <rPr>
        <b/>
        <sz val="10"/>
        <color indexed="10"/>
        <rFont val="Arial Narrow"/>
        <family val="2"/>
      </rPr>
      <t>(Chimbinha)</t>
    </r>
  </si>
  <si>
    <r>
      <t xml:space="preserve">JESUS NAZARE FERNANDES SOARES    </t>
    </r>
    <r>
      <rPr>
        <b/>
        <sz val="10"/>
        <color indexed="10"/>
        <rFont val="Arial Narrow"/>
        <family val="2"/>
      </rPr>
      <t>(Tato)</t>
    </r>
  </si>
  <si>
    <r>
      <t xml:space="preserve">JHON LENON GONÇALVES    </t>
    </r>
    <r>
      <rPr>
        <b/>
        <sz val="10"/>
        <color indexed="10"/>
        <rFont val="Arial Narrow"/>
        <family val="2"/>
      </rPr>
      <t>( Omega / Marcos )</t>
    </r>
  </si>
  <si>
    <r>
      <t>JHONNY RIBEIRO DE FREITAS</t>
    </r>
    <r>
      <rPr>
        <b/>
        <sz val="10"/>
        <color indexed="53"/>
        <rFont val="Arial Narrow"/>
        <family val="2"/>
      </rPr>
      <t xml:space="preserve">    </t>
    </r>
    <r>
      <rPr>
        <b/>
        <sz val="10"/>
        <color indexed="10"/>
        <rFont val="Arial Narrow"/>
        <family val="2"/>
      </rPr>
      <t>(Caveirinha)</t>
    </r>
  </si>
  <si>
    <r>
      <t xml:space="preserve">JHOSEFF DE JESUS ARAÚJO VANDOSKI   </t>
    </r>
    <r>
      <rPr>
        <b/>
        <sz val="10"/>
        <color indexed="10"/>
        <rFont val="Arial Narrow"/>
        <family val="2"/>
      </rPr>
      <t xml:space="preserve"> (L.A.)</t>
    </r>
  </si>
  <si>
    <r>
      <t xml:space="preserve">JOÃO ADEMIR MATIAS    </t>
    </r>
    <r>
      <rPr>
        <b/>
        <sz val="10"/>
        <color indexed="10"/>
        <rFont val="Arial Narrow"/>
        <family val="2"/>
      </rPr>
      <t>( Talento / Tripa )</t>
    </r>
  </si>
  <si>
    <r>
      <t xml:space="preserve">JOAO ANTONIO RIBEIRO DA SILVA    </t>
    </r>
    <r>
      <rPr>
        <b/>
        <sz val="10"/>
        <color indexed="10"/>
        <rFont val="Arial Narrow"/>
        <family val="2"/>
      </rPr>
      <t>(João da Égua)</t>
    </r>
  </si>
  <si>
    <r>
      <t xml:space="preserve">JOAO CARLOS KRUGER    </t>
    </r>
    <r>
      <rPr>
        <b/>
        <sz val="10"/>
        <color indexed="10"/>
        <rFont val="Arial Narrow"/>
        <family val="2"/>
      </rPr>
      <t>(Coelho)</t>
    </r>
  </si>
  <si>
    <r>
      <t xml:space="preserve">JOAO CLAUDIO BUENO DA SILVA    </t>
    </r>
    <r>
      <rPr>
        <b/>
        <sz val="10"/>
        <color indexed="10"/>
        <rFont val="Arial Narrow"/>
        <family val="2"/>
      </rPr>
      <t>(Nego / Paulista)</t>
    </r>
  </si>
  <si>
    <r>
      <t xml:space="preserve">JOAO DANIEL LOPES FRAGOSO    </t>
    </r>
    <r>
      <rPr>
        <b/>
        <sz val="10"/>
        <color indexed="10"/>
        <rFont val="Arial Narrow"/>
        <family val="2"/>
      </rPr>
      <t>(Abóbora)</t>
    </r>
  </si>
  <si>
    <r>
      <t xml:space="preserve">JOÃO DRAZIEL DUARTE    </t>
    </r>
    <r>
      <rPr>
        <b/>
        <sz val="10"/>
        <color indexed="10"/>
        <rFont val="Arial Narrow"/>
        <family val="2"/>
      </rPr>
      <t>(Antena)</t>
    </r>
  </si>
  <si>
    <r>
      <t xml:space="preserve">JOAO LUCAS PEREIRA    </t>
    </r>
    <r>
      <rPr>
        <b/>
        <sz val="10"/>
        <color indexed="10"/>
        <rFont val="Arial Narrow"/>
        <family val="2"/>
      </rPr>
      <t>(J.L.)</t>
    </r>
  </si>
  <si>
    <r>
      <t xml:space="preserve">JOAO MALETZ      </t>
    </r>
    <r>
      <rPr>
        <b/>
        <sz val="10"/>
        <color indexed="10"/>
        <rFont val="Arial Narrow"/>
        <family val="2"/>
      </rPr>
      <t>(Lagarto)</t>
    </r>
  </si>
  <si>
    <r>
      <t xml:space="preserve">JOAO MARIA MELO DE QUADROS     </t>
    </r>
    <r>
      <rPr>
        <b/>
        <sz val="10"/>
        <color indexed="10"/>
        <rFont val="Arial Narrow"/>
        <family val="2"/>
      </rPr>
      <t>(Saci)</t>
    </r>
  </si>
  <si>
    <r>
      <t xml:space="preserve">JOÃO PAULO PINHEIRO       </t>
    </r>
    <r>
      <rPr>
        <b/>
        <sz val="10"/>
        <color indexed="10"/>
        <rFont val="Arial Narrow"/>
        <family val="2"/>
      </rPr>
      <t>(Boneco)</t>
    </r>
  </si>
  <si>
    <r>
      <t xml:space="preserve">JOÃO ROBERTO ANTUNES LEMES        </t>
    </r>
    <r>
      <rPr>
        <b/>
        <sz val="10"/>
        <color indexed="10"/>
        <rFont val="Arial Narrow"/>
        <family val="2"/>
      </rPr>
      <t>(Alemão)</t>
    </r>
  </si>
  <si>
    <r>
      <t xml:space="preserve">JOAO RODRIGO MAIA DA SILVA       </t>
    </r>
    <r>
      <rPr>
        <b/>
        <sz val="10"/>
        <color indexed="10"/>
        <rFont val="Arial Narrow"/>
        <family val="2"/>
      </rPr>
      <t>(Lagrima / Japones)</t>
    </r>
  </si>
  <si>
    <r>
      <t xml:space="preserve">JOCELIANO NOCERA BUENO    </t>
    </r>
    <r>
      <rPr>
        <b/>
        <sz val="10"/>
        <color indexed="10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(Moicano)</t>
    </r>
  </si>
  <si>
    <r>
      <t xml:space="preserve">JOCIMAR RAMOS     </t>
    </r>
    <r>
      <rPr>
        <b/>
        <sz val="10"/>
        <color indexed="10"/>
        <rFont val="Arial Narrow"/>
        <family val="2"/>
      </rPr>
      <t>(Passarinho)</t>
    </r>
  </si>
  <si>
    <r>
      <t xml:space="preserve">JONATHAN DE PAULA       </t>
    </r>
    <r>
      <rPr>
        <b/>
        <sz val="10"/>
        <color indexed="10"/>
        <rFont val="Arial Narrow"/>
        <family val="2"/>
      </rPr>
      <t>(Latro)</t>
    </r>
  </si>
  <si>
    <r>
      <t xml:space="preserve">JONATHAN DOS ANJOS      </t>
    </r>
    <r>
      <rPr>
        <b/>
        <sz val="10"/>
        <color indexed="10"/>
        <rFont val="Arial Narrow"/>
        <family val="2"/>
      </rPr>
      <t>(Faisca)</t>
    </r>
  </si>
  <si>
    <r>
      <t xml:space="preserve">JONATHAN LOUIS ROSA      </t>
    </r>
    <r>
      <rPr>
        <b/>
        <sz val="10"/>
        <color indexed="52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(Jotinha)</t>
    </r>
  </si>
  <si>
    <r>
      <t xml:space="preserve">JONATHAN ROBSON DE MELLO SOUZA    </t>
    </r>
    <r>
      <rPr>
        <b/>
        <sz val="10"/>
        <color indexed="10"/>
        <rFont val="Arial Narrow"/>
        <family val="2"/>
      </rPr>
      <t>(Chico tripa)</t>
    </r>
  </si>
  <si>
    <r>
      <t xml:space="preserve">JONATHAN SIEBRE DE OLIVEIRA    </t>
    </r>
    <r>
      <rPr>
        <b/>
        <sz val="10"/>
        <color indexed="10"/>
        <rFont val="Arial Narrow"/>
        <family val="2"/>
      </rPr>
      <t>(Thor)</t>
    </r>
  </si>
  <si>
    <r>
      <t xml:space="preserve">JORGE LUIZ DE FRANÇA    </t>
    </r>
    <r>
      <rPr>
        <b/>
        <sz val="10"/>
        <color indexed="10"/>
        <rFont val="Arial Narrow"/>
        <family val="2"/>
      </rPr>
      <t>(Martelinho)</t>
    </r>
  </si>
  <si>
    <r>
      <t xml:space="preserve">JORGE UBIRAJARA CARDOSO JUNIOR    </t>
    </r>
    <r>
      <rPr>
        <b/>
        <sz val="10"/>
        <color indexed="10"/>
        <rFont val="Arial Narrow"/>
        <family val="2"/>
      </rPr>
      <t>(Jorginho)</t>
    </r>
  </si>
  <si>
    <r>
      <t>JOSE ADEMIR DOS REIS</t>
    </r>
    <r>
      <rPr>
        <b/>
        <sz val="10"/>
        <color indexed="10"/>
        <rFont val="Arial Narrow"/>
        <family val="2"/>
      </rPr>
      <t xml:space="preserve">    (Milo)</t>
    </r>
  </si>
  <si>
    <r>
      <t xml:space="preserve">JOSE ADILSON SALDANHA   </t>
    </r>
    <r>
      <rPr>
        <b/>
        <sz val="10"/>
        <color indexed="53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(Assinatura / Gordinho)</t>
    </r>
  </si>
  <si>
    <r>
      <t xml:space="preserve">JOSE ADRIANO RAMOS    </t>
    </r>
    <r>
      <rPr>
        <b/>
        <sz val="10"/>
        <color indexed="10"/>
        <rFont val="Arial Narrow"/>
        <family val="2"/>
      </rPr>
      <t>(Beiço)</t>
    </r>
  </si>
  <si>
    <r>
      <t xml:space="preserve">JOSE AUGUSTO LORENCETTI    </t>
    </r>
    <r>
      <rPr>
        <b/>
        <sz val="10"/>
        <color indexed="10"/>
        <rFont val="Arial Narrow"/>
        <family val="2"/>
      </rPr>
      <t>(Bozo)</t>
    </r>
  </si>
  <si>
    <r>
      <t xml:space="preserve">JOSE AUGUSTO TAVARES    </t>
    </r>
    <r>
      <rPr>
        <b/>
        <sz val="10"/>
        <color indexed="10"/>
        <rFont val="Arial Narrow"/>
        <family val="2"/>
      </rPr>
      <t>(Truta)</t>
    </r>
  </si>
  <si>
    <r>
      <t xml:space="preserve">JOSE CARLOS RODRIGUES DE AQUINO JUNIOR    </t>
    </r>
    <r>
      <rPr>
        <b/>
        <sz val="10"/>
        <color indexed="10"/>
        <rFont val="Arial Narrow"/>
        <family val="2"/>
      </rPr>
      <t>(Juninho)</t>
    </r>
  </si>
  <si>
    <r>
      <t xml:space="preserve">JOSE DENILSON URBANECK    </t>
    </r>
    <r>
      <rPr>
        <b/>
        <sz val="10"/>
        <color indexed="10"/>
        <rFont val="Arial Narrow"/>
        <family val="2"/>
      </rPr>
      <t>(D2)</t>
    </r>
  </si>
  <si>
    <r>
      <t>JOSE DO ROSARIO DOS SANTOS SILVA</t>
    </r>
    <r>
      <rPr>
        <b/>
        <sz val="10"/>
        <color indexed="10"/>
        <rFont val="Arial Narrow"/>
        <family val="2"/>
      </rPr>
      <t xml:space="preserve">    (Batata)</t>
    </r>
  </si>
  <si>
    <r>
      <t xml:space="preserve">JOSE ERIVELTON DE OLIVEIRA    </t>
    </r>
    <r>
      <rPr>
        <b/>
        <sz val="10"/>
        <color indexed="10"/>
        <rFont val="Arial Narrow"/>
        <family val="2"/>
      </rPr>
      <t>(Japones)</t>
    </r>
  </si>
  <si>
    <r>
      <t>JOSE HAMILTON CARDOZO</t>
    </r>
    <r>
      <rPr>
        <b/>
        <sz val="10"/>
        <color indexed="10"/>
        <rFont val="Arial Narrow"/>
        <family val="2"/>
      </rPr>
      <t xml:space="preserve">    (Lobizome)</t>
    </r>
  </si>
  <si>
    <r>
      <t xml:space="preserve">JOSE JUAREZ DE OLIVEIRA    </t>
    </r>
    <r>
      <rPr>
        <b/>
        <sz val="10"/>
        <color indexed="10"/>
        <rFont val="Arial Narrow"/>
        <family val="2"/>
      </rPr>
      <t xml:space="preserve">(Curitiba) </t>
    </r>
  </si>
  <si>
    <r>
      <t xml:space="preserve">JOSE LUIS DE SOUZA MACIEL    </t>
    </r>
    <r>
      <rPr>
        <b/>
        <sz val="10"/>
        <color indexed="10"/>
        <rFont val="Arial Narrow"/>
        <family val="2"/>
      </rPr>
      <t>(Polaquinho)</t>
    </r>
  </si>
  <si>
    <r>
      <t xml:space="preserve">JOSE LUIS VELOSO    </t>
    </r>
    <r>
      <rPr>
        <b/>
        <sz val="10"/>
        <color indexed="10"/>
        <rFont val="Arial Narrow"/>
        <family val="2"/>
      </rPr>
      <t>(Alemãozinho)</t>
    </r>
  </si>
  <si>
    <r>
      <t xml:space="preserve">JOSE MAURO MORGESTERN   </t>
    </r>
    <r>
      <rPr>
        <b/>
        <sz val="10"/>
        <color indexed="53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(Mauro Garçom)</t>
    </r>
  </si>
  <si>
    <r>
      <t>JOSE ONOFRE STOCKLER</t>
    </r>
    <r>
      <rPr>
        <b/>
        <sz val="10"/>
        <color indexed="10"/>
        <rFont val="Arial Narrow"/>
        <family val="2"/>
      </rPr>
      <t xml:space="preserve">    (Didi Mocó)</t>
    </r>
  </si>
  <si>
    <r>
      <t xml:space="preserve">JOSE RAFAEL BAPTISTA    </t>
    </r>
    <r>
      <rPr>
        <b/>
        <sz val="10"/>
        <color indexed="10"/>
        <rFont val="Arial Narrow"/>
        <family val="2"/>
      </rPr>
      <t>(Rafinha)</t>
    </r>
  </si>
  <si>
    <r>
      <t>JOSE ROBERTO DE LARA</t>
    </r>
    <r>
      <rPr>
        <b/>
        <sz val="10"/>
        <color indexed="10"/>
        <rFont val="Arial Narrow"/>
        <family val="2"/>
      </rPr>
      <t xml:space="preserve">    (Robertinho)</t>
    </r>
  </si>
  <si>
    <r>
      <t xml:space="preserve">JOSE ROBERTO DE OLIVEIRA   </t>
    </r>
    <r>
      <rPr>
        <b/>
        <sz val="10"/>
        <color indexed="10"/>
        <rFont val="Arial Narrow"/>
        <family val="2"/>
      </rPr>
      <t>(Chuteira)</t>
    </r>
  </si>
  <si>
    <r>
      <t xml:space="preserve">JOSE ROBERTO PEDROSO BAPTISTA    </t>
    </r>
    <r>
      <rPr>
        <b/>
        <sz val="10"/>
        <color indexed="10"/>
        <rFont val="Arial Narrow"/>
        <family val="2"/>
      </rPr>
      <t>(Zeze)</t>
    </r>
  </si>
  <si>
    <r>
      <t xml:space="preserve">JOSE RODRIGO NUNES DE MORAIS    </t>
    </r>
    <r>
      <rPr>
        <b/>
        <sz val="10"/>
        <color indexed="10"/>
        <rFont val="Arial Narrow"/>
        <family val="2"/>
      </rPr>
      <t>(Zóio)</t>
    </r>
  </si>
  <si>
    <r>
      <t xml:space="preserve">JOSE ROMEU VILELA      </t>
    </r>
    <r>
      <rPr>
        <b/>
        <sz val="10"/>
        <color indexed="10"/>
        <rFont val="Arial Narrow"/>
        <family val="2"/>
      </rPr>
      <t>(Gago / Zé Romeu)</t>
    </r>
  </si>
  <si>
    <r>
      <t xml:space="preserve">JOSE VALDEMAR PALHANO    </t>
    </r>
    <r>
      <rPr>
        <b/>
        <sz val="10"/>
        <color indexed="10"/>
        <rFont val="Arial Narrow"/>
        <family val="2"/>
      </rPr>
      <t>(Rato Branco)</t>
    </r>
  </si>
  <si>
    <r>
      <t xml:space="preserve">JOSE VALDINEI FERREIRA    </t>
    </r>
    <r>
      <rPr>
        <b/>
        <sz val="10"/>
        <color indexed="10"/>
        <rFont val="Arial Narrow"/>
        <family val="2"/>
      </rPr>
      <t>(Gardenal)</t>
    </r>
  </si>
  <si>
    <r>
      <t xml:space="preserve">JOSE VINICIUS SOARES POSSOMATO    </t>
    </r>
    <r>
      <rPr>
        <b/>
        <sz val="10"/>
        <color indexed="10"/>
        <rFont val="Arial Narrow"/>
        <family val="2"/>
      </rPr>
      <t>(Ogro)</t>
    </r>
  </si>
  <si>
    <r>
      <t xml:space="preserve">JOSE WILLIAN PEREIRA   </t>
    </r>
    <r>
      <rPr>
        <b/>
        <sz val="10"/>
        <color indexed="10"/>
        <rFont val="Arial Narrow"/>
        <family val="2"/>
      </rPr>
      <t xml:space="preserve"> (Kisuko)</t>
    </r>
  </si>
  <si>
    <r>
      <t xml:space="preserve">JOSIAS FERREIRA DA SILVA    </t>
    </r>
    <r>
      <rPr>
        <b/>
        <sz val="10"/>
        <color indexed="10"/>
        <rFont val="Arial Narrow"/>
        <family val="2"/>
      </rPr>
      <t>(Bizorro)</t>
    </r>
  </si>
  <si>
    <r>
      <t xml:space="preserve">JOSINEI MARTINS       </t>
    </r>
    <r>
      <rPr>
        <b/>
        <sz val="10"/>
        <color indexed="10"/>
        <rFont val="Arial Narrow"/>
        <family val="2"/>
      </rPr>
      <t>(Fernete)</t>
    </r>
  </si>
  <si>
    <r>
      <t xml:space="preserve">JOSMAR PORTELA RODRIGUES     </t>
    </r>
    <r>
      <rPr>
        <b/>
        <sz val="10"/>
        <color indexed="10"/>
        <rFont val="Arial Narrow"/>
        <family val="2"/>
      </rPr>
      <t>(Pombinha)</t>
    </r>
  </si>
  <si>
    <r>
      <t xml:space="preserve">JOSNEI KRAUSUKI        </t>
    </r>
    <r>
      <rPr>
        <b/>
        <sz val="10"/>
        <color indexed="10"/>
        <rFont val="Arial Narrow"/>
        <family val="2"/>
      </rPr>
      <t xml:space="preserve"> (Nei)</t>
    </r>
  </si>
  <si>
    <r>
      <t xml:space="preserve">JOSNEI LIMA FERREIRA    </t>
    </r>
    <r>
      <rPr>
        <b/>
        <sz val="10"/>
        <color indexed="10"/>
        <rFont val="Arial Narrow"/>
        <family val="2"/>
      </rPr>
      <t>(Geladinho)</t>
    </r>
  </si>
  <si>
    <r>
      <t xml:space="preserve">JOSUEL DA SILVA MATSUMOTO    </t>
    </r>
    <r>
      <rPr>
        <b/>
        <sz val="10"/>
        <color indexed="10"/>
        <rFont val="Arial Narrow"/>
        <family val="2"/>
      </rPr>
      <t>(Tael)</t>
    </r>
  </si>
  <si>
    <r>
      <t>JOSUEL GUERREIRO BARBOSA</t>
    </r>
    <r>
      <rPr>
        <b/>
        <sz val="10"/>
        <color indexed="10"/>
        <rFont val="Arial Narrow"/>
        <family val="2"/>
      </rPr>
      <t xml:space="preserve">    (Tim Maia)</t>
    </r>
  </si>
  <si>
    <r>
      <t xml:space="preserve">JULIANO ESTEVAM BORGES CRISSI    </t>
    </r>
    <r>
      <rPr>
        <b/>
        <sz val="10"/>
        <color indexed="10"/>
        <rFont val="Arial Narrow"/>
        <family val="2"/>
      </rPr>
      <t>(Feijão)</t>
    </r>
  </si>
  <si>
    <r>
      <t xml:space="preserve">JULIANO FERREIRA       </t>
    </r>
    <r>
      <rPr>
        <b/>
        <sz val="10"/>
        <color indexed="10"/>
        <rFont val="Arial Narrow"/>
        <family val="2"/>
      </rPr>
      <t xml:space="preserve"> (Nanico)</t>
    </r>
  </si>
  <si>
    <r>
      <t xml:space="preserve">JULIO CESAR MACHADO    </t>
    </r>
    <r>
      <rPr>
        <b/>
        <sz val="10"/>
        <color indexed="10"/>
        <rFont val="Arial Narrow"/>
        <family val="2"/>
      </rPr>
      <t>(Chapado)</t>
    </r>
  </si>
  <si>
    <r>
      <t xml:space="preserve">KELVIN VINICIUS DE SOUZA   </t>
    </r>
    <r>
      <rPr>
        <b/>
        <sz val="10"/>
        <color indexed="10"/>
        <rFont val="Arial Narrow"/>
        <family val="2"/>
      </rPr>
      <t xml:space="preserve"> (Sonic / Pulga)</t>
    </r>
  </si>
  <si>
    <r>
      <t xml:space="preserve">LAERCIO ALMEIDA FERRI JUNIOR    </t>
    </r>
    <r>
      <rPr>
        <b/>
        <sz val="10"/>
        <color indexed="10"/>
        <rFont val="Arial Narrow"/>
        <family val="2"/>
      </rPr>
      <t>(Monalisa)</t>
    </r>
  </si>
  <si>
    <r>
      <t xml:space="preserve">LAURO LAUREDI MACIEL DE OLIVEIRA    </t>
    </r>
    <r>
      <rPr>
        <b/>
        <sz val="10"/>
        <color indexed="10"/>
        <rFont val="Arial Narrow"/>
        <family val="2"/>
      </rPr>
      <t>(Laurinho)</t>
    </r>
  </si>
  <si>
    <r>
      <t xml:space="preserve">LEANDRO CARVALHO NASCIMENTO     </t>
    </r>
    <r>
      <rPr>
        <b/>
        <sz val="10"/>
        <color indexed="10"/>
        <rFont val="Arial Narrow"/>
        <family val="2"/>
      </rPr>
      <t>( Paraguai)</t>
    </r>
    <r>
      <rPr>
        <b/>
        <sz val="10"/>
        <rFont val="Arial Narrow"/>
        <family val="2"/>
      </rPr>
      <t xml:space="preserve"> </t>
    </r>
  </si>
  <si>
    <r>
      <t xml:space="preserve">LEANDRO CHAVES        </t>
    </r>
    <r>
      <rPr>
        <b/>
        <sz val="10"/>
        <color indexed="10"/>
        <rFont val="Arial Narrow"/>
        <family val="2"/>
      </rPr>
      <t>(Teta)</t>
    </r>
  </si>
  <si>
    <r>
      <t xml:space="preserve">LEANDRO DE BASTOS        </t>
    </r>
    <r>
      <rPr>
        <b/>
        <sz val="10"/>
        <color indexed="10"/>
        <rFont val="Arial Narrow"/>
        <family val="2"/>
      </rPr>
      <t>(Rã)</t>
    </r>
  </si>
  <si>
    <r>
      <t xml:space="preserve">LEANDRO FABRICIO    </t>
    </r>
    <r>
      <rPr>
        <b/>
        <sz val="10"/>
        <color indexed="10"/>
        <rFont val="Arial Narrow"/>
        <family val="2"/>
      </rPr>
      <t>(Fofão)</t>
    </r>
  </si>
  <si>
    <r>
      <t xml:space="preserve">LEANDRO FRANÇA     </t>
    </r>
    <r>
      <rPr>
        <b/>
        <sz val="10"/>
        <color indexed="10"/>
        <rFont val="Arial Narrow"/>
        <family val="2"/>
      </rPr>
      <t>(Neguinho)</t>
    </r>
  </si>
  <si>
    <r>
      <t xml:space="preserve">LEANDRO JONAS     </t>
    </r>
    <r>
      <rPr>
        <b/>
        <sz val="10"/>
        <color indexed="10"/>
        <rFont val="Arial Narrow"/>
        <family val="2"/>
      </rPr>
      <t>(Negão)</t>
    </r>
  </si>
  <si>
    <r>
      <t xml:space="preserve">LEANDRO LOPES DE OLIVEIRA    </t>
    </r>
    <r>
      <rPr>
        <b/>
        <sz val="10"/>
        <color indexed="10"/>
        <rFont val="Arial Narrow"/>
        <family val="2"/>
      </rPr>
      <t>(Teco, Lorde)</t>
    </r>
  </si>
  <si>
    <r>
      <t xml:space="preserve">LEANDRO VALERIANO DE BARROS    </t>
    </r>
    <r>
      <rPr>
        <b/>
        <sz val="10"/>
        <color indexed="10"/>
        <rFont val="Arial Narrow"/>
        <family val="2"/>
      </rPr>
      <t>( Sabará )</t>
    </r>
  </si>
  <si>
    <r>
      <t>LEANDRO XAVIER</t>
    </r>
    <r>
      <rPr>
        <b/>
        <sz val="10"/>
        <color indexed="10"/>
        <rFont val="Arial Narrow"/>
        <family val="2"/>
      </rPr>
      <t xml:space="preserve">       (Faustão)</t>
    </r>
  </si>
  <si>
    <r>
      <t xml:space="preserve">LEONARDO DOS SANTOS MOREIRA  </t>
    </r>
    <r>
      <rPr>
        <b/>
        <sz val="10"/>
        <color indexed="10"/>
        <rFont val="Arial Narrow"/>
        <family val="2"/>
      </rPr>
      <t xml:space="preserve"> (Rastreador/Zeus/Coruja)</t>
    </r>
  </si>
  <si>
    <r>
      <t xml:space="preserve">LEONARDO FARIA       </t>
    </r>
    <r>
      <rPr>
        <b/>
        <sz val="10"/>
        <color indexed="10"/>
        <rFont val="Arial Narrow"/>
        <family val="2"/>
      </rPr>
      <t>(Carioca)</t>
    </r>
  </si>
  <si>
    <r>
      <t xml:space="preserve">LEONARDO LIMA TORRES PEREIRA    </t>
    </r>
    <r>
      <rPr>
        <b/>
        <sz val="10"/>
        <color indexed="10"/>
        <rFont val="Arial Narrow"/>
        <family val="2"/>
      </rPr>
      <t>(Passat)</t>
    </r>
  </si>
  <si>
    <r>
      <t xml:space="preserve">LINDHIOMAR GOMES RUDNIK    </t>
    </r>
    <r>
      <rPr>
        <b/>
        <sz val="10"/>
        <color indexed="10"/>
        <rFont val="Arial Narrow"/>
        <family val="2"/>
      </rPr>
      <t xml:space="preserve">(Fortaleza) </t>
    </r>
  </si>
  <si>
    <r>
      <t xml:space="preserve">LUAN CARNEIRO ALVES        </t>
    </r>
    <r>
      <rPr>
        <b/>
        <sz val="10"/>
        <color indexed="10"/>
        <rFont val="Arial Narrow"/>
        <family val="2"/>
      </rPr>
      <t>(Piraí)</t>
    </r>
  </si>
  <si>
    <r>
      <rPr>
        <b/>
        <sz val="10"/>
        <rFont val="Arial Narrow"/>
        <family val="2"/>
      </rPr>
      <t>LUAN MICHAEL FRAGOSO RODRIGUES</t>
    </r>
    <r>
      <rPr>
        <b/>
        <sz val="10"/>
        <color indexed="17"/>
        <rFont val="Arial Narrow"/>
        <family val="2"/>
      </rPr>
      <t xml:space="preserve">    </t>
    </r>
    <r>
      <rPr>
        <b/>
        <sz val="10"/>
        <color indexed="10"/>
        <rFont val="Arial Narrow"/>
        <family val="2"/>
      </rPr>
      <t>(Bolacha)</t>
    </r>
  </si>
  <si>
    <r>
      <t xml:space="preserve">LUAN PATRICK ALMEIDA DE OLIVEIRA    </t>
    </r>
    <r>
      <rPr>
        <b/>
        <sz val="10"/>
        <color indexed="10"/>
        <rFont val="Arial Narrow"/>
        <family val="2"/>
      </rPr>
      <t>(Fubá)</t>
    </r>
  </si>
  <si>
    <r>
      <t>LUCAS CARNEIRO DE OLIVEIRA</t>
    </r>
    <r>
      <rPr>
        <b/>
        <sz val="10"/>
        <color indexed="10"/>
        <rFont val="Arial Narrow"/>
        <family val="2"/>
      </rPr>
      <t xml:space="preserve">    ( Beiço )</t>
    </r>
  </si>
  <si>
    <r>
      <t xml:space="preserve">LUCAS DE LIMA CARDOSO    </t>
    </r>
    <r>
      <rPr>
        <b/>
        <sz val="10"/>
        <color indexed="10"/>
        <rFont val="Arial Narrow"/>
        <family val="2"/>
      </rPr>
      <t>(Pesadelo)</t>
    </r>
  </si>
  <si>
    <r>
      <t xml:space="preserve">LUCIANO DE SOUZA SERAFIM     </t>
    </r>
    <r>
      <rPr>
        <b/>
        <sz val="10"/>
        <color indexed="10"/>
        <rFont val="Arial Narrow"/>
        <family val="2"/>
      </rPr>
      <t>(Ferugem)</t>
    </r>
  </si>
  <si>
    <r>
      <t xml:space="preserve">LUCIANO JOSE SAIDE DE MELO    </t>
    </r>
    <r>
      <rPr>
        <b/>
        <sz val="10"/>
        <color indexed="10"/>
        <rFont val="Arial Narrow"/>
        <family val="2"/>
      </rPr>
      <t>(Lebrão)</t>
    </r>
  </si>
  <si>
    <r>
      <t xml:space="preserve">LUCIANO ROBSON DE BARROS   </t>
    </r>
    <r>
      <rPr>
        <b/>
        <sz val="10"/>
        <color indexed="10"/>
        <rFont val="Arial Narrow"/>
        <family val="2"/>
      </rPr>
      <t xml:space="preserve"> (Catarina)</t>
    </r>
  </si>
  <si>
    <r>
      <t>LUCIANO RODRIGUES DOS SANTOS</t>
    </r>
    <r>
      <rPr>
        <b/>
        <sz val="10"/>
        <color indexed="10"/>
        <rFont val="Arial Narrow"/>
        <family val="2"/>
      </rPr>
      <t xml:space="preserve">    (Cavalo)</t>
    </r>
  </si>
  <si>
    <r>
      <t xml:space="preserve">LUIS ALBERTO SOARES DOS S. MADUREIRA    </t>
    </r>
    <r>
      <rPr>
        <b/>
        <sz val="10"/>
        <color indexed="10"/>
        <rFont val="Arial Narrow"/>
        <family val="2"/>
      </rPr>
      <t>(Sagui)</t>
    </r>
  </si>
  <si>
    <r>
      <t xml:space="preserve">LUIS CARLOS MAKOSKI    </t>
    </r>
    <r>
      <rPr>
        <b/>
        <sz val="10"/>
        <color indexed="10"/>
        <rFont val="Arial Narrow"/>
        <family val="2"/>
      </rPr>
      <t>(Ipiranga)</t>
    </r>
  </si>
  <si>
    <r>
      <rPr>
        <b/>
        <sz val="10"/>
        <rFont val="Arial Narrow"/>
        <family val="2"/>
      </rPr>
      <t xml:space="preserve">LUIS FERNANDO MACHADO    </t>
    </r>
    <r>
      <rPr>
        <b/>
        <sz val="10"/>
        <color indexed="10"/>
        <rFont val="Arial Narrow"/>
        <family val="2"/>
      </rPr>
      <t>(Bugio)</t>
    </r>
  </si>
  <si>
    <r>
      <rPr>
        <b/>
        <sz val="10"/>
        <rFont val="Arial Narrow"/>
        <family val="2"/>
      </rPr>
      <t xml:space="preserve">LUIS MACIEL DE OLIVEIRA      </t>
    </r>
    <r>
      <rPr>
        <b/>
        <sz val="10"/>
        <color indexed="10"/>
        <rFont val="Arial Narrow"/>
        <family val="2"/>
      </rPr>
      <t xml:space="preserve"> (Belo)</t>
    </r>
  </si>
  <si>
    <r>
      <t>LUIZ ANDRE MACEDO TAQUES</t>
    </r>
    <r>
      <rPr>
        <b/>
        <sz val="10"/>
        <color indexed="10"/>
        <rFont val="Arial Narrow"/>
        <family val="2"/>
      </rPr>
      <t xml:space="preserve">    (Jaguariaiva)</t>
    </r>
  </si>
  <si>
    <r>
      <t xml:space="preserve">LUIZ CARLOS DE PAIVA   </t>
    </r>
    <r>
      <rPr>
        <b/>
        <sz val="10"/>
        <color indexed="10"/>
        <rFont val="Arial Narrow"/>
        <family val="2"/>
      </rPr>
      <t>(Kaiury)</t>
    </r>
  </si>
  <si>
    <r>
      <t xml:space="preserve">LUIZ CARLOS DOS SANTOS    </t>
    </r>
    <r>
      <rPr>
        <b/>
        <sz val="10"/>
        <color indexed="10"/>
        <rFont val="Arial Narrow"/>
        <family val="2"/>
      </rPr>
      <t>(Secretário)</t>
    </r>
  </si>
  <si>
    <r>
      <t xml:space="preserve">LUIZ CARLOS GAUDENCIO    </t>
    </r>
    <r>
      <rPr>
        <b/>
        <sz val="10"/>
        <color indexed="10"/>
        <rFont val="Arial Narrow"/>
        <family val="2"/>
      </rPr>
      <t>(Porquinho)</t>
    </r>
  </si>
  <si>
    <r>
      <t xml:space="preserve">LUIZ CARLOS GONÇALVES DE ASSUNÇÃO JR    </t>
    </r>
    <r>
      <rPr>
        <b/>
        <sz val="10"/>
        <color indexed="10"/>
        <rFont val="Arial Narrow"/>
        <family val="2"/>
      </rPr>
      <t>(Galisé)</t>
    </r>
  </si>
  <si>
    <r>
      <t xml:space="preserve">LUIZ CARLOS IUCKS      </t>
    </r>
    <r>
      <rPr>
        <b/>
        <sz val="10"/>
        <color indexed="10"/>
        <rFont val="Arial Narrow"/>
        <family val="2"/>
      </rPr>
      <t>(Carlão)</t>
    </r>
  </si>
  <si>
    <r>
      <t xml:space="preserve">LUIZ CARLOS PRESTES JUNIOR    </t>
    </r>
    <r>
      <rPr>
        <b/>
        <sz val="10"/>
        <color indexed="10"/>
        <rFont val="Arial Narrow"/>
        <family val="2"/>
      </rPr>
      <t>(Jotinha)</t>
    </r>
  </si>
  <si>
    <r>
      <t xml:space="preserve">LUIZ CARLOS RIBEIRO DA CRUZ JUNIOR    </t>
    </r>
    <r>
      <rPr>
        <b/>
        <sz val="10"/>
        <color indexed="10"/>
        <rFont val="Arial Narrow"/>
        <family val="2"/>
      </rPr>
      <t xml:space="preserve"> </t>
    </r>
    <r>
      <rPr>
        <b/>
        <sz val="10"/>
        <color indexed="53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(Chicão)</t>
    </r>
  </si>
  <si>
    <r>
      <t xml:space="preserve">LUIZ CESAR VIRMOND    </t>
    </r>
    <r>
      <rPr>
        <b/>
        <sz val="10"/>
        <color indexed="10"/>
        <rFont val="Arial Narrow"/>
        <family val="2"/>
      </rPr>
      <t>(Careca/Chacal/Papa-légua)</t>
    </r>
  </si>
  <si>
    <r>
      <t xml:space="preserve">LUIZ EDUARDO SCHENEIDER EUZEBIO    </t>
    </r>
    <r>
      <rPr>
        <b/>
        <sz val="10"/>
        <color indexed="10"/>
        <rFont val="Arial Narrow"/>
        <family val="2"/>
      </rPr>
      <t>(Dudu)</t>
    </r>
  </si>
  <si>
    <r>
      <t>LUIZ FERNANDO DA SILVA</t>
    </r>
    <r>
      <rPr>
        <b/>
        <sz val="10"/>
        <color indexed="53"/>
        <rFont val="Arial Narrow"/>
        <family val="2"/>
      </rPr>
      <t xml:space="preserve">   </t>
    </r>
  </si>
  <si>
    <r>
      <t xml:space="preserve">LUIZ HENRIQUE SANTOS G. VALENTIM    </t>
    </r>
    <r>
      <rPr>
        <b/>
        <sz val="10"/>
        <color indexed="10"/>
        <rFont val="Arial Narrow"/>
        <family val="2"/>
      </rPr>
      <t>(Testa)</t>
    </r>
  </si>
  <si>
    <r>
      <t xml:space="preserve">LUIZ RICARDO DOS SANTOS    </t>
    </r>
    <r>
      <rPr>
        <b/>
        <sz val="10"/>
        <color indexed="10"/>
        <rFont val="Arial Narrow"/>
        <family val="2"/>
      </rPr>
      <t>(Zoio)</t>
    </r>
  </si>
  <si>
    <r>
      <t xml:space="preserve">MAICON EMANUEL DE ASSUNCAO    </t>
    </r>
    <r>
      <rPr>
        <b/>
        <sz val="10"/>
        <color indexed="10"/>
        <rFont val="Arial Narrow"/>
        <family val="2"/>
      </rPr>
      <t>(Poni)</t>
    </r>
  </si>
  <si>
    <r>
      <t xml:space="preserve">MANOEL ELPIDIO SAVEDRA      </t>
    </r>
    <r>
      <rPr>
        <b/>
        <sz val="10"/>
        <color indexed="10"/>
        <rFont val="Arial Narrow"/>
        <family val="2"/>
      </rPr>
      <t>(Manu)</t>
    </r>
  </si>
  <si>
    <r>
      <t xml:space="preserve">MANOEL GONÇALVES RIBEIRO    </t>
    </r>
    <r>
      <rPr>
        <b/>
        <sz val="10"/>
        <color indexed="10"/>
        <rFont val="Arial Narrow"/>
        <family val="2"/>
      </rPr>
      <t xml:space="preserve"> (Vermelho / Mané Pintado)</t>
    </r>
    <r>
      <rPr>
        <b/>
        <sz val="10"/>
        <color indexed="8"/>
        <rFont val="Arial Narrow"/>
        <family val="2"/>
      </rPr>
      <t xml:space="preserve">     </t>
    </r>
  </si>
  <si>
    <r>
      <t xml:space="preserve">MARCELO FERNANDO MARTINS DA SILVA   </t>
    </r>
    <r>
      <rPr>
        <b/>
        <sz val="10"/>
        <color indexed="10"/>
        <rFont val="Arial Narrow"/>
        <family val="2"/>
      </rPr>
      <t xml:space="preserve"> (Fumaça)</t>
    </r>
  </si>
  <si>
    <r>
      <t xml:space="preserve">MARCELO PEREIRA VIEIRA     </t>
    </r>
    <r>
      <rPr>
        <b/>
        <sz val="10"/>
        <color indexed="10"/>
        <rFont val="Arial Narrow"/>
        <family val="2"/>
      </rPr>
      <t>(Mudinho)</t>
    </r>
  </si>
  <si>
    <r>
      <t xml:space="preserve">MARCIO ADRIANO RODRIGUES DOS SANTOS    </t>
    </r>
    <r>
      <rPr>
        <b/>
        <sz val="10"/>
        <color indexed="10"/>
        <rFont val="Arial Narrow"/>
        <family val="2"/>
      </rPr>
      <t>(Bolacha)</t>
    </r>
  </si>
  <si>
    <r>
      <t xml:space="preserve">MARCIO ANTONIO DA SILVA GONCALVES   </t>
    </r>
    <r>
      <rPr>
        <b/>
        <sz val="10"/>
        <color indexed="53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(Carcaça)</t>
    </r>
  </si>
  <si>
    <r>
      <t xml:space="preserve">MARCIO ROBERTO SOARES DO NASCIMENTO    </t>
    </r>
    <r>
      <rPr>
        <b/>
        <sz val="10"/>
        <color indexed="10"/>
        <rFont val="Arial Narrow"/>
        <family val="2"/>
      </rPr>
      <t>(Peruca)</t>
    </r>
  </si>
  <si>
    <r>
      <t xml:space="preserve">MARCO ALZIRO FERREIRA DE SOUZA    </t>
    </r>
    <r>
      <rPr>
        <b/>
        <sz val="10"/>
        <color indexed="10"/>
        <rFont val="Arial Narrow"/>
        <family val="2"/>
      </rPr>
      <t>(Polaco)</t>
    </r>
  </si>
  <si>
    <r>
      <t xml:space="preserve">MARCOS ANTONIO CARNEIRO CAMPOS     </t>
    </r>
    <r>
      <rPr>
        <b/>
        <sz val="10"/>
        <color indexed="53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(Bolacha)</t>
    </r>
  </si>
  <si>
    <r>
      <t xml:space="preserve">MARCOS ASSPUNÇÃO TAQUES    </t>
    </r>
    <r>
      <rPr>
        <b/>
        <sz val="10"/>
        <color indexed="10"/>
        <rFont val="Arial Narrow"/>
        <family val="2"/>
      </rPr>
      <t>(Assunção / Jeca)</t>
    </r>
  </si>
  <si>
    <r>
      <t xml:space="preserve">MARCOS ROGERIO CORREIA DE MELO   </t>
    </r>
    <r>
      <rPr>
        <b/>
        <sz val="10"/>
        <color indexed="10"/>
        <rFont val="Arial Narrow"/>
        <family val="2"/>
      </rPr>
      <t xml:space="preserve"> (Cachorro)</t>
    </r>
  </si>
  <si>
    <r>
      <t xml:space="preserve">MARLON SEVERO DOS SANTOS    </t>
    </r>
    <r>
      <rPr>
        <b/>
        <sz val="10"/>
        <color indexed="10"/>
        <rFont val="Arial Narrow"/>
        <family val="2"/>
      </rPr>
      <t>(M.B.)</t>
    </r>
  </si>
  <si>
    <r>
      <t>MURILO DA SILVA CARNEIRO DOFF SOTTA</t>
    </r>
    <r>
      <rPr>
        <b/>
        <sz val="10"/>
        <color indexed="10"/>
        <rFont val="Arial Narrow"/>
        <family val="2"/>
      </rPr>
      <t xml:space="preserve">    (Raio X)</t>
    </r>
  </si>
  <si>
    <r>
      <t xml:space="preserve">NERY JOSE FERREIRA FILHO   </t>
    </r>
    <r>
      <rPr>
        <b/>
        <sz val="10"/>
        <color indexed="10"/>
        <rFont val="Arial Narrow"/>
        <family val="2"/>
      </rPr>
      <t>(Foguinho)</t>
    </r>
  </si>
  <si>
    <r>
      <t xml:space="preserve">OSVALDO DE AVILA BATISTA FILHO    </t>
    </r>
    <r>
      <rPr>
        <b/>
        <sz val="10"/>
        <color indexed="10"/>
        <rFont val="Arial Narrow"/>
        <family val="2"/>
      </rPr>
      <t>(Guarapuava)</t>
    </r>
  </si>
  <si>
    <r>
      <t xml:space="preserve">PAULO EDSON DOTINI DA SILVA   </t>
    </r>
    <r>
      <rPr>
        <b/>
        <sz val="10"/>
        <color indexed="10"/>
        <rFont val="Arial Narrow"/>
        <family val="2"/>
      </rPr>
      <t>(Neguinho Dente de Ouro)</t>
    </r>
  </si>
  <si>
    <r>
      <t xml:space="preserve">PETER BERNARDO FERREIRA       </t>
    </r>
    <r>
      <rPr>
        <b/>
        <sz val="10"/>
        <color indexed="10"/>
        <rFont val="Arial Narrow"/>
        <family val="2"/>
      </rPr>
      <t>(Polentinha)</t>
    </r>
  </si>
  <si>
    <r>
      <t xml:space="preserve">PETTER GONÇALVES CAVALCANTI DE FREITAS   </t>
    </r>
    <r>
      <rPr>
        <b/>
        <sz val="10"/>
        <color indexed="10"/>
        <rFont val="Arial Narrow"/>
        <family val="2"/>
      </rPr>
      <t>(Neguinho)</t>
    </r>
  </si>
  <si>
    <r>
      <t xml:space="preserve">RAFAEL ANTONIO FERREIRA     </t>
    </r>
    <r>
      <rPr>
        <b/>
        <sz val="10"/>
        <color indexed="10"/>
        <rFont val="Arial Narrow"/>
        <family val="2"/>
      </rPr>
      <t>(Neguinho/Neguchino)</t>
    </r>
  </si>
  <si>
    <r>
      <t xml:space="preserve">RICHAEL DIAS DE FREITAS        </t>
    </r>
    <r>
      <rPr>
        <b/>
        <sz val="10"/>
        <color indexed="10"/>
        <rFont val="Arial Narrow"/>
        <family val="2"/>
      </rPr>
      <t>(Cascão)</t>
    </r>
  </si>
  <si>
    <r>
      <t xml:space="preserve">ROSNEI GABRIEL VIANTE      </t>
    </r>
    <r>
      <rPr>
        <b/>
        <sz val="10"/>
        <color indexed="10"/>
        <rFont val="Arial Narrow"/>
        <family val="2"/>
      </rPr>
      <t>(Gabrielzinho)</t>
    </r>
  </si>
  <si>
    <r>
      <t xml:space="preserve">SERGIO BUENO DE CAMARGO     </t>
    </r>
    <r>
      <rPr>
        <b/>
        <sz val="10"/>
        <color indexed="10"/>
        <rFont val="Arial Narrow"/>
        <family val="2"/>
      </rPr>
      <t xml:space="preserve"> (Xalico / Cruchico)</t>
    </r>
  </si>
  <si>
    <r>
      <t xml:space="preserve">SIDNEI ANTUNES DA SILVA       </t>
    </r>
    <r>
      <rPr>
        <b/>
        <sz val="10"/>
        <color indexed="10"/>
        <rFont val="Arial Narrow"/>
        <family val="2"/>
      </rPr>
      <t>(Pingo)</t>
    </r>
  </si>
  <si>
    <r>
      <t xml:space="preserve">VALDINEI APARECIDO DE ABREU       </t>
    </r>
    <r>
      <rPr>
        <b/>
        <sz val="10"/>
        <color indexed="10"/>
        <rFont val="Arial Narrow"/>
        <family val="2"/>
      </rPr>
      <t>(Maluco)</t>
    </r>
  </si>
  <si>
    <r>
      <t xml:space="preserve">VALDINEI GALDENCIO DE RAMOS      </t>
    </r>
    <r>
      <rPr>
        <b/>
        <sz val="10"/>
        <color indexed="10"/>
        <rFont val="Arial Narrow"/>
        <family val="2"/>
      </rPr>
      <t>(Negão)</t>
    </r>
  </si>
  <si>
    <r>
      <t xml:space="preserve">VALTECIR CORDEIRO MENDES     </t>
    </r>
    <r>
      <rPr>
        <b/>
        <sz val="10"/>
        <color indexed="52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(Valtinho)</t>
    </r>
  </si>
  <si>
    <r>
      <t xml:space="preserve">VILMAR SEBASTIÃO MARTINS CARDOSO    </t>
    </r>
    <r>
      <rPr>
        <b/>
        <sz val="10"/>
        <color indexed="10"/>
        <rFont val="Arial Narrow"/>
        <family val="2"/>
      </rPr>
      <t xml:space="preserve"> (Mancha)</t>
    </r>
  </si>
  <si>
    <r>
      <t xml:space="preserve">WAGNER BARBOSA DE OLIVEIRA        </t>
    </r>
    <r>
      <rPr>
        <b/>
        <sz val="10"/>
        <color indexed="10"/>
        <rFont val="Arial Narrow"/>
        <family val="2"/>
      </rPr>
      <t>(Vaguinho)</t>
    </r>
  </si>
  <si>
    <r>
      <t xml:space="preserve">WALISSON DOS SANTOS PEDROSO           </t>
    </r>
    <r>
      <rPr>
        <b/>
        <sz val="10"/>
        <color indexed="10"/>
        <rFont val="Arial Narrow"/>
        <family val="2"/>
      </rPr>
      <t>(Fuzil / Titanic)</t>
    </r>
  </si>
  <si>
    <r>
      <t>WELLINGTON ADRIANO TIBES DA SILVA</t>
    </r>
    <r>
      <rPr>
        <b/>
        <sz val="10"/>
        <color indexed="10"/>
        <rFont val="Arial Narrow"/>
        <family val="2"/>
      </rPr>
      <t xml:space="preserve">             (Ton)</t>
    </r>
  </si>
  <si>
    <r>
      <t xml:space="preserve">WELLINTON BUENO DE OLIVEIRA      </t>
    </r>
    <r>
      <rPr>
        <b/>
        <sz val="10"/>
        <color indexed="10"/>
        <rFont val="Arial Narrow"/>
        <family val="2"/>
      </rPr>
      <t>(Chico Bento)</t>
    </r>
  </si>
  <si>
    <r>
      <t xml:space="preserve">WESLEY DOS SANTOS BORBA       </t>
    </r>
    <r>
      <rPr>
        <b/>
        <sz val="10"/>
        <color indexed="10"/>
        <rFont val="Arial Narrow"/>
        <family val="2"/>
      </rPr>
      <t>(Saci)</t>
    </r>
  </si>
  <si>
    <r>
      <t xml:space="preserve">WILLIAN LOPES AVORISTO           </t>
    </r>
    <r>
      <rPr>
        <b/>
        <sz val="10"/>
        <color indexed="10"/>
        <rFont val="Arial Narrow"/>
        <family val="2"/>
      </rPr>
      <t>(Diamantino / Dentinho)</t>
    </r>
  </si>
  <si>
    <r>
      <t>WILSON PINHEIRO</t>
    </r>
    <r>
      <rPr>
        <b/>
        <sz val="10"/>
        <color indexed="53"/>
        <rFont val="Arial Narrow"/>
        <family val="2"/>
      </rPr>
      <t xml:space="preserve">             </t>
    </r>
    <r>
      <rPr>
        <b/>
        <sz val="10"/>
        <color indexed="10"/>
        <rFont val="Arial Narrow"/>
        <family val="2"/>
      </rPr>
      <t>(Di)</t>
    </r>
  </si>
  <si>
    <r>
      <t xml:space="preserve">ZILOMAR KELIN DUTRA            </t>
    </r>
    <r>
      <rPr>
        <b/>
        <sz val="10"/>
        <color indexed="10"/>
        <rFont val="Arial Narrow"/>
        <family val="2"/>
      </rPr>
      <t>(Carretilha)</t>
    </r>
  </si>
  <si>
    <r>
      <t xml:space="preserve">ZIQUEL RODRIGUES REVELLIM                </t>
    </r>
    <r>
      <rPr>
        <b/>
        <sz val="10"/>
        <color indexed="10"/>
        <rFont val="Arial Narrow"/>
        <family val="2"/>
      </rPr>
      <t>(Robert)</t>
    </r>
  </si>
  <si>
    <r>
      <t>ADAIR JOSE FOGAÇA DE PAULA</t>
    </r>
    <r>
      <rPr>
        <b/>
        <sz val="10"/>
        <color indexed="52"/>
        <rFont val="Arial Narrow"/>
        <family val="2"/>
      </rPr>
      <t xml:space="preserve">       </t>
    </r>
    <r>
      <rPr>
        <b/>
        <sz val="10"/>
        <color indexed="10"/>
        <rFont val="Arial Narrow"/>
        <family val="2"/>
      </rPr>
      <t>(Diabo Loiro)</t>
    </r>
  </si>
  <si>
    <r>
      <t xml:space="preserve">ADAO RIVAIR MARCONDES LEAL       </t>
    </r>
    <r>
      <rPr>
        <b/>
        <sz val="10"/>
        <color indexed="10"/>
        <rFont val="Arial Narrow"/>
        <family val="2"/>
      </rPr>
      <t>(Foguinho)</t>
    </r>
  </si>
  <si>
    <r>
      <t xml:space="preserve">AILTON FERNANDES              </t>
    </r>
    <r>
      <rPr>
        <b/>
        <sz val="10"/>
        <color indexed="10"/>
        <rFont val="Arial Narrow"/>
        <family val="2"/>
      </rPr>
      <t>(Neguinho)</t>
    </r>
  </si>
  <si>
    <r>
      <t xml:space="preserve">ALTIERI FERNANDO DE JESUS       </t>
    </r>
    <r>
      <rPr>
        <b/>
        <sz val="10"/>
        <color indexed="53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 xml:space="preserve"> (Tchez)</t>
    </r>
  </si>
  <si>
    <r>
      <t xml:space="preserve">ANDERSON BODIN CARVALHO        </t>
    </r>
    <r>
      <rPr>
        <b/>
        <sz val="10"/>
        <color indexed="10"/>
        <rFont val="Arial Narrow"/>
        <family val="2"/>
      </rPr>
      <t>(Mancha</t>
    </r>
    <r>
      <rPr>
        <b/>
        <sz val="10"/>
        <color indexed="53"/>
        <rFont val="Arial Narrow"/>
        <family val="2"/>
      </rPr>
      <t>)</t>
    </r>
  </si>
  <si>
    <r>
      <t xml:space="preserve">ANDERSON CAVALI                          </t>
    </r>
    <r>
      <rPr>
        <b/>
        <sz val="10"/>
        <color indexed="10"/>
        <rFont val="Arial Narrow"/>
        <family val="2"/>
      </rPr>
      <t>(Bruxo / G.P.)</t>
    </r>
  </si>
  <si>
    <r>
      <t xml:space="preserve">ANDERSON DE ALMEIDA                  </t>
    </r>
    <r>
      <rPr>
        <b/>
        <sz val="10"/>
        <color indexed="10"/>
        <rFont val="Arial Narrow"/>
        <family val="2"/>
      </rPr>
      <t xml:space="preserve"> (Fanho)</t>
    </r>
  </si>
  <si>
    <r>
      <t>ANDERSON JOSE DOS SANTOS</t>
    </r>
    <r>
      <rPr>
        <b/>
        <sz val="10"/>
        <color indexed="10"/>
        <rFont val="Arial Narrow"/>
        <family val="2"/>
      </rPr>
      <t xml:space="preserve">              (Nego Sete)</t>
    </r>
  </si>
  <si>
    <r>
      <t xml:space="preserve">ANDERSON LUIZ CORREIA MARQUES       </t>
    </r>
    <r>
      <rPr>
        <b/>
        <sz val="10"/>
        <color indexed="10"/>
        <rFont val="Arial Narrow"/>
        <family val="2"/>
      </rPr>
      <t>(</t>
    </r>
    <r>
      <rPr>
        <b/>
        <sz val="10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Negão)</t>
    </r>
  </si>
  <si>
    <r>
      <t xml:space="preserve">ANDERSON LUIZ SAMPAIO         </t>
    </r>
    <r>
      <rPr>
        <b/>
        <sz val="10"/>
        <color indexed="10"/>
        <rFont val="Arial Narrow"/>
        <family val="2"/>
      </rPr>
      <t>( Neguinho )</t>
    </r>
  </si>
  <si>
    <r>
      <t xml:space="preserve">ANDERSON LUIZ SAMPAIO         </t>
    </r>
    <r>
      <rPr>
        <b/>
        <sz val="10"/>
        <color indexed="10"/>
        <rFont val="Arial Narrow"/>
        <family val="2"/>
      </rPr>
      <t>(Neguinho)</t>
    </r>
  </si>
  <si>
    <r>
      <t xml:space="preserve">ANDERSON VOLSKI                     </t>
    </r>
    <r>
      <rPr>
        <b/>
        <sz val="10"/>
        <color indexed="10"/>
        <rFont val="Arial Narrow"/>
        <family val="2"/>
      </rPr>
      <t>(Tropeço)</t>
    </r>
  </si>
  <si>
    <r>
      <t xml:space="preserve">ANDJON LIMA                       </t>
    </r>
    <r>
      <rPr>
        <b/>
        <sz val="10"/>
        <color indexed="10"/>
        <rFont val="Arial Narrow"/>
        <family val="2"/>
      </rPr>
      <t>(Massinha)</t>
    </r>
  </si>
  <si>
    <r>
      <t xml:space="preserve">ANDREI BATISTA DA SILVA                       </t>
    </r>
    <r>
      <rPr>
        <b/>
        <sz val="10"/>
        <color indexed="10"/>
        <rFont val="Arial Narrow"/>
        <family val="2"/>
      </rPr>
      <t>(Fininho)</t>
    </r>
  </si>
  <si>
    <r>
      <t xml:space="preserve">ANTENOR JUNIOR RIBEIRO                      </t>
    </r>
    <r>
      <rPr>
        <b/>
        <sz val="10"/>
        <color indexed="10"/>
        <rFont val="Arial Narrow"/>
        <family val="2"/>
      </rPr>
      <t>(Juninho)</t>
    </r>
  </si>
  <si>
    <r>
      <t xml:space="preserve">ANTONIO AMARILDO MENDES        </t>
    </r>
    <r>
      <rPr>
        <b/>
        <sz val="10"/>
        <color indexed="10"/>
        <rFont val="Arial Narrow"/>
        <family val="2"/>
      </rPr>
      <t>(Tonho / Papelão)</t>
    </r>
  </si>
  <si>
    <r>
      <t xml:space="preserve">ANTONIO JOSE PADILHA                 </t>
    </r>
    <r>
      <rPr>
        <b/>
        <sz val="10"/>
        <color indexed="10"/>
        <rFont val="Arial Narrow"/>
        <family val="2"/>
      </rPr>
      <t xml:space="preserve"> (Índio)</t>
    </r>
  </si>
  <si>
    <r>
      <t xml:space="preserve">ANTONIO PADILHA DOS SANTOS          </t>
    </r>
    <r>
      <rPr>
        <b/>
        <sz val="10"/>
        <color indexed="10"/>
        <rFont val="Arial Narrow"/>
        <family val="2"/>
      </rPr>
      <t>(Tonho)</t>
    </r>
  </si>
  <si>
    <r>
      <t xml:space="preserve">ANTONIO VALDECI SOUZA            </t>
    </r>
    <r>
      <rPr>
        <b/>
        <sz val="10"/>
        <color indexed="10"/>
        <rFont val="Arial Narrow"/>
        <family val="2"/>
      </rPr>
      <t>(Zezinho)</t>
    </r>
  </si>
  <si>
    <r>
      <t xml:space="preserve">APARECIDO DOS SANTOS ANDRADE        </t>
    </r>
    <r>
      <rPr>
        <b/>
        <sz val="10"/>
        <color indexed="10"/>
        <rFont val="Arial Narrow"/>
        <family val="2"/>
      </rPr>
      <t>(Arlan)</t>
    </r>
  </si>
  <si>
    <r>
      <t xml:space="preserve">ARLEU LOPES DA LUZ                         </t>
    </r>
    <r>
      <rPr>
        <b/>
        <sz val="10"/>
        <color indexed="10"/>
        <rFont val="Arial Narrow"/>
        <family val="2"/>
      </rPr>
      <t>(Bugrinho)</t>
    </r>
  </si>
  <si>
    <r>
      <t xml:space="preserve">BRUNO PATRICK GOLÇALVES SIMONATO       </t>
    </r>
    <r>
      <rPr>
        <b/>
        <sz val="10"/>
        <color indexed="10"/>
        <rFont val="Arial Narrow"/>
        <family val="2"/>
      </rPr>
      <t>(Daka)</t>
    </r>
  </si>
  <si>
    <r>
      <t xml:space="preserve">BRUNO RICARDO OLIVEIRA ALVES        </t>
    </r>
    <r>
      <rPr>
        <b/>
        <sz val="10"/>
        <color indexed="10"/>
        <rFont val="Arial Narrow"/>
        <family val="2"/>
      </rPr>
      <t>(Bruninho)</t>
    </r>
  </si>
  <si>
    <r>
      <rPr>
        <b/>
        <sz val="10"/>
        <rFont val="Arial Narrow"/>
        <family val="2"/>
      </rPr>
      <t xml:space="preserve">CAIO VINICIUS DA SILVA               </t>
    </r>
    <r>
      <rPr>
        <b/>
        <sz val="10"/>
        <color indexed="17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(Jerry)</t>
    </r>
  </si>
  <si>
    <r>
      <t>CARLOS AUGUSTO DOS SANTOS</t>
    </r>
    <r>
      <rPr>
        <b/>
        <sz val="10"/>
        <color indexed="10"/>
        <rFont val="Arial Narrow"/>
        <family val="2"/>
      </rPr>
      <t xml:space="preserve">            (Polaco)</t>
    </r>
  </si>
  <si>
    <r>
      <t xml:space="preserve">CARLOS AUGUSTO JANACIEVICZ                </t>
    </r>
    <r>
      <rPr>
        <b/>
        <sz val="10"/>
        <color indexed="10"/>
        <rFont val="Arial Narrow"/>
        <family val="2"/>
      </rPr>
      <t>(Guto / Piquá)</t>
    </r>
  </si>
  <si>
    <r>
      <t xml:space="preserve">CARLOS FARIA DOS SANTOS            </t>
    </r>
    <r>
      <rPr>
        <b/>
        <sz val="10"/>
        <color indexed="10"/>
        <rFont val="Arial Narrow"/>
        <family val="2"/>
      </rPr>
      <t>(Gamarra / Corinthiano)</t>
    </r>
  </si>
  <si>
    <r>
      <t xml:space="preserve">CARLOS HECTOR DE LA CRUZ ALAVA            </t>
    </r>
    <r>
      <rPr>
        <b/>
        <sz val="10"/>
        <color indexed="10"/>
        <rFont val="Arial Narrow"/>
        <family val="2"/>
      </rPr>
      <t xml:space="preserve"> (Peruano)</t>
    </r>
  </si>
  <si>
    <r>
      <t xml:space="preserve">CARMO SEBASTIAO DE MATOS JUNIOR           </t>
    </r>
    <r>
      <rPr>
        <b/>
        <sz val="10"/>
        <color indexed="10"/>
        <rFont val="Arial Narrow"/>
        <family val="2"/>
      </rPr>
      <t>(Junico)</t>
    </r>
  </si>
  <si>
    <r>
      <t xml:space="preserve">CELIO ROBERTO DA ROCHA           </t>
    </r>
    <r>
      <rPr>
        <b/>
        <sz val="10"/>
        <color indexed="10"/>
        <rFont val="Arial Narrow"/>
        <family val="2"/>
      </rPr>
      <t>(Beto)</t>
    </r>
  </si>
  <si>
    <r>
      <t xml:space="preserve">CELIO ROBERTO DE MACEDO          </t>
    </r>
    <r>
      <rPr>
        <b/>
        <sz val="10"/>
        <color indexed="10"/>
        <rFont val="Arial Narrow"/>
        <family val="2"/>
      </rPr>
      <t>(De Menor)</t>
    </r>
  </si>
  <si>
    <r>
      <t xml:space="preserve">CELSON ELIESER FONTES            </t>
    </r>
    <r>
      <rPr>
        <b/>
        <sz val="10"/>
        <color indexed="10"/>
        <rFont val="Arial Narrow"/>
        <family val="2"/>
      </rPr>
      <t>(Cabelo)</t>
    </r>
  </si>
  <si>
    <r>
      <t xml:space="preserve">CLAUDEMIR RODRIGUES            </t>
    </r>
    <r>
      <rPr>
        <b/>
        <sz val="10"/>
        <color indexed="53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 xml:space="preserve">(Feio)   </t>
    </r>
  </si>
  <si>
    <r>
      <t xml:space="preserve">CLAUDECIR MOTA                               </t>
    </r>
    <r>
      <rPr>
        <b/>
        <sz val="10"/>
        <color indexed="10"/>
        <rFont val="Arial Narrow"/>
        <family val="2"/>
      </rPr>
      <t>(Bochecha)</t>
    </r>
  </si>
  <si>
    <r>
      <rPr>
        <b/>
        <sz val="10"/>
        <rFont val="Arial Narrow"/>
        <family val="2"/>
      </rPr>
      <t xml:space="preserve">CLAUDIO OLIVEIRA                   </t>
    </r>
    <r>
      <rPr>
        <b/>
        <sz val="10"/>
        <color indexed="17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(Galestri)</t>
    </r>
  </si>
  <si>
    <r>
      <t xml:space="preserve">CLAUDIOMIRO AMARAL DA SILVA            </t>
    </r>
    <r>
      <rPr>
        <b/>
        <sz val="10"/>
        <color indexed="10"/>
        <rFont val="Arial Narrow"/>
        <family val="2"/>
      </rPr>
      <t>(Buiu)</t>
    </r>
  </si>
  <si>
    <r>
      <t xml:space="preserve">CLEBER INOCÊNCIO DA SILVA                  </t>
    </r>
    <r>
      <rPr>
        <b/>
        <sz val="10"/>
        <color indexed="10"/>
        <rFont val="Arial Narrow"/>
        <family val="2"/>
      </rPr>
      <t>(B.A.)</t>
    </r>
  </si>
  <si>
    <r>
      <t>CLEBER VINICIUS PEREIRA</t>
    </r>
    <r>
      <rPr>
        <b/>
        <sz val="10"/>
        <color indexed="10"/>
        <rFont val="Arial Narrow"/>
        <family val="2"/>
      </rPr>
      <t xml:space="preserve">              (Feijão)</t>
    </r>
  </si>
  <si>
    <r>
      <t xml:space="preserve">CLEBERSON ANTUNES FERREIRA            </t>
    </r>
    <r>
      <rPr>
        <b/>
        <sz val="10"/>
        <color indexed="10"/>
        <rFont val="Arial Narrow"/>
        <family val="2"/>
      </rPr>
      <t>(Polenta)</t>
    </r>
  </si>
  <si>
    <r>
      <t xml:space="preserve">CLEBERSON FURMANIAK               </t>
    </r>
    <r>
      <rPr>
        <b/>
        <sz val="10"/>
        <color indexed="10"/>
        <rFont val="Arial Narrow"/>
        <family val="2"/>
      </rPr>
      <t>(Macaco / Dexter)</t>
    </r>
  </si>
  <si>
    <r>
      <t xml:space="preserve">CLEVERSON DA SILVA                     </t>
    </r>
    <r>
      <rPr>
        <b/>
        <sz val="10"/>
        <color indexed="10"/>
        <rFont val="Arial Narrow"/>
        <family val="2"/>
      </rPr>
      <t xml:space="preserve"> (Janjão)</t>
    </r>
  </si>
  <si>
    <r>
      <t xml:space="preserve">CLEVERSON LUIZ PEDROSO            </t>
    </r>
    <r>
      <rPr>
        <b/>
        <sz val="10"/>
        <color indexed="10"/>
        <rFont val="Arial Narrow"/>
        <family val="2"/>
      </rPr>
      <t xml:space="preserve"> (Polaco)</t>
    </r>
  </si>
  <si>
    <r>
      <t xml:space="preserve">CLEVERTON VIEIRA DE ALMEIDA          </t>
    </r>
    <r>
      <rPr>
        <b/>
        <sz val="10"/>
        <color indexed="52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(Maninho)</t>
    </r>
  </si>
  <si>
    <r>
      <t xml:space="preserve">CRISTIAN WILLIAN DA SILVA                  </t>
    </r>
    <r>
      <rPr>
        <b/>
        <sz val="10"/>
        <color indexed="10"/>
        <rFont val="Arial Narrow"/>
        <family val="2"/>
      </rPr>
      <t xml:space="preserve"> (P.T.)</t>
    </r>
  </si>
  <si>
    <r>
      <t xml:space="preserve">CRISTIANO MORAIS DE OLIVEIRA </t>
    </r>
    <r>
      <rPr>
        <b/>
        <sz val="10"/>
        <color indexed="10"/>
        <rFont val="Arial Narrow"/>
        <family val="2"/>
      </rPr>
      <t xml:space="preserve">           (Disquinho)</t>
    </r>
  </si>
  <si>
    <r>
      <t xml:space="preserve">DANIEL CARNEIRO                      </t>
    </r>
    <r>
      <rPr>
        <b/>
        <sz val="10"/>
        <color indexed="10"/>
        <rFont val="Arial Narrow"/>
        <family val="2"/>
      </rPr>
      <t>(Buiu)</t>
    </r>
  </si>
  <si>
    <r>
      <t xml:space="preserve">DANIEL NOGUEIRA                       </t>
    </r>
    <r>
      <rPr>
        <b/>
        <sz val="10"/>
        <color indexed="10"/>
        <rFont val="Arial Narrow"/>
        <family val="2"/>
      </rPr>
      <t>(Radical)</t>
    </r>
  </si>
  <si>
    <r>
      <t>DANIEL RIBEIRO DE SOUZA</t>
    </r>
    <r>
      <rPr>
        <b/>
        <sz val="10"/>
        <color indexed="51"/>
        <rFont val="Arial Narrow"/>
        <family val="2"/>
      </rPr>
      <t xml:space="preserve">          </t>
    </r>
    <r>
      <rPr>
        <b/>
        <sz val="10"/>
        <color indexed="10"/>
        <rFont val="Arial Narrow"/>
        <family val="2"/>
      </rPr>
      <t>(Tibagi)</t>
    </r>
  </si>
  <si>
    <r>
      <t xml:space="preserve">DANIEL DE ANDRADE                </t>
    </r>
    <r>
      <rPr>
        <b/>
        <sz val="10"/>
        <color indexed="10"/>
        <rFont val="Arial Narrow"/>
        <family val="2"/>
      </rPr>
      <t>(Vermelho)</t>
    </r>
  </si>
  <si>
    <r>
      <t xml:space="preserve">DANIEL DOS SANTOS                       </t>
    </r>
    <r>
      <rPr>
        <b/>
        <sz val="10"/>
        <color indexed="10"/>
        <rFont val="Arial Narrow"/>
        <family val="2"/>
      </rPr>
      <t>(Til)</t>
    </r>
  </si>
  <si>
    <r>
      <t xml:space="preserve">DANILO PEREIRA </t>
    </r>
    <r>
      <rPr>
        <b/>
        <sz val="10"/>
        <color indexed="10"/>
        <rFont val="Arial Narrow"/>
        <family val="2"/>
      </rPr>
      <t xml:space="preserve">                    (Paulistinha)</t>
    </r>
  </si>
  <si>
    <r>
      <rPr>
        <b/>
        <sz val="10"/>
        <color indexed="8"/>
        <rFont val="Arial Narrow"/>
        <family val="2"/>
      </rPr>
      <t xml:space="preserve">DASIEL SCHENEIDER DE OLIVEIRA         </t>
    </r>
    <r>
      <rPr>
        <b/>
        <sz val="10"/>
        <color indexed="10"/>
        <rFont val="Arial Narrow"/>
        <family val="2"/>
      </rPr>
      <t>(Polaquinho)</t>
    </r>
  </si>
  <si>
    <r>
      <t xml:space="preserve">DAVI BORBA                          </t>
    </r>
    <r>
      <rPr>
        <b/>
        <sz val="10"/>
        <color indexed="10"/>
        <rFont val="Arial Narrow"/>
        <family val="2"/>
      </rPr>
      <t>(Negão / Beiço)</t>
    </r>
  </si>
  <si>
    <r>
      <t>DAVID CORDEIRO LEMES</t>
    </r>
    <r>
      <rPr>
        <b/>
        <sz val="10"/>
        <color indexed="10"/>
        <rFont val="Arial Narrow"/>
        <family val="2"/>
      </rPr>
      <t xml:space="preserve">              (Coringa / Seco)</t>
    </r>
  </si>
  <si>
    <r>
      <t xml:space="preserve">DENIS WILLIAN GONÇALVES PINTO           </t>
    </r>
    <r>
      <rPr>
        <b/>
        <sz val="10"/>
        <color indexed="10"/>
        <rFont val="Arial Narrow"/>
        <family val="2"/>
      </rPr>
      <t>(Mil Grau)</t>
    </r>
  </si>
  <si>
    <r>
      <t xml:space="preserve">DIEGO DA SILVEIRA              </t>
    </r>
    <r>
      <rPr>
        <b/>
        <sz val="10"/>
        <color indexed="10"/>
        <rFont val="Arial Narrow"/>
        <family val="2"/>
      </rPr>
      <t>(Tica)</t>
    </r>
  </si>
  <si>
    <r>
      <t xml:space="preserve">DIEGO DOS SANTOS              </t>
    </r>
    <r>
      <rPr>
        <b/>
        <sz val="10"/>
        <color indexed="10"/>
        <rFont val="Arial Narrow"/>
        <family val="2"/>
      </rPr>
      <t>(Madruga)</t>
    </r>
  </si>
  <si>
    <r>
      <t xml:space="preserve">DIEGO PINHEIRO VICENTE            </t>
    </r>
    <r>
      <rPr>
        <b/>
        <sz val="10"/>
        <color indexed="10"/>
        <rFont val="Arial Narrow"/>
        <family val="2"/>
      </rPr>
      <t>(Paulista)</t>
    </r>
  </si>
  <si>
    <r>
      <t xml:space="preserve">DIEGO RODRIGO QUENTIN BLAGESKI         </t>
    </r>
    <r>
      <rPr>
        <b/>
        <sz val="10"/>
        <color indexed="10"/>
        <rFont val="Arial Narrow"/>
        <family val="2"/>
      </rPr>
      <t>(Touro)</t>
    </r>
  </si>
  <si>
    <r>
      <t xml:space="preserve">DIOGENES RAFAEL DE FARIA             </t>
    </r>
    <r>
      <rPr>
        <b/>
        <sz val="10"/>
        <color indexed="10"/>
        <rFont val="Arial Narrow"/>
        <family val="2"/>
      </rPr>
      <t>(Formiga)</t>
    </r>
  </si>
  <si>
    <r>
      <t xml:space="preserve">DIOMEDES ANTUNES               </t>
    </r>
    <r>
      <rPr>
        <b/>
        <sz val="10"/>
        <color indexed="10"/>
        <rFont val="Arial Narrow"/>
        <family val="2"/>
      </rPr>
      <t>(Diou)</t>
    </r>
  </si>
  <si>
    <r>
      <t xml:space="preserve">DIRCEU RIBAS                           </t>
    </r>
    <r>
      <rPr>
        <b/>
        <sz val="10"/>
        <color indexed="10"/>
        <rFont val="Arial Narrow"/>
        <family val="2"/>
      </rPr>
      <t>(Caveirinha)</t>
    </r>
  </si>
  <si>
    <r>
      <t xml:space="preserve">DIRLEI DOBZINSKI COLMAN            </t>
    </r>
    <r>
      <rPr>
        <b/>
        <sz val="10"/>
        <color indexed="10"/>
        <rFont val="Arial Narrow"/>
        <family val="2"/>
      </rPr>
      <t>(Tico)</t>
    </r>
  </si>
  <si>
    <r>
      <t xml:space="preserve">DIVONEI DOS SANTOS             </t>
    </r>
    <r>
      <rPr>
        <b/>
        <sz val="10"/>
        <color indexed="10"/>
        <rFont val="Arial Narrow"/>
        <family val="2"/>
      </rPr>
      <t>(Bira)</t>
    </r>
  </si>
  <si>
    <r>
      <t xml:space="preserve">DOUGLAS CARLOS MOURA CANDIDO          </t>
    </r>
    <r>
      <rPr>
        <b/>
        <sz val="10"/>
        <color indexed="10"/>
        <rFont val="Arial Narrow"/>
        <family val="2"/>
      </rPr>
      <t>(Dodô)</t>
    </r>
  </si>
  <si>
    <r>
      <t>DOUGLAS DA SILVA BUENO</t>
    </r>
    <r>
      <rPr>
        <b/>
        <sz val="10"/>
        <color indexed="10"/>
        <rFont val="Arial Narrow"/>
        <family val="2"/>
      </rPr>
      <t xml:space="preserve">                (Douglinhas)</t>
    </r>
  </si>
  <si>
    <r>
      <t>DOUGLAS GRAZIANI NETO</t>
    </r>
    <r>
      <rPr>
        <b/>
        <sz val="10"/>
        <color indexed="53"/>
        <rFont val="Arial Narrow"/>
        <family val="2"/>
      </rPr>
      <t xml:space="preserve">               </t>
    </r>
    <r>
      <rPr>
        <b/>
        <sz val="10"/>
        <color indexed="10"/>
        <rFont val="Arial Narrow"/>
        <family val="2"/>
      </rPr>
      <t>(Dog)</t>
    </r>
  </si>
  <si>
    <r>
      <t xml:space="preserve">EBERTON BAHLS BUENO                      </t>
    </r>
    <r>
      <rPr>
        <b/>
        <sz val="10"/>
        <color indexed="10"/>
        <rFont val="Arial Narrow"/>
        <family val="2"/>
      </rPr>
      <t>(Osternack)</t>
    </r>
  </si>
  <si>
    <r>
      <t>EBERTON RODOLFO DA SILVA LOPES</t>
    </r>
    <r>
      <rPr>
        <b/>
        <sz val="10"/>
        <color indexed="10"/>
        <rFont val="Arial Narrow"/>
        <family val="2"/>
      </rPr>
      <t xml:space="preserve">            (Chumbinho)</t>
    </r>
  </si>
  <si>
    <r>
      <t>EDENILSON DE OLIVEIRA</t>
    </r>
    <r>
      <rPr>
        <b/>
        <sz val="10"/>
        <color indexed="10"/>
        <rFont val="Arial Narrow"/>
        <family val="2"/>
      </rPr>
      <t xml:space="preserve">                (Bicudo)</t>
    </r>
  </si>
  <si>
    <r>
      <t>EDENILDO ANTENOR DA SILVA</t>
    </r>
    <r>
      <rPr>
        <b/>
        <sz val="10"/>
        <color indexed="10"/>
        <rFont val="Arial Narrow"/>
        <family val="2"/>
      </rPr>
      <t xml:space="preserve">                    (Floripa)</t>
    </r>
  </si>
  <si>
    <r>
      <t xml:space="preserve">EDENILSON RIBEIRO             </t>
    </r>
    <r>
      <rPr>
        <b/>
        <sz val="10"/>
        <color indexed="10"/>
        <rFont val="Arial Narrow"/>
        <family val="2"/>
      </rPr>
      <t>(Cacetinho / Mirandinha)</t>
    </r>
  </si>
  <si>
    <r>
      <t>EDEVALDO DA ROSA</t>
    </r>
    <r>
      <rPr>
        <b/>
        <sz val="10"/>
        <color indexed="53"/>
        <rFont val="Arial Narrow"/>
        <family val="2"/>
      </rPr>
      <t xml:space="preserve">                                 </t>
    </r>
    <r>
      <rPr>
        <b/>
        <sz val="10"/>
        <color indexed="10"/>
        <rFont val="Arial Narrow"/>
        <family val="2"/>
      </rPr>
      <t>(Boi / Neguinho)</t>
    </r>
  </si>
  <si>
    <r>
      <t xml:space="preserve">EDERSON LUIZ RUGENSKI                         </t>
    </r>
    <r>
      <rPr>
        <b/>
        <sz val="10"/>
        <color indexed="10"/>
        <rFont val="Arial Narrow"/>
        <family val="2"/>
      </rPr>
      <t>(Fio)</t>
    </r>
  </si>
  <si>
    <r>
      <t xml:space="preserve">EDILSON DA ROSA                   </t>
    </r>
    <r>
      <rPr>
        <b/>
        <sz val="10"/>
        <color indexed="10"/>
        <rFont val="Arial Narrow"/>
        <family val="2"/>
      </rPr>
      <t>(Nego)</t>
    </r>
  </si>
  <si>
    <r>
      <t xml:space="preserve">EDILSON JOSE CASTILHO                         </t>
    </r>
    <r>
      <rPr>
        <b/>
        <sz val="10"/>
        <color indexed="10"/>
        <rFont val="Arial Narrow"/>
        <family val="2"/>
      </rPr>
      <t>(Polaco da bola)</t>
    </r>
  </si>
  <si>
    <r>
      <t>EDILSON DA SILVA POLICAN</t>
    </r>
    <r>
      <rPr>
        <b/>
        <sz val="10"/>
        <color indexed="10"/>
        <rFont val="Arial Narrow"/>
        <family val="2"/>
      </rPr>
      <t xml:space="preserve">         (Ibaiti)</t>
    </r>
  </si>
  <si>
    <r>
      <t xml:space="preserve">EDIVALDO DOS SANTOS  </t>
    </r>
    <r>
      <rPr>
        <b/>
        <sz val="10"/>
        <color indexed="52"/>
        <rFont val="Arial Narrow"/>
        <family val="2"/>
      </rPr>
      <t xml:space="preserve">               </t>
    </r>
    <r>
      <rPr>
        <b/>
        <sz val="10"/>
        <color indexed="10"/>
        <rFont val="Arial Narrow"/>
        <family val="2"/>
      </rPr>
      <t>(Fraco)</t>
    </r>
  </si>
  <si>
    <r>
      <t xml:space="preserve">EDRAN FERREIRA             </t>
    </r>
    <r>
      <rPr>
        <b/>
        <sz val="10"/>
        <color indexed="10"/>
        <rFont val="Arial Narrow"/>
        <family val="2"/>
      </rPr>
      <t xml:space="preserve">  (Negro Dram)</t>
    </r>
  </si>
  <si>
    <r>
      <t xml:space="preserve">EDSON GOMES DE CAMARGO          </t>
    </r>
    <r>
      <rPr>
        <b/>
        <sz val="10"/>
        <color indexed="10"/>
        <rFont val="Arial Narrow"/>
        <family val="2"/>
      </rPr>
      <t>(Tequinho)</t>
    </r>
  </si>
  <si>
    <r>
      <t xml:space="preserve">EDSON LUIZ VALERIO                  </t>
    </r>
    <r>
      <rPr>
        <b/>
        <sz val="10"/>
        <color indexed="10"/>
        <rFont val="Arial Narrow"/>
        <family val="2"/>
      </rPr>
      <t>(Chiqueirinho)</t>
    </r>
  </si>
  <si>
    <r>
      <t xml:space="preserve">EDSON MANOEL LOPES DA SILVA           </t>
    </r>
    <r>
      <rPr>
        <b/>
        <sz val="10"/>
        <color indexed="10"/>
        <rFont val="Arial Narrow"/>
        <family val="2"/>
      </rPr>
      <t>(Tizio)</t>
    </r>
  </si>
  <si>
    <r>
      <t xml:space="preserve">EDSON PACHECO GONÇALVES        </t>
    </r>
    <r>
      <rPr>
        <b/>
        <sz val="10"/>
        <color indexed="53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(Edinho)</t>
    </r>
  </si>
  <si>
    <r>
      <t xml:space="preserve">EDSON WILSON BARCHAKI </t>
    </r>
    <r>
      <rPr>
        <b/>
        <sz val="10"/>
        <color indexed="10"/>
        <rFont val="Arial Narrow"/>
        <family val="2"/>
      </rPr>
      <t xml:space="preserve">            (Polaquinho / Égua Seca)</t>
    </r>
  </si>
  <si>
    <r>
      <t xml:space="preserve">EDUARDO SACHINSKI           </t>
    </r>
    <r>
      <rPr>
        <b/>
        <sz val="10"/>
        <color indexed="10"/>
        <rFont val="Arial Narrow"/>
        <family val="2"/>
      </rPr>
      <t>(Dudi)</t>
    </r>
  </si>
  <si>
    <r>
      <t xml:space="preserve">ELIAS DA SILVA                        </t>
    </r>
    <r>
      <rPr>
        <b/>
        <sz val="10"/>
        <color indexed="10"/>
        <rFont val="Arial Narrow"/>
        <family val="2"/>
      </rPr>
      <t xml:space="preserve"> (Primo/Wagner/Neguinho)</t>
    </r>
  </si>
  <si>
    <r>
      <t xml:space="preserve">EMERSON ARPS                         </t>
    </r>
    <r>
      <rPr>
        <b/>
        <sz val="10"/>
        <color indexed="10"/>
        <rFont val="Arial Narrow"/>
        <family val="2"/>
      </rPr>
      <t>(Gamba)</t>
    </r>
  </si>
  <si>
    <r>
      <t xml:space="preserve">EMERSON LUIS CARNEIRO VARGAS          </t>
    </r>
    <r>
      <rPr>
        <b/>
        <sz val="10"/>
        <color indexed="10"/>
        <rFont val="Arial Narrow"/>
        <family val="2"/>
      </rPr>
      <t>(Gordo)</t>
    </r>
  </si>
  <si>
    <r>
      <t xml:space="preserve">EMERSON LUIS MARTINS FERREIRA            </t>
    </r>
    <r>
      <rPr>
        <b/>
        <sz val="10"/>
        <color indexed="10"/>
        <rFont val="Arial Narrow"/>
        <family val="2"/>
      </rPr>
      <t>(Tubarão)</t>
    </r>
  </si>
  <si>
    <r>
      <t xml:space="preserve">EMERSON LUIS SOARES DE LIMA               </t>
    </r>
    <r>
      <rPr>
        <b/>
        <sz val="10"/>
        <color indexed="10"/>
        <rFont val="Arial Narrow"/>
        <family val="2"/>
      </rPr>
      <t>(Pomba)</t>
    </r>
  </si>
  <si>
    <r>
      <t xml:space="preserve">EMERSON LUIZ SCHECKETEL              </t>
    </r>
    <r>
      <rPr>
        <b/>
        <sz val="10"/>
        <color indexed="10"/>
        <rFont val="Arial Narrow"/>
        <family val="2"/>
      </rPr>
      <t xml:space="preserve"> (Capri)</t>
    </r>
  </si>
  <si>
    <r>
      <t xml:space="preserve">EMERSON ODAIR ALVES                      </t>
    </r>
    <r>
      <rPr>
        <b/>
        <sz val="10"/>
        <color indexed="10"/>
        <rFont val="Arial Narrow"/>
        <family val="2"/>
      </rPr>
      <t>(Pastor)</t>
    </r>
  </si>
  <si>
    <r>
      <t xml:space="preserve">ENORI BRANDES                            </t>
    </r>
    <r>
      <rPr>
        <b/>
        <sz val="10"/>
        <color indexed="10"/>
        <rFont val="Arial Narrow"/>
        <family val="2"/>
      </rPr>
      <t>(Polaco)</t>
    </r>
  </si>
  <si>
    <r>
      <t xml:space="preserve">ERENILSON BATISTA VIDAL          </t>
    </r>
    <r>
      <rPr>
        <b/>
        <sz val="10"/>
        <color indexed="10"/>
        <rFont val="Arial Narrow"/>
        <family val="2"/>
      </rPr>
      <t>(Dentinho)</t>
    </r>
  </si>
  <si>
    <r>
      <t xml:space="preserve">ERICKSON RAFAEL BIASSIO MENDES             </t>
    </r>
    <r>
      <rPr>
        <b/>
        <sz val="10"/>
        <color indexed="10"/>
        <rFont val="Arial Narrow"/>
        <family val="2"/>
      </rPr>
      <t>(Malcriado)</t>
    </r>
  </si>
  <si>
    <r>
      <t xml:space="preserve">ESTEFANO KRUCHAK NETO               </t>
    </r>
    <r>
      <rPr>
        <b/>
        <sz val="10"/>
        <color indexed="10"/>
        <rFont val="Arial Narrow"/>
        <family val="2"/>
      </rPr>
      <t>(Ivai / Polaco)</t>
    </r>
  </si>
  <si>
    <r>
      <t xml:space="preserve">EVANDRO JOSE SOARES                  </t>
    </r>
    <r>
      <rPr>
        <b/>
        <sz val="10"/>
        <color indexed="10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(Capila)</t>
    </r>
  </si>
  <si>
    <r>
      <t xml:space="preserve">EVANILSO ALVES VIEIRA              </t>
    </r>
    <r>
      <rPr>
        <b/>
        <sz val="10"/>
        <color indexed="10"/>
        <rFont val="Arial Narrow"/>
        <family val="2"/>
      </rPr>
      <t>(Pão)</t>
    </r>
  </si>
  <si>
    <r>
      <t xml:space="preserve">EVERALDO BRASILIO DE SOUZA        </t>
    </r>
    <r>
      <rPr>
        <b/>
        <sz val="10"/>
        <color indexed="10"/>
        <rFont val="Arial Narrow"/>
        <family val="2"/>
      </rPr>
      <t>(Bugre)</t>
    </r>
  </si>
  <si>
    <r>
      <t xml:space="preserve">EVERSON LUIZ DE LIMA                </t>
    </r>
    <r>
      <rPr>
        <b/>
        <sz val="10"/>
        <color indexed="10"/>
        <rFont val="Arial Narrow"/>
        <family val="2"/>
      </rPr>
      <t xml:space="preserve"> (Chuck)</t>
    </r>
  </si>
  <si>
    <r>
      <t xml:space="preserve">EVERSON LUIS DE LIMA                </t>
    </r>
    <r>
      <rPr>
        <b/>
        <sz val="10"/>
        <color indexed="53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(Chuck)</t>
    </r>
  </si>
  <si>
    <r>
      <t xml:space="preserve">EVERTON EVANDRO VIEIRA           </t>
    </r>
    <r>
      <rPr>
        <b/>
        <sz val="10"/>
        <color indexed="10"/>
        <rFont val="Arial Narrow"/>
        <family val="2"/>
      </rPr>
      <t>( Bastião / Piloto / Falcão)</t>
    </r>
  </si>
  <si>
    <r>
      <t xml:space="preserve">EVERTON CARDOSO                        </t>
    </r>
    <r>
      <rPr>
        <b/>
        <sz val="10"/>
        <color indexed="10"/>
        <rFont val="Arial Narrow"/>
        <family val="2"/>
      </rPr>
      <t>(Tom)</t>
    </r>
  </si>
  <si>
    <r>
      <t xml:space="preserve">EWERTON CARLOS DA SILVA           </t>
    </r>
    <r>
      <rPr>
        <b/>
        <sz val="10"/>
        <color indexed="10"/>
        <rFont val="Arial Narrow"/>
        <family val="2"/>
      </rPr>
      <t>(Vitinho)</t>
    </r>
  </si>
  <si>
    <r>
      <t xml:space="preserve">EZEQUIEL MARTINS                         </t>
    </r>
    <r>
      <rPr>
        <b/>
        <sz val="10"/>
        <color indexed="10"/>
        <rFont val="Arial Narrow"/>
        <family val="2"/>
      </rPr>
      <t>(Pãozinho)</t>
    </r>
  </si>
  <si>
    <r>
      <t xml:space="preserve">FABIANO CORREIA DE LIMA               </t>
    </r>
    <r>
      <rPr>
        <b/>
        <sz val="10"/>
        <color indexed="10"/>
        <rFont val="Arial Narrow"/>
        <family val="2"/>
      </rPr>
      <t>( Magneto )</t>
    </r>
  </si>
  <si>
    <r>
      <t xml:space="preserve">WILTON CESAR DA SILVA PEREIRA                      </t>
    </r>
    <r>
      <rPr>
        <b/>
        <sz val="10"/>
        <color indexed="10"/>
        <rFont val="Arial Narrow"/>
        <family val="2"/>
      </rPr>
      <t>(Nego)</t>
    </r>
  </si>
  <si>
    <r>
      <t xml:space="preserve">WILSON ELIAS DIAS                          </t>
    </r>
    <r>
      <rPr>
        <b/>
        <sz val="10"/>
        <color indexed="10"/>
        <rFont val="Arial Narrow"/>
        <family val="2"/>
      </rPr>
      <t>(Amarelo)</t>
    </r>
  </si>
  <si>
    <r>
      <t xml:space="preserve">WILLIAN OLIVEIRA DOS SANTOS              </t>
    </r>
    <r>
      <rPr>
        <b/>
        <sz val="10"/>
        <color indexed="10"/>
        <rFont val="Arial Narrow"/>
        <family val="2"/>
      </rPr>
      <t>(Monstrinho)</t>
    </r>
  </si>
  <si>
    <r>
      <t xml:space="preserve">WELLINGTON SAO JOSE DA SILVA                 </t>
    </r>
    <r>
      <rPr>
        <b/>
        <sz val="10"/>
        <color indexed="10"/>
        <rFont val="Arial Narrow"/>
        <family val="2"/>
      </rPr>
      <t>(Mineiro)</t>
    </r>
  </si>
  <si>
    <r>
      <t xml:space="preserve">WELLINGTON DOS SANTOS                     </t>
    </r>
    <r>
      <rPr>
        <b/>
        <sz val="10"/>
        <color indexed="10"/>
        <rFont val="Arial Narrow"/>
        <family val="2"/>
      </rPr>
      <t xml:space="preserve"> (Gauchinho)</t>
    </r>
  </si>
  <si>
    <r>
      <t xml:space="preserve">WASHINGTON DOS SANTOS                                     </t>
    </r>
    <r>
      <rPr>
        <b/>
        <sz val="10"/>
        <color indexed="10"/>
        <rFont val="Arial Narrow"/>
        <family val="2"/>
      </rPr>
      <t>(Bruxo)</t>
    </r>
  </si>
  <si>
    <r>
      <t>WALISSON DE SOUZA</t>
    </r>
    <r>
      <rPr>
        <b/>
        <sz val="10"/>
        <color indexed="10"/>
        <rFont val="Arial Narrow"/>
        <family val="2"/>
      </rPr>
      <t xml:space="preserve">                            (Maranhão)</t>
    </r>
  </si>
  <si>
    <r>
      <t xml:space="preserve">WAGNER CESAR PALMAS                  </t>
    </r>
    <r>
      <rPr>
        <b/>
        <sz val="10"/>
        <color indexed="10"/>
        <rFont val="Arial Narrow"/>
        <family val="2"/>
      </rPr>
      <t>(Pit Bull)</t>
    </r>
  </si>
  <si>
    <r>
      <t xml:space="preserve">WAGNER ALEIXO FERREIRA                </t>
    </r>
    <r>
      <rPr>
        <b/>
        <sz val="10"/>
        <color indexed="10"/>
        <rFont val="Arial Narrow"/>
        <family val="2"/>
      </rPr>
      <t>(Toió)</t>
    </r>
  </si>
  <si>
    <r>
      <t xml:space="preserve">VINICIUS STAM DA VEIGA                </t>
    </r>
    <r>
      <rPr>
        <b/>
        <sz val="10"/>
        <color indexed="10"/>
        <rFont val="Arial Narrow"/>
        <family val="2"/>
      </rPr>
      <t>(Satã / R1)</t>
    </r>
  </si>
  <si>
    <r>
      <t xml:space="preserve">VICTOR HENRIQUE DA CRUZ ALVES            </t>
    </r>
    <r>
      <rPr>
        <b/>
        <sz val="10"/>
        <color indexed="10"/>
        <rFont val="Arial Narrow"/>
        <family val="2"/>
      </rPr>
      <t>(Branquinho)</t>
    </r>
  </si>
  <si>
    <r>
      <t xml:space="preserve">VICTOR CLABONDE NETO                  </t>
    </r>
    <r>
      <rPr>
        <b/>
        <sz val="10"/>
        <color indexed="10"/>
        <rFont val="Arial Narrow"/>
        <family val="2"/>
      </rPr>
      <t>(Gordo)</t>
    </r>
  </si>
  <si>
    <r>
      <t xml:space="preserve">VANDERLEI MARTINS                         </t>
    </r>
    <r>
      <rPr>
        <b/>
        <sz val="10"/>
        <color indexed="10"/>
        <rFont val="Arial Narrow"/>
        <family val="2"/>
      </rPr>
      <t>(Careca)</t>
    </r>
  </si>
  <si>
    <r>
      <t xml:space="preserve">VANDERLEI MATOS DOS SANTOS              </t>
    </r>
    <r>
      <rPr>
        <b/>
        <sz val="10"/>
        <color indexed="10"/>
        <rFont val="Arial Narrow"/>
        <family val="2"/>
      </rPr>
      <t>(Corujinha)</t>
    </r>
  </si>
  <si>
    <r>
      <t>VALDENEI DOS SANTOS</t>
    </r>
    <r>
      <rPr>
        <b/>
        <sz val="10"/>
        <color indexed="10"/>
        <rFont val="Arial Narrow"/>
        <family val="2"/>
      </rPr>
      <t xml:space="preserve">                 (Japones)</t>
    </r>
  </si>
  <si>
    <r>
      <t xml:space="preserve">VALDELI DA SILVA FERREIRA             </t>
    </r>
    <r>
      <rPr>
        <b/>
        <sz val="10"/>
        <color indexed="10"/>
        <rFont val="Arial Narrow"/>
        <family val="2"/>
      </rPr>
      <t>(Frango)</t>
    </r>
  </si>
  <si>
    <r>
      <t xml:space="preserve">VALDEMAR APARECIDO DE QUADROS             </t>
    </r>
    <r>
      <rPr>
        <b/>
        <sz val="10"/>
        <color indexed="10"/>
        <rFont val="Arial Narrow"/>
        <family val="2"/>
      </rPr>
      <t>(Índio)</t>
    </r>
  </si>
  <si>
    <r>
      <t xml:space="preserve">VALDEMAR LEMES PEDROSO                </t>
    </r>
    <r>
      <rPr>
        <b/>
        <sz val="10"/>
        <color indexed="10"/>
        <rFont val="Arial Narrow"/>
        <family val="2"/>
      </rPr>
      <t>(Neguinho)</t>
    </r>
  </si>
  <si>
    <r>
      <t xml:space="preserve">TIAGO MENDES                        </t>
    </r>
    <r>
      <rPr>
        <b/>
        <sz val="10"/>
        <color indexed="10"/>
        <rFont val="Arial Narrow"/>
        <family val="2"/>
      </rPr>
      <t>(Gordinho)</t>
    </r>
  </si>
  <si>
    <r>
      <t xml:space="preserve">TIAGO ANTONIO PEREIRA              </t>
    </r>
    <r>
      <rPr>
        <b/>
        <sz val="10"/>
        <color indexed="10"/>
        <rFont val="Arial Narrow"/>
        <family val="2"/>
      </rPr>
      <t>(Taz / Pipoca)</t>
    </r>
  </si>
  <si>
    <r>
      <t xml:space="preserve">TIAGO CORDEIRO PEREIRA           </t>
    </r>
    <r>
      <rPr>
        <b/>
        <sz val="10"/>
        <color indexed="10"/>
        <rFont val="Arial Narrow"/>
        <family val="2"/>
      </rPr>
      <t>(Vaqueiro)</t>
    </r>
  </si>
  <si>
    <r>
      <t>THIAGO RIBEIRO DA ROSA</t>
    </r>
    <r>
      <rPr>
        <b/>
        <sz val="10"/>
        <color indexed="10"/>
        <rFont val="Arial Narrow"/>
        <family val="2"/>
      </rPr>
      <t xml:space="preserve">                (Planeta</t>
    </r>
    <r>
      <rPr>
        <b/>
        <sz val="10"/>
        <color indexed="10"/>
        <rFont val="Arial Narrow"/>
        <family val="2"/>
      </rPr>
      <t>)</t>
    </r>
  </si>
  <si>
    <r>
      <t xml:space="preserve">THIAGO MOREIRA DA SILVA             </t>
    </r>
    <r>
      <rPr>
        <b/>
        <sz val="10"/>
        <color indexed="10"/>
        <rFont val="Arial Narrow"/>
        <family val="2"/>
      </rPr>
      <t>(Boi)</t>
    </r>
  </si>
  <si>
    <r>
      <t>THIAGO CASTILHO PINTO</t>
    </r>
    <r>
      <rPr>
        <b/>
        <sz val="10"/>
        <color indexed="10"/>
        <rFont val="Arial Narrow"/>
        <family val="2"/>
      </rPr>
      <t xml:space="preserve">                 (Bonitinho)</t>
    </r>
  </si>
  <si>
    <r>
      <t>THIAGO ABREU SILVA</t>
    </r>
    <r>
      <rPr>
        <b/>
        <sz val="10"/>
        <color indexed="10"/>
        <rFont val="Arial Narrow"/>
        <family val="2"/>
      </rPr>
      <t xml:space="preserve">                     (Avatar / Curitiba)</t>
    </r>
  </si>
  <si>
    <r>
      <t xml:space="preserve">SILVIO DOS ANJOS CARVALHO        </t>
    </r>
    <r>
      <rPr>
        <b/>
        <sz val="10"/>
        <color indexed="10"/>
        <rFont val="Arial Narrow"/>
        <family val="2"/>
      </rPr>
      <t>(Covero)</t>
    </r>
  </si>
  <si>
    <r>
      <t xml:space="preserve">SIDNEI SARNOSKI NEGREIROS           </t>
    </r>
    <r>
      <rPr>
        <b/>
        <sz val="10"/>
        <color indexed="10"/>
        <rFont val="Arial Narrow"/>
        <family val="2"/>
      </rPr>
      <t>(Quibe / Marrom)</t>
    </r>
  </si>
  <si>
    <r>
      <t>SIDNEI PACHECO PROCOPIO</t>
    </r>
    <r>
      <rPr>
        <b/>
        <sz val="10"/>
        <color indexed="10"/>
        <rFont val="Arial Narrow"/>
        <family val="2"/>
      </rPr>
      <t xml:space="preserve">          (Foz / Vaca)</t>
    </r>
  </si>
  <si>
    <r>
      <t xml:space="preserve">SERGIO RAMOS                                  </t>
    </r>
    <r>
      <rPr>
        <b/>
        <sz val="10"/>
        <color indexed="10"/>
        <rFont val="Arial Narrow"/>
        <family val="2"/>
      </rPr>
      <t>(Polaco)</t>
    </r>
  </si>
  <si>
    <r>
      <t xml:space="preserve">SEBASTIAO GILBERTO LEODORO            </t>
    </r>
    <r>
      <rPr>
        <b/>
        <sz val="10"/>
        <color indexed="10"/>
        <rFont val="Arial Narrow"/>
        <family val="2"/>
      </rPr>
      <t>(Jerico)</t>
    </r>
  </si>
  <si>
    <r>
      <t xml:space="preserve">SANDRO BIANCHI                    </t>
    </r>
    <r>
      <rPr>
        <b/>
        <sz val="10"/>
        <color indexed="10"/>
        <rFont val="Arial Narrow"/>
        <family val="2"/>
      </rPr>
      <t>(Bambam / Bunda)</t>
    </r>
  </si>
  <si>
    <r>
      <t xml:space="preserve">SAMUEL RIBEIRO                 </t>
    </r>
    <r>
      <rPr>
        <b/>
        <sz val="10"/>
        <color indexed="52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(Zóio)</t>
    </r>
  </si>
  <si>
    <r>
      <t xml:space="preserve">ROSMAR DE OLIVEIRA                     </t>
    </r>
    <r>
      <rPr>
        <b/>
        <sz val="10"/>
        <color indexed="10"/>
        <rFont val="Arial Narrow"/>
        <family val="2"/>
      </rPr>
      <t>(Chupinho)</t>
    </r>
  </si>
  <si>
    <r>
      <t xml:space="preserve">SAILON DA SILVA CESAR                          </t>
    </r>
    <r>
      <rPr>
        <b/>
        <sz val="10"/>
        <color indexed="10"/>
        <rFont val="Arial Narrow"/>
        <family val="2"/>
      </rPr>
      <t>(Zé Gotinha)</t>
    </r>
  </si>
  <si>
    <r>
      <t xml:space="preserve">SAMUEL CORREIA LEITE                       </t>
    </r>
    <r>
      <rPr>
        <b/>
        <sz val="10"/>
        <color indexed="10"/>
        <rFont val="Arial Narrow"/>
        <family val="2"/>
      </rPr>
      <t>(Samuca)</t>
    </r>
  </si>
  <si>
    <r>
      <t xml:space="preserve">RONAN NONATO DA SILVA                                 </t>
    </r>
    <r>
      <rPr>
        <b/>
        <sz val="10"/>
        <color indexed="10"/>
        <rFont val="Arial Narrow"/>
        <family val="2"/>
      </rPr>
      <t>(Catarina)</t>
    </r>
  </si>
  <si>
    <r>
      <t xml:space="preserve">ROMULO NAVARRO DA ROCHA                   </t>
    </r>
    <r>
      <rPr>
        <b/>
        <sz val="10"/>
        <color indexed="10"/>
        <rFont val="Arial Narrow"/>
        <family val="2"/>
      </rPr>
      <t>(Cascão)</t>
    </r>
  </si>
  <si>
    <r>
      <t xml:space="preserve">ROGERIO FRANCISCHINI                              </t>
    </r>
    <r>
      <rPr>
        <b/>
        <sz val="10"/>
        <color indexed="10"/>
        <rFont val="Arial Narrow"/>
        <family val="2"/>
      </rPr>
      <t>(Burguês / Bacana)</t>
    </r>
  </si>
  <si>
    <r>
      <t xml:space="preserve">RODRIGO FIOLA                                     </t>
    </r>
    <r>
      <rPr>
        <b/>
        <sz val="10"/>
        <color indexed="10"/>
        <rFont val="Arial Narrow"/>
        <family val="2"/>
      </rPr>
      <t>(Dalabona)</t>
    </r>
  </si>
  <si>
    <r>
      <t xml:space="preserve">RODRIGO DOS SANTOS                                         </t>
    </r>
    <r>
      <rPr>
        <b/>
        <sz val="10"/>
        <color indexed="10"/>
        <rFont val="Arial Narrow"/>
        <family val="2"/>
      </rPr>
      <t>(Tiriça)</t>
    </r>
  </si>
  <si>
    <r>
      <t xml:space="preserve">ROBSON VIEIRA                                           </t>
    </r>
    <r>
      <rPr>
        <b/>
        <sz val="10"/>
        <color indexed="10"/>
        <rFont val="Arial Narrow"/>
        <family val="2"/>
      </rPr>
      <t>(P.G. / Borracha)</t>
    </r>
  </si>
  <si>
    <r>
      <t xml:space="preserve">ROBSON RODRIGO DOS SANTOS              </t>
    </r>
    <r>
      <rPr>
        <b/>
        <sz val="10"/>
        <color indexed="10"/>
        <rFont val="Arial Narrow"/>
        <family val="2"/>
      </rPr>
      <t>(Robinho)</t>
    </r>
  </si>
  <si>
    <r>
      <t xml:space="preserve">ROBSON RIBEIRO PINTO                           </t>
    </r>
    <r>
      <rPr>
        <b/>
        <sz val="10"/>
        <color indexed="10"/>
        <rFont val="Arial Narrow"/>
        <family val="2"/>
      </rPr>
      <t>(Mica)</t>
    </r>
  </si>
  <si>
    <r>
      <t xml:space="preserve">ROBSON DOS SANTOS                          </t>
    </r>
    <r>
      <rPr>
        <b/>
        <sz val="10"/>
        <color indexed="10"/>
        <rFont val="Arial Narrow"/>
        <family val="2"/>
      </rPr>
      <t>(Pit Bull)</t>
    </r>
  </si>
  <si>
    <r>
      <t xml:space="preserve">ROBERTO GALDINO                         </t>
    </r>
    <r>
      <rPr>
        <b/>
        <sz val="10"/>
        <color indexed="10"/>
        <rFont val="Arial Narrow"/>
        <family val="2"/>
      </rPr>
      <t>(Betinho)</t>
    </r>
    <r>
      <rPr>
        <b/>
        <sz val="10"/>
        <rFont val="Arial Narrow"/>
        <family val="2"/>
      </rPr>
      <t xml:space="preserve"> </t>
    </r>
  </si>
  <si>
    <r>
      <t xml:space="preserve">ROBERT CHAGAS DOS SANTOS                     </t>
    </r>
    <r>
      <rPr>
        <b/>
        <sz val="10"/>
        <color indexed="10"/>
        <rFont val="Arial Narrow"/>
        <family val="2"/>
      </rPr>
      <t>(Nariz)</t>
    </r>
  </si>
  <si>
    <r>
      <t xml:space="preserve">RICHARDISON JUNIO DOS SANTOS                    </t>
    </r>
    <r>
      <rPr>
        <b/>
        <sz val="10"/>
        <color indexed="10"/>
        <rFont val="Arial Narrow"/>
        <family val="2"/>
      </rPr>
      <t>(Bahia)</t>
    </r>
  </si>
  <si>
    <r>
      <t xml:space="preserve">RICHARD DIAS DE FREITAS                   </t>
    </r>
    <r>
      <rPr>
        <b/>
        <sz val="10"/>
        <color indexed="10"/>
        <rFont val="Arial Narrow"/>
        <family val="2"/>
      </rPr>
      <t>(Peitão)</t>
    </r>
  </si>
  <si>
    <r>
      <t xml:space="preserve">RICARDO LUIS DE FRANÇA                     </t>
    </r>
    <r>
      <rPr>
        <b/>
        <sz val="10"/>
        <color indexed="10"/>
        <rFont val="Arial Narrow"/>
        <family val="2"/>
      </rPr>
      <t>(Kadu)</t>
    </r>
  </si>
  <si>
    <r>
      <t xml:space="preserve">RICARDO COSME DE SOUZA                    </t>
    </r>
    <r>
      <rPr>
        <b/>
        <sz val="10"/>
        <color indexed="10"/>
        <rFont val="Arial Narrow"/>
        <family val="2"/>
      </rPr>
      <t>(Pit Bull)</t>
    </r>
  </si>
  <si>
    <r>
      <t>RENATO FERREIRA PEDROSO</t>
    </r>
    <r>
      <rPr>
        <b/>
        <sz val="10"/>
        <color indexed="10"/>
        <rFont val="Arial Narrow"/>
        <family val="2"/>
      </rPr>
      <t xml:space="preserve">                (Borracha)</t>
    </r>
  </si>
  <si>
    <r>
      <t>RAVYNES ESTIIMER</t>
    </r>
    <r>
      <rPr>
        <b/>
        <sz val="10"/>
        <color indexed="10"/>
        <rFont val="Arial Narrow"/>
        <family val="2"/>
      </rPr>
      <t xml:space="preserve">                         (Lelo)</t>
    </r>
  </si>
  <si>
    <r>
      <t xml:space="preserve">RAFAEL LUIS FEREIRA                            </t>
    </r>
    <r>
      <rPr>
        <b/>
        <sz val="10"/>
        <color indexed="10"/>
        <rFont val="Arial Narrow"/>
        <family val="2"/>
      </rPr>
      <t>(Binho)</t>
    </r>
  </si>
  <si>
    <r>
      <t xml:space="preserve">PETER BESDUDNYJ JUNIOR                         </t>
    </r>
    <r>
      <rPr>
        <b/>
        <sz val="10"/>
        <color indexed="10"/>
        <rFont val="Arial Narrow"/>
        <family val="2"/>
      </rPr>
      <t xml:space="preserve"> (Evoque)</t>
    </r>
  </si>
  <si>
    <r>
      <t xml:space="preserve">PEDRO IRINEU FERREIRA DE LIMA                 </t>
    </r>
    <r>
      <rPr>
        <b/>
        <sz val="10"/>
        <color indexed="10"/>
        <rFont val="Arial Narrow"/>
        <family val="2"/>
      </rPr>
      <t>(Petróleo)</t>
    </r>
  </si>
  <si>
    <r>
      <t xml:space="preserve">PEDRO JORGE DA COSTA                     </t>
    </r>
    <r>
      <rPr>
        <b/>
        <sz val="10"/>
        <color indexed="10"/>
        <rFont val="Arial Narrow"/>
        <family val="2"/>
      </rPr>
      <t>(Paletó)</t>
    </r>
  </si>
  <si>
    <r>
      <t xml:space="preserve">PAULO SERGIO DOS SANTOS                      </t>
    </r>
    <r>
      <rPr>
        <b/>
        <sz val="10"/>
        <color indexed="10"/>
        <rFont val="Arial Narrow"/>
        <family val="2"/>
      </rPr>
      <t>(Paulinho Guaira)</t>
    </r>
  </si>
  <si>
    <r>
      <t xml:space="preserve">PAULO RODRIGUES PEXINHO                   </t>
    </r>
    <r>
      <rPr>
        <b/>
        <sz val="10"/>
        <color indexed="10"/>
        <rFont val="Arial Narrow"/>
        <family val="2"/>
      </rPr>
      <t>(Peixinho)</t>
    </r>
  </si>
  <si>
    <r>
      <t xml:space="preserve">PAULO ROBERTO FERREIRA                   </t>
    </r>
    <r>
      <rPr>
        <b/>
        <sz val="10"/>
        <color indexed="10"/>
        <rFont val="Arial Narrow"/>
        <family val="2"/>
      </rPr>
      <t>(Gadeia)</t>
    </r>
  </si>
  <si>
    <r>
      <t xml:space="preserve">PAULO MARCOS FUGIHARA                      </t>
    </r>
    <r>
      <rPr>
        <b/>
        <sz val="10"/>
        <color indexed="10"/>
        <rFont val="Arial Narrow"/>
        <family val="2"/>
      </rPr>
      <t>(Ursinho)</t>
    </r>
  </si>
  <si>
    <r>
      <t xml:space="preserve">PAULO MARCELO RIBAS                     </t>
    </r>
    <r>
      <rPr>
        <b/>
        <sz val="10"/>
        <color indexed="10"/>
        <rFont val="Arial Narrow"/>
        <family val="2"/>
      </rPr>
      <t>(Padre)</t>
    </r>
  </si>
  <si>
    <r>
      <t xml:space="preserve">PAULO LUIZ PINHEIRO                        </t>
    </r>
    <r>
      <rPr>
        <b/>
        <sz val="10"/>
        <color indexed="10"/>
        <rFont val="Arial Narrow"/>
        <family val="2"/>
      </rPr>
      <t>(Monstrinho)</t>
    </r>
  </si>
  <si>
    <r>
      <t xml:space="preserve">PAULO CEZAR LASS JUNIOR              </t>
    </r>
    <r>
      <rPr>
        <b/>
        <sz val="10"/>
        <color indexed="10"/>
        <rFont val="Arial Narrow"/>
        <family val="2"/>
      </rPr>
      <t>(Paulinho)</t>
    </r>
  </si>
  <si>
    <r>
      <t xml:space="preserve">PAULO CEZAR MOTINHO             </t>
    </r>
    <r>
      <rPr>
        <b/>
        <sz val="10"/>
        <color indexed="10"/>
        <rFont val="Arial Narrow"/>
        <family val="2"/>
      </rPr>
      <t>( Meia noite )</t>
    </r>
  </si>
  <si>
    <r>
      <t xml:space="preserve">PAULO CESAR DE CASTRO                 </t>
    </r>
    <r>
      <rPr>
        <b/>
        <sz val="10"/>
        <color indexed="10"/>
        <rFont val="Arial Narrow"/>
        <family val="2"/>
      </rPr>
      <t xml:space="preserve"> (Cemitério)</t>
    </r>
  </si>
  <si>
    <r>
      <t xml:space="preserve">OZIEL PEREIRA DA SILVA                        </t>
    </r>
    <r>
      <rPr>
        <b/>
        <sz val="10"/>
        <color indexed="10"/>
        <rFont val="Arial Narrow"/>
        <family val="2"/>
      </rPr>
      <t>(Pioio)</t>
    </r>
  </si>
  <si>
    <r>
      <t xml:space="preserve">OSMAR DE GODOY                           </t>
    </r>
    <r>
      <rPr>
        <b/>
        <sz val="10"/>
        <color indexed="10"/>
        <rFont val="Arial Narrow"/>
        <family val="2"/>
      </rPr>
      <t>(Teves)</t>
    </r>
  </si>
  <si>
    <r>
      <t xml:space="preserve">ODAIR JOSE MENDES DE PONTES                </t>
    </r>
    <r>
      <rPr>
        <b/>
        <sz val="10"/>
        <color indexed="10"/>
        <rFont val="Arial Narrow"/>
        <family val="2"/>
      </rPr>
      <t>(Motosserra)</t>
    </r>
  </si>
  <si>
    <r>
      <t xml:space="preserve">ODAIR DA MAIA                                   </t>
    </r>
    <r>
      <rPr>
        <b/>
        <sz val="10"/>
        <color indexed="10"/>
        <rFont val="Arial Narrow"/>
        <family val="2"/>
      </rPr>
      <t>(Polaco)</t>
    </r>
  </si>
  <si>
    <r>
      <t xml:space="preserve">ODAIR ALVES DOS SANTOS              </t>
    </r>
    <r>
      <rPr>
        <b/>
        <sz val="10"/>
        <color indexed="53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(Bin Laden)</t>
    </r>
  </si>
  <si>
    <r>
      <t xml:space="preserve">NORIVALDO DA SILVA  </t>
    </r>
    <r>
      <rPr>
        <b/>
        <sz val="10"/>
        <color indexed="10"/>
        <rFont val="Arial Narrow"/>
        <family val="2"/>
      </rPr>
      <t xml:space="preserve">                    (Vardo)</t>
    </r>
  </si>
  <si>
    <r>
      <t xml:space="preserve">NILTON CESAR ALVES POSSIDONIO              </t>
    </r>
    <r>
      <rPr>
        <b/>
        <sz val="10"/>
        <color indexed="52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(Carretilha)</t>
    </r>
  </si>
  <si>
    <r>
      <t xml:space="preserve">NILCEU CESAR VIDAL                  </t>
    </r>
    <r>
      <rPr>
        <b/>
        <sz val="10"/>
        <color indexed="10"/>
        <rFont val="Arial Narrow"/>
        <family val="2"/>
      </rPr>
      <t>(Baixinho)</t>
    </r>
  </si>
  <si>
    <r>
      <t xml:space="preserve">NELSON FERREIRA                          </t>
    </r>
    <r>
      <rPr>
        <b/>
        <sz val="10"/>
        <color indexed="52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(Pangaré)</t>
    </r>
  </si>
  <si>
    <r>
      <t xml:space="preserve">NEILOR SERGIO PABIS                                           </t>
    </r>
    <r>
      <rPr>
        <b/>
        <sz val="10"/>
        <color indexed="10"/>
        <rFont val="Arial Narrow"/>
        <family val="2"/>
      </rPr>
      <t>(Queijinho)</t>
    </r>
  </si>
  <si>
    <r>
      <t xml:space="preserve">NAIRON DE TASSO DE SOUZA SANTOS               </t>
    </r>
    <r>
      <rPr>
        <b/>
        <sz val="10"/>
        <color indexed="10"/>
        <rFont val="Arial Narrow"/>
        <family val="2"/>
      </rPr>
      <t>(Bea)</t>
    </r>
  </si>
  <si>
    <r>
      <t xml:space="preserve">MOISES GOMES DA SILVA                            </t>
    </r>
    <r>
      <rPr>
        <b/>
        <sz val="10"/>
        <color indexed="10"/>
        <rFont val="Arial Narrow"/>
        <family val="2"/>
      </rPr>
      <t>(Leo)</t>
    </r>
  </si>
  <si>
    <r>
      <t>MILTON JOSE DOS SANTOS VAZ</t>
    </r>
    <r>
      <rPr>
        <b/>
        <sz val="10"/>
        <color indexed="52"/>
        <rFont val="Arial Narrow"/>
        <family val="2"/>
      </rPr>
      <t xml:space="preserve">                   </t>
    </r>
    <r>
      <rPr>
        <b/>
        <sz val="10"/>
        <color indexed="10"/>
        <rFont val="Arial Narrow"/>
        <family val="2"/>
      </rPr>
      <t>(Moranga)</t>
    </r>
  </si>
  <si>
    <r>
      <t xml:space="preserve">MIQUEIAS DE MORAES                           </t>
    </r>
    <r>
      <rPr>
        <b/>
        <sz val="10"/>
        <color indexed="10"/>
        <rFont val="Arial Narrow"/>
        <family val="2"/>
      </rPr>
      <t>(Pesadelo)</t>
    </r>
  </si>
  <si>
    <r>
      <t xml:space="preserve">MICHEL MACHADO CARNEIRO                 </t>
    </r>
    <r>
      <rPr>
        <b/>
        <sz val="10"/>
        <color indexed="10"/>
        <rFont val="Arial Narrow"/>
        <family val="2"/>
      </rPr>
      <t>(Maluco)</t>
    </r>
  </si>
  <si>
    <r>
      <t xml:space="preserve">MAYCON DA SILVA PINHEIRO                    </t>
    </r>
    <r>
      <rPr>
        <b/>
        <sz val="10"/>
        <color indexed="10"/>
        <rFont val="Arial Narrow"/>
        <family val="2"/>
      </rPr>
      <t>(Menor)</t>
    </r>
  </si>
  <si>
    <r>
      <t xml:space="preserve">MAYCO DE SOUZA MORETTE               </t>
    </r>
    <r>
      <rPr>
        <b/>
        <sz val="10"/>
        <color indexed="10"/>
        <rFont val="Arial Narrow"/>
        <family val="2"/>
      </rPr>
      <t xml:space="preserve"> (B.O. / Rapadura)</t>
    </r>
  </si>
  <si>
    <r>
      <t xml:space="preserve">MAURO ANTONIO PAES DE ALMEIDA                     </t>
    </r>
    <r>
      <rPr>
        <b/>
        <sz val="10"/>
        <color indexed="53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(Boiadeiro)</t>
    </r>
  </si>
  <si>
    <r>
      <t xml:space="preserve">MAURICIO GALVAO NEVES                               </t>
    </r>
    <r>
      <rPr>
        <b/>
        <sz val="10"/>
        <color indexed="10"/>
        <rFont val="Arial Narrow"/>
        <family val="2"/>
      </rPr>
      <t>(Apagâo)</t>
    </r>
  </si>
  <si>
    <r>
      <t xml:space="preserve">MAURICIO DE QUADROS                                </t>
    </r>
    <r>
      <rPr>
        <b/>
        <sz val="10"/>
        <color indexed="10"/>
        <rFont val="Arial Narrow"/>
        <family val="2"/>
      </rPr>
      <t>(Bugiu)</t>
    </r>
  </si>
  <si>
    <r>
      <t xml:space="preserve">MARIO ANTONIO SARABIA GARRAY                  </t>
    </r>
    <r>
      <rPr>
        <b/>
        <sz val="10"/>
        <color indexed="10"/>
        <rFont val="Arial Narrow"/>
        <family val="2"/>
      </rPr>
      <t>(Paraguaio)</t>
    </r>
  </si>
  <si>
    <r>
      <t xml:space="preserve">MARCOS WILLIAN SANTOS DA SILVA              </t>
    </r>
    <r>
      <rPr>
        <b/>
        <sz val="10"/>
        <color indexed="10"/>
        <rFont val="Arial Narrow"/>
        <family val="2"/>
      </rPr>
      <t>(Marquinhos)</t>
    </r>
  </si>
  <si>
    <r>
      <t xml:space="preserve">MARCUS MARTINS DE BARROS FILHO            </t>
    </r>
    <r>
      <rPr>
        <b/>
        <sz val="10"/>
        <color indexed="10"/>
        <rFont val="Arial Narrow"/>
        <family val="2"/>
      </rPr>
      <t>(Boita)</t>
    </r>
  </si>
  <si>
    <r>
      <t xml:space="preserve">MARCUS VINICIUS COSTA PINTO                 </t>
    </r>
    <r>
      <rPr>
        <b/>
        <sz val="10"/>
        <color indexed="10"/>
        <rFont val="Arial Narrow"/>
        <family val="2"/>
      </rPr>
      <t xml:space="preserve"> (Nariz)</t>
    </r>
  </si>
  <si>
    <r>
      <t xml:space="preserve">MARCOS VINICIUS MEHRET                       </t>
    </r>
    <r>
      <rPr>
        <b/>
        <sz val="10"/>
        <color indexed="10"/>
        <rFont val="Arial Narrow"/>
        <family val="2"/>
      </rPr>
      <t>( Natural )</t>
    </r>
  </si>
  <si>
    <r>
      <t xml:space="preserve">MARCOS VINICIUS BOGUTTE                            </t>
    </r>
    <r>
      <rPr>
        <b/>
        <sz val="10"/>
        <color indexed="10"/>
        <rFont val="Arial Narrow"/>
        <family val="2"/>
      </rPr>
      <t>(Pichinga)</t>
    </r>
  </si>
  <si>
    <r>
      <t xml:space="preserve">MARCOS LIMA DE SOUZA                    </t>
    </r>
    <r>
      <rPr>
        <b/>
        <sz val="10"/>
        <color indexed="10"/>
        <rFont val="Arial Narrow"/>
        <family val="2"/>
      </rPr>
      <t xml:space="preserve"> (Marcolino)</t>
    </r>
  </si>
  <si>
    <r>
      <t xml:space="preserve">MARCOS FERNANDO GARCIA                   </t>
    </r>
    <r>
      <rPr>
        <b/>
        <sz val="10"/>
        <color indexed="52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(Fefê)</t>
    </r>
  </si>
  <si>
    <r>
      <t xml:space="preserve">MARCOS FABRICIO JUSCZAK                           </t>
    </r>
    <r>
      <rPr>
        <b/>
        <sz val="10"/>
        <color indexed="10"/>
        <rFont val="Arial Narrow"/>
        <family val="2"/>
      </rPr>
      <t>(Fabio)</t>
    </r>
  </si>
  <si>
    <r>
      <t xml:space="preserve">MARCOS ANTONIO REVELIM                         </t>
    </r>
    <r>
      <rPr>
        <b/>
        <sz val="10"/>
        <color indexed="10"/>
        <rFont val="Arial Narrow"/>
        <family val="2"/>
      </rPr>
      <t>(Jabá)</t>
    </r>
  </si>
  <si>
    <r>
      <t xml:space="preserve">MARCOS ALESSANDRO BRITO               </t>
    </r>
    <r>
      <rPr>
        <b/>
        <sz val="10"/>
        <color indexed="10"/>
        <rFont val="Arial Narrow"/>
        <family val="2"/>
      </rPr>
      <t>(Coxinha)</t>
    </r>
  </si>
  <si>
    <r>
      <t xml:space="preserve">MARCOS ADRIANO SPONHOLZ                      </t>
    </r>
    <r>
      <rPr>
        <b/>
        <sz val="10"/>
        <color indexed="10"/>
        <rFont val="Arial Narrow"/>
        <family val="2"/>
      </rPr>
      <t>(Bicudo)</t>
    </r>
  </si>
  <si>
    <r>
      <t>MARCO AURELIO AMADOR</t>
    </r>
    <r>
      <rPr>
        <b/>
        <sz val="11"/>
        <color indexed="8"/>
        <rFont val="Arial Narrow"/>
        <family val="2"/>
      </rPr>
      <t xml:space="preserve">                          </t>
    </r>
    <r>
      <rPr>
        <b/>
        <sz val="10"/>
        <color indexed="10"/>
        <rFont val="Arial Narrow"/>
        <family val="2"/>
      </rPr>
      <t>(Buiu)</t>
    </r>
  </si>
  <si>
    <r>
      <t xml:space="preserve">MARCIO ANTONIO PINHEIRO                    </t>
    </r>
    <r>
      <rPr>
        <b/>
        <sz val="10"/>
        <color indexed="10"/>
        <rFont val="Arial Narrow"/>
        <family val="2"/>
      </rPr>
      <t>(Shangrila)</t>
    </r>
  </si>
  <si>
    <r>
      <t xml:space="preserve">MARCELO MUNHOZ                           </t>
    </r>
    <r>
      <rPr>
        <b/>
        <sz val="10"/>
        <color indexed="10"/>
        <rFont val="Arial Narrow"/>
        <family val="2"/>
      </rPr>
      <t>(Metal)</t>
    </r>
  </si>
  <si>
    <r>
      <t xml:space="preserve">MARCELO LOPES DE MATOS                    </t>
    </r>
    <r>
      <rPr>
        <b/>
        <sz val="10"/>
        <color indexed="10"/>
        <rFont val="Arial Narrow"/>
        <family val="2"/>
      </rPr>
      <t>(Burcão)</t>
    </r>
  </si>
  <si>
    <r>
      <t xml:space="preserve">MARCELO DE OLIVEIRA BARROS          </t>
    </r>
    <r>
      <rPr>
        <b/>
        <sz val="10"/>
        <color indexed="10"/>
        <rFont val="Arial Narrow"/>
        <family val="2"/>
      </rPr>
      <t>(Paraná)</t>
    </r>
  </si>
  <si>
    <r>
      <t xml:space="preserve">MARCELO DA CRUZ NUNES                 </t>
    </r>
    <r>
      <rPr>
        <b/>
        <sz val="10"/>
        <color indexed="10"/>
        <rFont val="Arial Narrow"/>
        <family val="2"/>
      </rPr>
      <t>(Gordinho)</t>
    </r>
  </si>
  <si>
    <r>
      <rPr>
        <b/>
        <sz val="10"/>
        <rFont val="Arial Narrow"/>
        <family val="2"/>
      </rPr>
      <t>MAICON RIBEIRO</t>
    </r>
    <r>
      <rPr>
        <b/>
        <sz val="10"/>
        <color indexed="10"/>
        <rFont val="Arial Narrow"/>
        <family val="2"/>
      </rPr>
      <t xml:space="preserve">                       (Gleisi)</t>
    </r>
  </si>
  <si>
    <r>
      <t xml:space="preserve">MAICON PONTES                                   </t>
    </r>
    <r>
      <rPr>
        <b/>
        <sz val="10"/>
        <color indexed="10"/>
        <rFont val="Arial Narrow"/>
        <family val="2"/>
      </rPr>
      <t>(Barata)</t>
    </r>
  </si>
  <si>
    <r>
      <t>MAICON HENRIQUE CORREIA</t>
    </r>
    <r>
      <rPr>
        <b/>
        <sz val="10"/>
        <color indexed="10"/>
        <rFont val="Arial Narrow"/>
        <family val="2"/>
      </rPr>
      <t xml:space="preserve">          (Sabiá)</t>
    </r>
  </si>
  <si>
    <r>
      <t xml:space="preserve">MAICON ALVES FRAGOSO                            </t>
    </r>
    <r>
      <rPr>
        <b/>
        <sz val="10"/>
        <color indexed="10"/>
        <rFont val="Arial Narrow"/>
        <family val="2"/>
      </rPr>
      <t xml:space="preserve"> (Japer)</t>
    </r>
  </si>
  <si>
    <r>
      <t xml:space="preserve">LUIZ PAULO CALISTO                        </t>
    </r>
    <r>
      <rPr>
        <b/>
        <sz val="10"/>
        <color indexed="10"/>
        <rFont val="Arial Narrow"/>
        <family val="2"/>
      </rPr>
      <t xml:space="preserve"> (Cigano / Zulu)</t>
    </r>
  </si>
  <si>
    <r>
      <t xml:space="preserve">LUIZ MARCELO FELIX                          </t>
    </r>
    <r>
      <rPr>
        <b/>
        <sz val="10"/>
        <color indexed="10"/>
        <rFont val="Arial Narrow"/>
        <family val="2"/>
      </rPr>
      <t>(Sassá)</t>
    </r>
  </si>
  <si>
    <r>
      <t xml:space="preserve">LUIZ HENRIQUE COUTRIN                  </t>
    </r>
    <r>
      <rPr>
        <b/>
        <sz val="10"/>
        <color indexed="10"/>
        <rFont val="Arial Narrow"/>
        <family val="2"/>
      </rPr>
      <t>(Bad Boy)</t>
    </r>
  </si>
  <si>
    <r>
      <t>LUIZ FERNANDO DE MELO</t>
    </r>
    <r>
      <rPr>
        <b/>
        <sz val="10"/>
        <color indexed="10"/>
        <rFont val="Arial Narrow"/>
        <family val="2"/>
      </rPr>
      <t xml:space="preserve">          (Ratinho / Pequeno / Diorrá)</t>
    </r>
  </si>
  <si>
    <r>
      <t>LUIZ ELEANDRO CORREA</t>
    </r>
    <r>
      <rPr>
        <b/>
        <sz val="10"/>
        <color indexed="10"/>
        <rFont val="Arial Narrow"/>
        <family val="2"/>
      </rPr>
      <t xml:space="preserve">                        (Capitão</t>
    </r>
    <r>
      <rPr>
        <b/>
        <sz val="10"/>
        <color indexed="53"/>
        <rFont val="Arial Narrow"/>
        <family val="2"/>
      </rPr>
      <t>)</t>
    </r>
  </si>
  <si>
    <r>
      <t xml:space="preserve">LUIZ DIVINO DA CRUZ                                  </t>
    </r>
    <r>
      <rPr>
        <b/>
        <sz val="10"/>
        <color indexed="10"/>
        <rFont val="Arial Narrow"/>
        <family val="2"/>
      </rPr>
      <t>(Corumbá)</t>
    </r>
  </si>
  <si>
    <r>
      <t xml:space="preserve">ADEMIR SEVERO DA SILVA       </t>
    </r>
    <r>
      <rPr>
        <b/>
        <sz val="10"/>
        <color indexed="10"/>
        <rFont val="Arial Narrow"/>
        <family val="2"/>
      </rPr>
      <t>(Ade)</t>
    </r>
  </si>
  <si>
    <r>
      <t xml:space="preserve">ADEMIR TIZONI                              </t>
    </r>
    <r>
      <rPr>
        <b/>
        <sz val="10"/>
        <color indexed="10"/>
        <rFont val="Arial Narrow"/>
        <family val="2"/>
      </rPr>
      <t>(Veinho)</t>
    </r>
  </si>
  <si>
    <r>
      <t xml:space="preserve">ADENEI RODRIGUES DA COSTA                </t>
    </r>
    <r>
      <rPr>
        <b/>
        <sz val="10"/>
        <color indexed="10"/>
        <rFont val="Arial Narrow"/>
        <family val="2"/>
      </rPr>
      <t>(Neno)</t>
    </r>
  </si>
  <si>
    <r>
      <t>ADILSON TEIXEIRA</t>
    </r>
    <r>
      <rPr>
        <b/>
        <sz val="10"/>
        <color indexed="10"/>
        <rFont val="Arial Narrow"/>
        <family val="2"/>
      </rPr>
      <t xml:space="preserve">              (Cocão)</t>
    </r>
  </si>
  <si>
    <r>
      <t xml:space="preserve">ADRIANO DE QUADROS            </t>
    </r>
    <r>
      <rPr>
        <b/>
        <sz val="10"/>
        <color indexed="10"/>
        <rFont val="Arial Narrow"/>
        <family val="2"/>
      </rPr>
      <t>(Housen)</t>
    </r>
  </si>
  <si>
    <r>
      <t xml:space="preserve">ADRIEL FERREIRA                            </t>
    </r>
    <r>
      <rPr>
        <b/>
        <sz val="10"/>
        <color indexed="10"/>
        <rFont val="Arial Narrow"/>
        <family val="2"/>
      </rPr>
      <t>(Lupita)</t>
    </r>
  </si>
  <si>
    <r>
      <t xml:space="preserve">AGNALDO FERREIRA MACHADO         </t>
    </r>
    <r>
      <rPr>
        <b/>
        <sz val="10"/>
        <color indexed="10"/>
        <rFont val="Arial Narrow"/>
        <family val="2"/>
      </rPr>
      <t>(Tal)</t>
    </r>
  </si>
  <si>
    <r>
      <t xml:space="preserve">AIRTON DE OLIVEIRA                               </t>
    </r>
    <r>
      <rPr>
        <b/>
        <sz val="10"/>
        <color indexed="10"/>
        <rFont val="Arial Narrow"/>
        <family val="2"/>
      </rPr>
      <t>(Garra/Primo)</t>
    </r>
  </si>
  <si>
    <r>
      <t xml:space="preserve">ALBERTO KRUPNISKI             </t>
    </r>
    <r>
      <rPr>
        <b/>
        <sz val="10"/>
        <color indexed="10"/>
        <rFont val="Arial Narrow"/>
        <family val="2"/>
      </rPr>
      <t>(Dago/Dagoberto)</t>
    </r>
  </si>
  <si>
    <r>
      <t xml:space="preserve">ALESSANDRO CORREA GONÇALVES        </t>
    </r>
    <r>
      <rPr>
        <b/>
        <sz val="10"/>
        <color indexed="10"/>
        <rFont val="Arial Narrow"/>
        <family val="2"/>
      </rPr>
      <t>(Cabeção)</t>
    </r>
  </si>
  <si>
    <r>
      <t xml:space="preserve">ALEX RODRIGUES BATISTA                </t>
    </r>
    <r>
      <rPr>
        <b/>
        <sz val="10"/>
        <color indexed="10"/>
        <rFont val="Arial Narrow"/>
        <family val="2"/>
      </rPr>
      <t>(Lacraia)</t>
    </r>
  </si>
  <si>
    <r>
      <t xml:space="preserve">ALEXANDRO DOS SANTOS                                </t>
    </r>
    <r>
      <rPr>
        <b/>
        <sz val="10"/>
        <color indexed="10"/>
        <rFont val="Arial Narrow"/>
        <family val="2"/>
      </rPr>
      <t>(Spock)</t>
    </r>
  </si>
  <si>
    <r>
      <t xml:space="preserve">ALEXANDRE ROBERTO BOITA          </t>
    </r>
    <r>
      <rPr>
        <b/>
        <sz val="10"/>
        <color indexed="53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(Serpila)</t>
    </r>
  </si>
  <si>
    <r>
      <t xml:space="preserve">ALEXSANDRO RODRIGUES DE PAULA     </t>
    </r>
    <r>
      <rPr>
        <b/>
        <sz val="10"/>
        <color indexed="10"/>
        <rFont val="Arial Narrow"/>
        <family val="2"/>
      </rPr>
      <t>(Arainha / Teia)</t>
    </r>
  </si>
  <si>
    <r>
      <t xml:space="preserve">ALISSON LUIZ TELES DE SOUZA          </t>
    </r>
    <r>
      <rPr>
        <b/>
        <sz val="10"/>
        <color indexed="10"/>
        <rFont val="Arial Narrow"/>
        <family val="2"/>
      </rPr>
      <t>(Porvinha)</t>
    </r>
  </si>
  <si>
    <r>
      <t xml:space="preserve">ALISSON ROBERTO VELOSO        </t>
    </r>
    <r>
      <rPr>
        <b/>
        <sz val="10"/>
        <color indexed="10"/>
        <rFont val="Arial Narrow"/>
        <family val="2"/>
      </rPr>
      <t>(Rato Branco)</t>
    </r>
  </si>
  <si>
    <r>
      <t>ALISSON ROGERIO CAMARGO</t>
    </r>
    <r>
      <rPr>
        <b/>
        <sz val="10"/>
        <color indexed="10"/>
        <rFont val="Arial Narrow"/>
        <family val="2"/>
      </rPr>
      <t xml:space="preserve">          (Chico)</t>
    </r>
  </si>
  <si>
    <r>
      <t xml:space="preserve">CARLOS ANTONIO PIRES                </t>
    </r>
    <r>
      <rPr>
        <b/>
        <sz val="10"/>
        <color indexed="10"/>
        <rFont val="Arial Narrow"/>
        <family val="2"/>
      </rPr>
      <t>(Tio Carlinho)</t>
    </r>
  </si>
  <si>
    <r>
      <t xml:space="preserve">CARLOS DA SILVA COSTA                            </t>
    </r>
    <r>
      <rPr>
        <b/>
        <sz val="10"/>
        <color indexed="10"/>
        <rFont val="Arial Narrow"/>
        <family val="2"/>
      </rPr>
      <t>(Gardenal)</t>
    </r>
  </si>
  <si>
    <r>
      <t>CARLOS LUIZ FREITAS</t>
    </r>
    <r>
      <rPr>
        <b/>
        <sz val="10"/>
        <color indexed="10"/>
        <rFont val="Arial Narrow"/>
        <family val="2"/>
      </rPr>
      <t xml:space="preserve">                   (Veio)</t>
    </r>
  </si>
  <si>
    <r>
      <t xml:space="preserve">CARLOS ROSNEI CESAR                      C532   </t>
    </r>
    <r>
      <rPr>
        <b/>
        <sz val="10"/>
        <color indexed="10"/>
        <rFont val="Arial Narrow"/>
        <family val="2"/>
      </rPr>
      <t xml:space="preserve"> (Caio)</t>
    </r>
  </si>
  <si>
    <t>63.904</t>
  </si>
  <si>
    <t>52.429</t>
  </si>
  <si>
    <t>110.071</t>
  </si>
  <si>
    <t>50.332</t>
  </si>
  <si>
    <t>63.883</t>
  </si>
  <si>
    <t>63.697</t>
  </si>
  <si>
    <t>63.851</t>
  </si>
  <si>
    <t>CDR PIRAQUARA</t>
  </si>
  <si>
    <t>PEL</t>
  </si>
  <si>
    <t>FOZ</t>
  </si>
  <si>
    <t>PIRAQUARA</t>
  </si>
  <si>
    <t>MARCELO DA LUZ MARTINS DOS SANTOS</t>
  </si>
  <si>
    <r>
      <t xml:space="preserve">GIAN LUCAS DA SILVA                     </t>
    </r>
    <r>
      <rPr>
        <b/>
        <sz val="10"/>
        <color indexed="10"/>
        <rFont val="Arial Narrow"/>
        <family val="2"/>
      </rPr>
      <t>(Damaloca)</t>
    </r>
  </si>
  <si>
    <r>
      <t xml:space="preserve">GILBERTO DE JESUS                            </t>
    </r>
    <r>
      <rPr>
        <b/>
        <sz val="10"/>
        <color indexed="10"/>
        <rFont val="Arial Narrow"/>
        <family val="2"/>
      </rPr>
      <t>(Gil)</t>
    </r>
  </si>
  <si>
    <r>
      <t xml:space="preserve">GILBERTO GRZIEBELUCA                     </t>
    </r>
    <r>
      <rPr>
        <b/>
        <sz val="10"/>
        <color indexed="10"/>
        <rFont val="Arial Narrow"/>
        <family val="2"/>
      </rPr>
      <t>(Bequinho)</t>
    </r>
  </si>
  <si>
    <r>
      <t xml:space="preserve">GILBERTO GRZIEBELUCA                    </t>
    </r>
    <r>
      <rPr>
        <b/>
        <sz val="10"/>
        <color indexed="10"/>
        <rFont val="Arial Narrow"/>
        <family val="2"/>
      </rPr>
      <t xml:space="preserve"> (Bequinho)     </t>
    </r>
  </si>
  <si>
    <r>
      <t xml:space="preserve">GILBERTO LIMA BARBOSA           </t>
    </r>
    <r>
      <rPr>
        <b/>
        <sz val="10"/>
        <color indexed="10"/>
        <rFont val="Arial Narrow"/>
        <family val="2"/>
      </rPr>
      <t>(Gordo)</t>
    </r>
  </si>
  <si>
    <r>
      <rPr>
        <b/>
        <sz val="10"/>
        <rFont val="Arial Narrow"/>
        <family val="2"/>
      </rPr>
      <t xml:space="preserve">GILMAR DOS SANTOS BANDEIRA              </t>
    </r>
    <r>
      <rPr>
        <b/>
        <sz val="10"/>
        <color indexed="10"/>
        <rFont val="Arial Narrow"/>
        <family val="2"/>
      </rPr>
      <t xml:space="preserve"> (Espeto)</t>
    </r>
  </si>
  <si>
    <t>CLEBER MARCELO FERREIRA</t>
  </si>
  <si>
    <t>FABIO DE SOUZA MARTINS</t>
  </si>
  <si>
    <t>JULIANO SILVA FURMANIAK</t>
  </si>
  <si>
    <t>LEONARDO ALCEU FERREIRA FOLKUENING</t>
  </si>
  <si>
    <t>COLONIA</t>
  </si>
  <si>
    <t>JOCELIO NOEMA</t>
  </si>
  <si>
    <t>ROBERTO GONÇALVES FAGUNDES</t>
  </si>
  <si>
    <t>PAULO SERGIO SILVA</t>
  </si>
  <si>
    <t>ALEXANDRE FERREIRA BERNERT</t>
  </si>
  <si>
    <t>DANIEL DE ANDRADE CHIMESKI</t>
  </si>
  <si>
    <t>RODRIGO FEDESHI</t>
  </si>
  <si>
    <t>ANDERSON DA SILVA CUSTODIO</t>
  </si>
  <si>
    <t>IZAIAS REQUIAO ALVES</t>
  </si>
  <si>
    <t>GIOVANE HENRIQUE SIEIRA</t>
  </si>
  <si>
    <t>JAMES IGOR MADUREIRA</t>
  </si>
  <si>
    <t>ERICKSON LEONARDO LOPES RODRIGUES PEREIRA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</si>
  <si>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</si>
  <si>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ANDRE MARTINS ALVES</t>
  </si>
  <si>
    <t>LEANDRO RAFAEL VICENTE</t>
  </si>
  <si>
    <t>PAULO HENRIQUE DERKACZ</t>
  </si>
  <si>
    <t>RICHARDISON JUNIO DOS SANTOS</t>
  </si>
  <si>
    <t>FLAVIO LINHARES DE LARA</t>
  </si>
  <si>
    <t>FLAVIO HENRIQUE MIRANDA MENDES</t>
  </si>
  <si>
    <t>DIONIZIO AMBROZIO NETTO</t>
  </si>
  <si>
    <t>FERNANDO RODRIGUES TEODORO</t>
  </si>
  <si>
    <t>LUCAS ROSA ANDERSON</t>
  </si>
  <si>
    <t>lapa</t>
  </si>
  <si>
    <t>ACASSIO DA PAZ</t>
  </si>
  <si>
    <r>
      <t xml:space="preserve">THIAGO OLIVEIRA DOS SANTOS     </t>
    </r>
    <r>
      <rPr>
        <b/>
        <sz val="10"/>
        <color indexed="10"/>
        <rFont val="Arial Narrow"/>
        <family val="2"/>
      </rPr>
      <t>(Tiaguinho)</t>
    </r>
  </si>
  <si>
    <t>ELEANDERSON LOPES</t>
  </si>
  <si>
    <t>DIOGO ASSIS DZULINSKI</t>
  </si>
  <si>
    <t>RENAN MOREIRA DOS SANTOS</t>
  </si>
  <si>
    <t>MATHEUS RODRIGUES GOMES</t>
  </si>
  <si>
    <t>ANDERSON MICKEL SCHROEDER</t>
  </si>
  <si>
    <t>ALEXSANDRO LUIS NUNES</t>
  </si>
  <si>
    <t>KEVIN FERREIRA DE PAIVA</t>
  </si>
  <si>
    <t>WANDYNSON RICHTER GERA</t>
  </si>
  <si>
    <t>ANDERSON PEREIRA LIMA</t>
  </si>
  <si>
    <t>PETERSON FERREIRA</t>
  </si>
  <si>
    <t>RENAN MACIEL</t>
  </si>
  <si>
    <t>JOHN MAICON DOS SANTOS CASTRO</t>
  </si>
  <si>
    <t>ANDREY VINICIUS BOLGENHAGEN POLATO</t>
  </si>
  <si>
    <t>FOZ DO IGUAÇU</t>
  </si>
  <si>
    <t>GABRIEL GUSSO RODRIGUES</t>
  </si>
  <si>
    <t>RENATO SIQUEIRA CANABARRO</t>
  </si>
  <si>
    <t>CARLOS AUGUSTO CAMARGO JARONSKI</t>
  </si>
  <si>
    <t>CARLOS HENRIQUE RICHUITI COSTA</t>
  </si>
  <si>
    <t>REGINALDO APARECIDO CRUZ NASCIMENTO</t>
  </si>
  <si>
    <t>JEAN WENDERSON GREGORIO</t>
  </si>
  <si>
    <t>MATHEUS MENDES RABELO</t>
  </si>
  <si>
    <t>DAYVID RICARDO V. L. DE SOUZA</t>
  </si>
  <si>
    <t>ALVARÁ DE SOLTURA</t>
  </si>
  <si>
    <t>EDNILSON MARTINS FARIAS</t>
  </si>
  <si>
    <t>JOSE DOUGLAS WILLIAN PALHANO</t>
  </si>
  <si>
    <t>MATHEUS VALDECI SIQUEIRA ROSA DOS SANTOS</t>
  </si>
  <si>
    <t>FRANCIEL RODRIGUES DIAS</t>
  </si>
  <si>
    <t>RODRIGO SANTOS RODRIGUES</t>
  </si>
  <si>
    <t>SHELDON VERZA</t>
  </si>
  <si>
    <t>EDENILSON MARTIMS FARIAS</t>
  </si>
  <si>
    <t>JACKSON DOS SANTOS</t>
  </si>
  <si>
    <t>EDSON COSTA SLONATO JUNIOR</t>
  </si>
  <si>
    <t>RICARDO CAETANO VALENTIN</t>
  </si>
  <si>
    <t>ALEXSON RODRIGUES LEITE</t>
  </si>
  <si>
    <t>BIANCO MACHADO DE FARIAS</t>
  </si>
  <si>
    <t>CLAUDINEI PEDRO COPI</t>
  </si>
  <si>
    <t>LORELAI MARCELO BORGO</t>
  </si>
  <si>
    <r>
      <t>ALISSON DE FREITAS</t>
    </r>
    <r>
      <rPr>
        <b/>
        <sz val="10"/>
        <color indexed="10"/>
        <rFont val="Arial Narrow"/>
        <family val="2"/>
      </rPr>
      <t xml:space="preserve"> (Tinho)</t>
    </r>
  </si>
  <si>
    <t>ALESSANDRO LUIS SOARES DE ALMEIDA</t>
  </si>
  <si>
    <t>PAULO SÉRGIO CAMARGO</t>
  </si>
  <si>
    <t>CLEVERSON COLASSO DE GOIS</t>
  </si>
  <si>
    <t>LUCINEI SEBASTIÃO DE ANDRADE</t>
  </si>
  <si>
    <t>RODRIGO LOURENÇO DA SILVA</t>
  </si>
  <si>
    <t>EDERSON RAMOS COSTA</t>
  </si>
  <si>
    <t>LUAN RUYLIAN VIANA DE OLIVEIRA</t>
  </si>
  <si>
    <t>LUCIANO DOS ANJOS DE OLIVEIRA</t>
  </si>
  <si>
    <t>MARCIO PEREIRA RAMOS</t>
  </si>
  <si>
    <t>DANILO DOS SANTOS VELOSO</t>
  </si>
  <si>
    <t>ALEF ADRIANO SAMPAIO</t>
  </si>
  <si>
    <t>OBRA SERVO</t>
  </si>
  <si>
    <t>CHRISTIAN EMANUEL SILVÉRIO PEREIRA</t>
  </si>
  <si>
    <t>JORGE LUIS ORGI</t>
  </si>
  <si>
    <r>
      <t xml:space="preserve">CLAILTON JOSUE MENDES </t>
    </r>
    <r>
      <rPr>
        <b/>
        <sz val="10"/>
        <color indexed="10"/>
        <rFont val="Arial Narrow"/>
        <family val="2"/>
      </rPr>
      <t>(Pimpolho)</t>
    </r>
  </si>
  <si>
    <t>ANTONIO JUNIOR PASIECZNIK</t>
  </si>
  <si>
    <t>GABRIEL JOSE SILVEIRA DA SILVA</t>
  </si>
  <si>
    <t>GUILHERME GUILLEN HURTADO</t>
  </si>
  <si>
    <t>GILBERTO CHAVES</t>
  </si>
  <si>
    <t>JONATHAN HASS PEREIRA</t>
  </si>
  <si>
    <t>LUCAS AFONSO EURICH</t>
  </si>
  <si>
    <t>LUCAS RODRIGUES DA CUNHA</t>
  </si>
  <si>
    <t>VICTOR RAFAEL GADONSKI</t>
  </si>
  <si>
    <t>DIEGO GONÇALVES PENTEADO</t>
  </si>
  <si>
    <t>JONATAS AILTON VIEIRA</t>
  </si>
  <si>
    <t>LEANDRO DA SILVA RAMOS</t>
  </si>
  <si>
    <t>PAULO CEZAR MOTINHO</t>
  </si>
  <si>
    <t>FOI-SE(15/05/2020)</t>
  </si>
  <si>
    <t>ELISANDRO DOS SANTOS JACQUES COELHO</t>
  </si>
  <si>
    <t>JAGUARIAIVA</t>
  </si>
  <si>
    <t>MAURO NABOSNY</t>
  </si>
  <si>
    <t>CLEVERSON DELLER MENDES</t>
  </si>
  <si>
    <t>MARCIO DOS SANTOS</t>
  </si>
  <si>
    <t>ANDERSON DE OLIVEIRA RIBAS</t>
  </si>
  <si>
    <t xml:space="preserve">SAINT CLAIR DE LIMA </t>
  </si>
  <si>
    <t>COZINHA C</t>
  </si>
  <si>
    <t>FAXINA A</t>
  </si>
  <si>
    <t>FELIPE CRUZ OLIVEIRA</t>
  </si>
  <si>
    <t>ALEXANDRE DA ROSA DOS PASSOS</t>
  </si>
  <si>
    <t>ELIELSON BARBOSA ALVES</t>
  </si>
  <si>
    <t>GREGORY HENRIQUE CHAGAS SANTOS</t>
  </si>
  <si>
    <t>JONATAS MACIEL DE MELLO</t>
  </si>
  <si>
    <t>LEANDRO DOS SANTOS CARNEIRO</t>
  </si>
  <si>
    <t>LUIZ CARLOS ZENEVICH DIAS</t>
  </si>
  <si>
    <t>LUIZ FELIPE DUTRA DO VALE</t>
  </si>
  <si>
    <t>RONALDO CARDOSO DOS SANTOS</t>
  </si>
  <si>
    <t>ANDRE RAFAEL CORDEIRO</t>
  </si>
  <si>
    <t>JOSE LUIZ CHAVES</t>
  </si>
  <si>
    <t>JOÃO RENATO DE MATOS</t>
  </si>
  <si>
    <t>ANDERSON JOSE DOS SANTOS</t>
  </si>
  <si>
    <t>JONATHAN ISAIAS L. DE ALMEIDA</t>
  </si>
  <si>
    <t>RICARDO GONÇALVES DOS SANTOS</t>
  </si>
  <si>
    <t>MATEUS DE PAULA ANDRADE</t>
  </si>
  <si>
    <t>ADRIANO ZAGOMEL</t>
  </si>
  <si>
    <t>JAISON PEREIRA DA LUZ CORDEIRO</t>
  </si>
  <si>
    <t>JOSE JARDEL INACIO</t>
  </si>
  <si>
    <t>NATHAN CORREA ROGENSKI BISCAIA</t>
  </si>
  <si>
    <t>JACKSON ANDRE DE ANDRADE LIMA</t>
  </si>
  <si>
    <t>NELSON JOSE PEREIRA SILLA</t>
  </si>
  <si>
    <t>CARLOS AUGUSTO PEREIRA</t>
  </si>
  <si>
    <t>FERNANDO KRUMENAUER DE OLIVEIRA</t>
  </si>
  <si>
    <t>ISOLAMENTO</t>
  </si>
  <si>
    <t>GABRIEL STEFANCZAK FERNANDES</t>
  </si>
  <si>
    <t>KELVIN FERREIRA SCHEUNEMANN</t>
  </si>
  <si>
    <t>003/07/2020</t>
  </si>
  <si>
    <t xml:space="preserve">GUILHERME PEREIRA DA SILVA </t>
  </si>
  <si>
    <t>JOAO ALBERTO TULLIO</t>
  </si>
  <si>
    <t>PEPG/US</t>
  </si>
  <si>
    <t>EVERSON RODRIGO GREGÓRIO</t>
  </si>
  <si>
    <t>CLEBER LUIS MONTEIRO</t>
  </si>
  <si>
    <r>
      <t xml:space="preserve">JOSE LUIS DE SOUZA MACIEL </t>
    </r>
    <r>
      <rPr>
        <b/>
        <sz val="10"/>
        <color rgb="FFFF0000"/>
        <rFont val="Arial Narrow"/>
        <family val="2"/>
      </rPr>
      <t>(Polaquinho)</t>
    </r>
  </si>
  <si>
    <r>
      <t>MAICKSON FELIPE SIELSKI MORAIS</t>
    </r>
    <r>
      <rPr>
        <b/>
        <sz val="10"/>
        <color rgb="FFFF0000"/>
        <rFont val="Arial Narrow"/>
        <family val="2"/>
      </rPr>
      <t xml:space="preserve"> (MK)</t>
    </r>
  </si>
  <si>
    <r>
      <t>JOSNALDO SANTOS GONÇALVES</t>
    </r>
    <r>
      <rPr>
        <b/>
        <sz val="10"/>
        <color rgb="FFFF0000"/>
        <rFont val="Arial Narrow"/>
        <family val="2"/>
      </rPr>
      <t xml:space="preserve"> (Polaquinho)</t>
    </r>
  </si>
  <si>
    <t>JOSE WILSON F. CARVALHO</t>
  </si>
  <si>
    <t>LEANDRO FAGUNDES</t>
  </si>
  <si>
    <t>RODRIGO PEDROSO RIBAS</t>
  </si>
  <si>
    <t>JOSÉ REIS DE BRITO</t>
  </si>
  <si>
    <t>RONALDO ALVES FERREIRA</t>
  </si>
  <si>
    <t>LUIZ CARLOS AGOSTINI</t>
  </si>
  <si>
    <t>DAVID ANTÔNIO BATISTA DE ALVARENGA</t>
  </si>
  <si>
    <t>LUCIANO SILVA CABRAL LOPES</t>
  </si>
  <si>
    <t>CARLOS ROBERTO VAZ DE OLIVEIRA</t>
  </si>
  <si>
    <t>MARCELO TEIXEIRA</t>
  </si>
  <si>
    <t>ALEXSANDRO DE MOURA</t>
  </si>
  <si>
    <t>IGOR FERREIRA OLIVEIRA</t>
  </si>
  <si>
    <t>WILLIAN MARTINS DA ROCHA</t>
  </si>
  <si>
    <t>LUCAS EDNILSON LEWANDOSKI</t>
  </si>
  <si>
    <t>FERNANDO DOS REIS FIGUEIREDO</t>
  </si>
  <si>
    <r>
      <t xml:space="preserve">GUILHERME PEREIRA DA SILVA </t>
    </r>
    <r>
      <rPr>
        <b/>
        <sz val="10"/>
        <color rgb="FFFF0000"/>
        <rFont val="Arial Narrow"/>
        <family val="2"/>
      </rPr>
      <t>(MAE ELIANE)</t>
    </r>
  </si>
  <si>
    <t>JOSMAR MACHADO DA SILVA</t>
  </si>
  <si>
    <t>CARLOS HENRIQUE VIEIRA DA ROSA</t>
  </si>
  <si>
    <t>MARCO FERNANDO MACHADO DA SILVA</t>
  </si>
  <si>
    <t>JAILSON APARECIDO DOS SANTOS</t>
  </si>
  <si>
    <t>PULVERIZADOR</t>
  </si>
  <si>
    <t>ANDRE FELIPE STORI</t>
  </si>
  <si>
    <t>DOUGLAS MESSIAS GUTOCK</t>
  </si>
  <si>
    <t>PAULO RICARDO TEIXEIRA</t>
  </si>
  <si>
    <t>MAURICIO LEO OLIVEIRA DE LARA</t>
  </si>
  <si>
    <t>ANTONIO NEREU PEDROSO</t>
  </si>
  <si>
    <t>JOSIAS DA SILVA</t>
  </si>
  <si>
    <t>EDENILSON BATISTA MOREIRA</t>
  </si>
  <si>
    <t>JANDERSON M. RODRIGUES</t>
  </si>
  <si>
    <t>JOSÉ CARLOS JAQUES</t>
  </si>
  <si>
    <t>LEANDRO APARECIDO C. E SILVA</t>
  </si>
  <si>
    <t>DONIZETE JOSÉ DE ALMEIDA</t>
  </si>
  <si>
    <t>MATEUS BUTEN DA SILVA</t>
  </si>
  <si>
    <t>ERLI MARTINS DE ALMEIDA</t>
  </si>
  <si>
    <t>JOSÉ FRANCISCO NETO</t>
  </si>
  <si>
    <t>ALEXANDRE HENRIQUE DOS SANTOS</t>
  </si>
  <si>
    <t>OSEIAS MOREIRA PALHANO</t>
  </si>
  <si>
    <t>RODRIGO DOS  REIS FIGUEIREDO</t>
  </si>
  <si>
    <r>
      <t xml:space="preserve">JOSE ADEMIR DOS REIS </t>
    </r>
    <r>
      <rPr>
        <b/>
        <sz val="10"/>
        <color rgb="FFFF0000"/>
        <rFont val="Arial Narrow"/>
        <family val="2"/>
      </rPr>
      <t>(Milo)</t>
    </r>
  </si>
  <si>
    <t>JOELCIO MALETZ</t>
  </si>
  <si>
    <t>EVANDRO NEREU DA SILVA</t>
  </si>
  <si>
    <t>WILLIAN FERNANDO DA CONCEIÇÃO INÁCIO</t>
  </si>
  <si>
    <t>RSA LAPA</t>
  </si>
  <si>
    <t>GIOVANNI DA CONCEIÇAO R. DOS SANTOS</t>
  </si>
  <si>
    <t>JOSÉ EDUARDO KRUMENAER DE OLIVEIRA</t>
  </si>
  <si>
    <t>DIEGO FELIPE DE ANDRADE</t>
  </si>
  <si>
    <t>MARLON SOARES DA SILVA</t>
  </si>
  <si>
    <t>ANTONIO CARLOS GONÇALVES DA ROCHA</t>
  </si>
  <si>
    <t>ELIFAS DA SILVA FERREIRA</t>
  </si>
  <si>
    <t>LEANDRO XAVIER       (Faustão)</t>
  </si>
  <si>
    <t>TIAGO CUSTODIO</t>
  </si>
  <si>
    <t>JOAO MARIA SCHENEIDER</t>
  </si>
  <si>
    <t>CEZAR NATANAEL NOGUEIRA DE  LIMA</t>
  </si>
  <si>
    <t>ANSELMO FRANÇA</t>
  </si>
  <si>
    <t>LEANDRO BORGES DA CONCEIÇAO</t>
  </si>
  <si>
    <t>HERIK WALMIR NUNES</t>
  </si>
  <si>
    <t xml:space="preserve">JULIO FERNANDO BORGES </t>
  </si>
  <si>
    <t xml:space="preserve">IZAIAS REQUIAO ALVES </t>
  </si>
  <si>
    <t>IGOR GABRIEL ROTH DE CAMPOS</t>
  </si>
  <si>
    <t>LUYDY HENRIQUE MARTINS</t>
  </si>
  <si>
    <t>VAGNER LINCOLN FLORINDO</t>
  </si>
  <si>
    <t>14/092020</t>
  </si>
  <si>
    <t>liberdade condicional</t>
  </si>
  <si>
    <t>ISOLADO/SANÇÃO</t>
  </si>
  <si>
    <t>FABRIZIO ROBERTO MARTINS</t>
  </si>
  <si>
    <t>LOURIVAL DOS SANTOS BUENO</t>
  </si>
  <si>
    <t>JOSIMAR DOS SANTOS</t>
  </si>
  <si>
    <t>ROSNEI DE ALMEIDA</t>
  </si>
  <si>
    <t>COVID</t>
  </si>
  <si>
    <r>
      <t xml:space="preserve">GILBERTO GRZIEBELUCA </t>
    </r>
    <r>
      <rPr>
        <b/>
        <sz val="10"/>
        <color rgb="FFFF0000"/>
        <rFont val="Arial Narrow"/>
        <family val="2"/>
      </rPr>
      <t>(Bequinho)</t>
    </r>
  </si>
  <si>
    <r>
      <t xml:space="preserve">NILTON CESAR ALVES POSSIDONIO </t>
    </r>
    <r>
      <rPr>
        <b/>
        <sz val="10"/>
        <color rgb="FFFF0000"/>
        <rFont val="Arial Narrow"/>
        <family val="2"/>
      </rPr>
      <t>(Carretilha)</t>
    </r>
  </si>
  <si>
    <r>
      <t xml:space="preserve">ADRIEL FERREIRA  </t>
    </r>
    <r>
      <rPr>
        <b/>
        <sz val="10"/>
        <color rgb="FFFF0000"/>
        <rFont val="Arial Narrow"/>
        <family val="2"/>
      </rPr>
      <t>(Lupita)</t>
    </r>
  </si>
  <si>
    <r>
      <t xml:space="preserve">CARLOS ANTONIO PIRES </t>
    </r>
    <r>
      <rPr>
        <b/>
        <sz val="10"/>
        <color rgb="FFFF0000"/>
        <rFont val="Arial Narrow"/>
        <family val="2"/>
      </rPr>
      <t xml:space="preserve"> (Tio Carlinho)</t>
    </r>
  </si>
  <si>
    <r>
      <t xml:space="preserve">ELVIS RAYLSON PEREIRA DA SILVA </t>
    </r>
    <r>
      <rPr>
        <b/>
        <sz val="10"/>
        <color rgb="FFFF0000"/>
        <rFont val="Arial Narrow"/>
        <family val="2"/>
      </rPr>
      <t>(Pingo)</t>
    </r>
  </si>
  <si>
    <r>
      <t xml:space="preserve">JEANSON POLHUHA  </t>
    </r>
    <r>
      <rPr>
        <b/>
        <sz val="10"/>
        <color rgb="FFFF0000"/>
        <rFont val="Arial Narrow"/>
        <family val="2"/>
      </rPr>
      <t>(Chupeta)</t>
    </r>
  </si>
  <si>
    <t>GUILHERME TALEVI STOLLE FIQUER</t>
  </si>
  <si>
    <t>JEFERSON GUARACI GONÇALO</t>
  </si>
  <si>
    <t>JULIANO FERREIRA (nanico)</t>
  </si>
  <si>
    <t>ELIEBER HENRIQUE SCHULTZ (grilo)</t>
  </si>
  <si>
    <t>JULIANO FERREIRA</t>
  </si>
  <si>
    <t>cmp</t>
  </si>
  <si>
    <t>mauro miguel</t>
  </si>
  <si>
    <t>PAULO SERGIO COELHO FERREIRA (Paeta/Mineiro)</t>
  </si>
  <si>
    <t>MAIKON WILLIAM DE OLIVEIRA BARBOZA</t>
  </si>
  <si>
    <t>JOSNEI FERNANDES DE ALMEIDA</t>
  </si>
  <si>
    <t>ROBSON DE JESUS FURQUIM</t>
  </si>
  <si>
    <t>RODRIGO DA SILVA JORDÃO</t>
  </si>
  <si>
    <t>MARCOS PAULO ROBERTO DA COSTA</t>
  </si>
  <si>
    <t>VINICIUS ROSA</t>
  </si>
  <si>
    <t>JOAO VITOR DA ANNUNCIAÇÃO DE BASTOS</t>
  </si>
  <si>
    <t>JOAO GUILHERME GRANELLA</t>
  </si>
  <si>
    <t>JOAO CARLOS SAMPAIO DOS SANTOS</t>
  </si>
  <si>
    <t>LEONARDO BUENO DOS SANTOS</t>
  </si>
  <si>
    <t>JURACI LARA RIBAS</t>
  </si>
  <si>
    <t>RENAN WESLEY SANTOS</t>
  </si>
  <si>
    <t/>
  </si>
  <si>
    <t>INTIMA</t>
  </si>
  <si>
    <t>ELISEU GONÇALVES DOS SANTOS</t>
  </si>
  <si>
    <r>
      <t xml:space="preserve">WILSON PINHEIRO </t>
    </r>
    <r>
      <rPr>
        <b/>
        <sz val="10"/>
        <color rgb="FFFF0000"/>
        <rFont val="Arial Narrow"/>
        <family val="2"/>
      </rPr>
      <t>(DI)</t>
    </r>
  </si>
  <si>
    <t>FAX.  / BARB.</t>
  </si>
  <si>
    <t>COZINHA</t>
  </si>
  <si>
    <t>TÉRCIO JULIANO DOS SANTOS</t>
  </si>
  <si>
    <t>MAURO MIGUEL</t>
  </si>
  <si>
    <t>ANDRÉ RAFAEL CORDEIRO</t>
  </si>
  <si>
    <t>LEONARDO MALAQUIAS</t>
  </si>
  <si>
    <r>
      <t xml:space="preserve">EDSON LUIS VALERIO </t>
    </r>
    <r>
      <rPr>
        <b/>
        <sz val="10"/>
        <color rgb="FFFF0000"/>
        <rFont val="Arial Narrow"/>
        <family val="2"/>
      </rPr>
      <t>(Chiqueirinho)</t>
    </r>
  </si>
  <si>
    <r>
      <t xml:space="preserve">THIAGO FERREIRA CORREIA </t>
    </r>
    <r>
      <rPr>
        <b/>
        <sz val="10"/>
        <color rgb="FFFF0000"/>
        <rFont val="Arial Narrow"/>
        <family val="2"/>
      </rPr>
      <t>(Neguinho)</t>
    </r>
  </si>
  <si>
    <t>CARLOS EDENILSON MONTEIRO DE CAMARGO(Guga)</t>
  </si>
  <si>
    <r>
      <t xml:space="preserve">DYONI WILLIAN PEREIRA </t>
    </r>
    <r>
      <rPr>
        <b/>
        <sz val="10"/>
        <color rgb="FFFF0000"/>
        <rFont val="Arial Narrow"/>
        <family val="2"/>
      </rPr>
      <t>(Dioninho)</t>
    </r>
  </si>
  <si>
    <r>
      <t xml:space="preserve">CLEIDERSON DOS SANTOS DE OLIVEIRA </t>
    </r>
    <r>
      <rPr>
        <b/>
        <sz val="10"/>
        <color rgb="FFFF0000"/>
        <rFont val="Arial Narrow"/>
        <family val="2"/>
      </rPr>
      <t>(Bixigo)</t>
    </r>
  </si>
  <si>
    <r>
      <t xml:space="preserve">LUIZ AUGUSTO MARCONDES DE OLIVEIRA </t>
    </r>
    <r>
      <rPr>
        <b/>
        <sz val="10"/>
        <color rgb="FFFF0000"/>
        <rFont val="Arial Narrow"/>
        <family val="2"/>
      </rPr>
      <t>(Gugu)</t>
    </r>
  </si>
  <si>
    <r>
      <t xml:space="preserve">ROBSON JOE MACHADO FERNANDES </t>
    </r>
    <r>
      <rPr>
        <b/>
        <sz val="10"/>
        <color rgb="FFFF0000"/>
        <rFont val="Arial Narrow"/>
        <family val="2"/>
      </rPr>
      <t>(Curitiba)</t>
    </r>
  </si>
  <si>
    <r>
      <t>MANOEL PINHEIRO NETO</t>
    </r>
    <r>
      <rPr>
        <b/>
        <sz val="10"/>
        <color rgb="FFFF0000"/>
        <rFont val="Arial Narrow"/>
        <family val="2"/>
      </rPr>
      <t xml:space="preserve"> (Neto)</t>
    </r>
  </si>
  <si>
    <r>
      <t xml:space="preserve">JOSE RIVANDO LIMA DA SILVA </t>
    </r>
    <r>
      <rPr>
        <b/>
        <sz val="10"/>
        <color rgb="FFFF0000"/>
        <rFont val="Arial Narrow"/>
        <family val="2"/>
      </rPr>
      <t>(Ceara)</t>
    </r>
  </si>
  <si>
    <r>
      <t xml:space="preserve">FLAVIO DE JESUS MAZEIKA VAZ  </t>
    </r>
    <r>
      <rPr>
        <b/>
        <sz val="10"/>
        <color rgb="FFFF0000"/>
        <rFont val="Arial Narrow"/>
        <family val="2"/>
      </rPr>
      <t>(Guacho)</t>
    </r>
  </si>
  <si>
    <t>17/102020</t>
  </si>
  <si>
    <t>U P</t>
  </si>
  <si>
    <t>JONATHAN ALFREDO DE BARROS</t>
  </si>
  <si>
    <t>GREGORIO STRAUSKI</t>
  </si>
  <si>
    <t>JOACIR ERDMAN DE ANDRADE</t>
  </si>
  <si>
    <t>SANDRO GERALDA DA SILVA</t>
  </si>
  <si>
    <t>ADEMIR DE JESUS FREITAS JESUINO</t>
  </si>
  <si>
    <t>.</t>
  </si>
  <si>
    <t>MARCOS LIMA DE SOUZA</t>
  </si>
  <si>
    <t xml:space="preserve">PAULO HENRIQUE ÁVILA NECKEL                     </t>
  </si>
  <si>
    <t xml:space="preserve">ROSALDO FERREIRA DOS SANTOS                  </t>
  </si>
  <si>
    <t xml:space="preserve">VILMAR SEBASTIAO MARTINS CARDOSO      </t>
  </si>
  <si>
    <t>RENAN WESLEY MACHADO</t>
  </si>
  <si>
    <t>RODRIGO NALACIO SILVA</t>
  </si>
  <si>
    <t>WILLIAN FELIPE VIEIRA DA ROSA</t>
  </si>
  <si>
    <r>
      <t xml:space="preserve">WILLIAN JUNIOR SILVEIRA DE BARROS </t>
    </r>
    <r>
      <rPr>
        <b/>
        <sz val="10"/>
        <color rgb="FFFF0000"/>
        <rFont val="Arial Narrow"/>
        <family val="2"/>
      </rPr>
      <t>(Kiko)</t>
    </r>
  </si>
  <si>
    <t xml:space="preserve">WILLIAN RICHARD FERREIRA PADILHA </t>
  </si>
  <si>
    <t>FELIPE PIECYKOLAN (Mormai)</t>
  </si>
  <si>
    <t xml:space="preserve">ROSNEI GABRIEL </t>
  </si>
  <si>
    <t>JOAO VANIR PAES DE ALMEID</t>
  </si>
  <si>
    <t xml:space="preserve">ALEXSANDER FABRINI SOUZA SIMÃO             </t>
  </si>
  <si>
    <t xml:space="preserve">MARCOS AURELIO DE OLIVEIRA                       </t>
  </si>
  <si>
    <t xml:space="preserve">MARCOS AURELIO DOS SANTOS                 </t>
  </si>
  <si>
    <t xml:space="preserve">ADRIANO CORRÊA WOSIACHI                          </t>
  </si>
  <si>
    <t xml:space="preserve">RAYLAN MARCOS DE OLIVEIRA PADILHA </t>
  </si>
  <si>
    <t>TIAGO RIBEIRO</t>
  </si>
  <si>
    <t>entr 05/11</t>
  </si>
  <si>
    <t>entr 06/11</t>
  </si>
  <si>
    <t>FELIPE KAISER</t>
  </si>
  <si>
    <t>hanseniase</t>
  </si>
  <si>
    <t>RAFAEL DOS SANTOS                                             (lado D)</t>
  </si>
  <si>
    <t>JOCEMAR MICHAEL DOS SANTOS</t>
  </si>
  <si>
    <t>JOCEMAR MICHAEL DOS SANTOS                     (lado D)</t>
  </si>
  <si>
    <t xml:space="preserve">JEFERSON DE PAULA </t>
  </si>
  <si>
    <t>RENAM CUIMBRA DE LIMA</t>
  </si>
  <si>
    <t>201 K</t>
  </si>
  <si>
    <t>202 K</t>
  </si>
  <si>
    <t>203 K</t>
  </si>
  <si>
    <t>104 K</t>
  </si>
  <si>
    <t>204 K</t>
  </si>
  <si>
    <t>105 K</t>
  </si>
  <si>
    <t>205 K</t>
  </si>
  <si>
    <t>106 K</t>
  </si>
  <si>
    <t>206 K</t>
  </si>
  <si>
    <t>207 K</t>
  </si>
  <si>
    <t>208 K</t>
  </si>
  <si>
    <t>115 K</t>
  </si>
  <si>
    <t>215 K</t>
  </si>
  <si>
    <t>116 K</t>
  </si>
  <si>
    <t>216 K</t>
  </si>
  <si>
    <t>117 K</t>
  </si>
  <si>
    <t>217 K</t>
  </si>
  <si>
    <t>218 K</t>
  </si>
  <si>
    <t>TOTAL A</t>
  </si>
  <si>
    <t>TOTAL B</t>
  </si>
  <si>
    <t>TOTAL C</t>
  </si>
  <si>
    <t>JOELSON GOMES</t>
  </si>
  <si>
    <t>C.M.P / ESCOLTA</t>
  </si>
  <si>
    <t>RAN</t>
  </si>
  <si>
    <t>INSPETOR DE PLANTÃO</t>
  </si>
  <si>
    <t>TB</t>
  </si>
  <si>
    <t>covid confirmado</t>
  </si>
  <si>
    <t>TRANSITO</t>
  </si>
  <si>
    <t>aguardando exame</t>
  </si>
  <si>
    <t>Total  Geral</t>
  </si>
  <si>
    <t xml:space="preserve">ALISSON LUCAS DE ALMEIDA                             </t>
  </si>
  <si>
    <t xml:space="preserve">JEAN DE OLIVEIRA RAMOS                                   </t>
  </si>
  <si>
    <t xml:space="preserve">VAGNER LUIS WOSIAK                                            </t>
  </si>
  <si>
    <t xml:space="preserve">WESLEY PATRICK SANTOS VAZ                          </t>
  </si>
  <si>
    <t>entr 10/11</t>
  </si>
  <si>
    <t xml:space="preserve">CLEUCIO NERI DE OLIVEIRA </t>
  </si>
  <si>
    <t>entr.10/11</t>
  </si>
  <si>
    <t>TERM 10/12</t>
  </si>
  <si>
    <t>DIRCEU RIBAS (Caveirinha)</t>
  </si>
  <si>
    <t>PETERSON JUNIOR GONÇALVES (Pepinho)</t>
  </si>
  <si>
    <t>ANTONIO GILSON FERREIRA DE ALMEIDA (Leitão/Perninha)</t>
  </si>
  <si>
    <t>VAGNER ALEIXO FERREIRA (Toió)</t>
  </si>
  <si>
    <t>WAGNER FERREIRA DOS SANTOS (Carijó)</t>
  </si>
  <si>
    <t>ELVIS ORIDES LUIZ (Bunda Gorda)</t>
  </si>
  <si>
    <t>MARCOS JOSE SOARES (Baiano)</t>
  </si>
  <si>
    <t>MAYCON JEAN DOS SANTOS (Choquito)</t>
  </si>
  <si>
    <t>VALDINEI MOREIRA (Amendoim)</t>
  </si>
  <si>
    <t xml:space="preserve">ljames </t>
  </si>
  <si>
    <t>HENRIQUE MATHEUS MORAES RAMOS</t>
  </si>
  <si>
    <t>entr 16/11</t>
  </si>
  <si>
    <t>JOAO JOSIMAR VIANA</t>
  </si>
  <si>
    <t xml:space="preserve">SAMUEL RIBEIRO  </t>
  </si>
  <si>
    <t xml:space="preserve">VAGNER LUCAS MALTA </t>
  </si>
  <si>
    <t>entr.12/11</t>
  </si>
  <si>
    <t>entr 12/11</t>
  </si>
  <si>
    <t>entr. 14/11</t>
  </si>
  <si>
    <t>TB CONFIRMADO</t>
  </si>
  <si>
    <t>ISOLADO COVID</t>
  </si>
  <si>
    <t>CONFIRMADO</t>
  </si>
  <si>
    <t>ARTEZANATO</t>
  </si>
  <si>
    <t>MANUTENÇAO</t>
  </si>
  <si>
    <t xml:space="preserve">CELSO ADRIANO CREPISCHI                                 </t>
  </si>
  <si>
    <t xml:space="preserve">JEFFERSON BRANDÃO                                            </t>
  </si>
  <si>
    <t xml:space="preserve">MARCELO FERREIRA DE OLIVEIRA                    </t>
  </si>
  <si>
    <t xml:space="preserve">MICHAEL ALEXANDRE DE FREITAS                     </t>
  </si>
  <si>
    <t xml:space="preserve">SILVIO MARQUES DE SOUZA                                </t>
  </si>
  <si>
    <t>ATE 28/11</t>
  </si>
  <si>
    <t xml:space="preserve">ANDERSON LOPES MACHADO                              </t>
  </si>
  <si>
    <t>ATÉ 28/11</t>
  </si>
  <si>
    <t>ATÉ 23/11</t>
  </si>
  <si>
    <t>ALBAN SANTOS DE SOUZA(Nego Drama / Capixaba)</t>
  </si>
  <si>
    <t xml:space="preserve">SANÇÃO </t>
  </si>
  <si>
    <t>DIEGO MARCELO MATHEUS DA LUZ (Boca)</t>
  </si>
  <si>
    <t>JEFFERSON SOARES DA SILVA (Madimbu)</t>
  </si>
  <si>
    <t>GILBERTO TELLES</t>
  </si>
  <si>
    <t>EVERSON LUIS DOS SANTOS</t>
  </si>
  <si>
    <t>entr 14/11</t>
  </si>
  <si>
    <t>entr 18/11</t>
  </si>
  <si>
    <t>entr 22/11</t>
  </si>
  <si>
    <t>ALAN CRISTIAN BECHER</t>
  </si>
  <si>
    <t>CLAUDINES GONÇALVES FERREIRA                    (lado E)</t>
  </si>
  <si>
    <t>CLEUCIO NERI DE OLIVEIRA                                  (lado E)</t>
  </si>
  <si>
    <t>HENRIQUE MATHEUS MORAES RAMOS               (lado E)</t>
  </si>
  <si>
    <t>JOAO JOSIMAR VIANA                                           (lado E)</t>
  </si>
  <si>
    <t>MARCO AURÉLIO ROBERTI LEMES                      (lado E)</t>
  </si>
  <si>
    <t>SAMUEL RIBEIRO                                                    (lado E)</t>
  </si>
  <si>
    <t>VAGNER LUCAS MALTA                                         (lado E)</t>
  </si>
  <si>
    <t>ALAN CRISTIAN BECHER                                       (lado D)</t>
  </si>
  <si>
    <t>MARCOS AURÉLIO ROBERTI LEMES</t>
  </si>
  <si>
    <t>AGUARDA</t>
  </si>
  <si>
    <t>LEANDRO DOS SANTOS MORAIS</t>
  </si>
  <si>
    <t>RONALDO CHAVES</t>
  </si>
  <si>
    <t>ROGERIO CARDOSO DOS SANTOS</t>
  </si>
  <si>
    <t>entr 24/11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</si>
</sst>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\?_);_(@_)"/>
    <numFmt numFmtId="165" formatCode="_(* #,##0_);_(* \(#,##0\);_(* &quot;-&quot;\?_);_(@_)"/>
    <numFmt numFmtId="166" formatCode="[$-F800]dddd\,\ mmmm\ dd\,\ yyyy"/>
    <numFmt numFmtId="167" formatCode="d/m/yy\ h:mm;@"/>
  </numFmts>
  <fonts count="88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 Narrow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color indexed="10"/>
      <name val="Arial Narrow"/>
      <family val="2"/>
    </font>
    <font>
      <b/>
      <sz val="8"/>
      <color indexed="81"/>
      <name val="Arial Black"/>
      <family val="2"/>
    </font>
    <font>
      <sz val="12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color indexed="53"/>
      <name val="Arial Narrow"/>
      <family val="2"/>
    </font>
    <font>
      <b/>
      <sz val="10"/>
      <color indexed="8"/>
      <name val="Arial Narrow"/>
      <family val="2"/>
    </font>
    <font>
      <b/>
      <sz val="10"/>
      <color indexed="17"/>
      <name val="Arial Narrow"/>
      <family val="2"/>
    </font>
    <font>
      <b/>
      <sz val="10"/>
      <color indexed="52"/>
      <name val="Arial Narrow"/>
      <family val="2"/>
    </font>
    <font>
      <sz val="10"/>
      <name val="Arial Narrow"/>
      <family val="2"/>
    </font>
    <font>
      <b/>
      <sz val="10"/>
      <color indexed="9"/>
      <name val="Arial Narrow"/>
      <family val="2"/>
    </font>
    <font>
      <b/>
      <sz val="10"/>
      <color indexed="51"/>
      <name val="Arial Narrow"/>
      <family val="2"/>
    </font>
    <font>
      <b/>
      <sz val="12"/>
      <color indexed="10"/>
      <name val="Arial"/>
      <family val="2"/>
    </font>
    <font>
      <b/>
      <sz val="12"/>
      <color indexed="17"/>
      <name val="Arial"/>
      <family val="2"/>
    </font>
    <font>
      <sz val="8"/>
      <name val="Arial"/>
      <family val="2"/>
    </font>
    <font>
      <b/>
      <sz val="12"/>
      <color indexed="13"/>
      <name val="Arial"/>
      <family val="2"/>
    </font>
    <font>
      <sz val="12"/>
      <name val="Arial Narrow"/>
      <family val="2"/>
    </font>
    <font>
      <b/>
      <sz val="12"/>
      <color indexed="12"/>
      <name val="Arial Narrow"/>
      <family val="2"/>
    </font>
    <font>
      <sz val="12"/>
      <color indexed="9"/>
      <name val="Arial Narrow"/>
      <family val="2"/>
    </font>
    <font>
      <b/>
      <sz val="12"/>
      <name val="Arial Narrow"/>
      <family val="2"/>
    </font>
    <font>
      <sz val="12"/>
      <color indexed="10"/>
      <name val="Arial Narrow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8"/>
      <color indexed="9"/>
      <name val="Arial"/>
      <family val="2"/>
    </font>
    <font>
      <b/>
      <sz val="14"/>
      <name val="Arial"/>
      <family val="2"/>
    </font>
    <font>
      <b/>
      <sz val="8"/>
      <color indexed="14"/>
      <name val="Arial"/>
      <family val="2"/>
    </font>
    <font>
      <b/>
      <sz val="12"/>
      <color indexed="10"/>
      <name val="Arial Narrow"/>
      <family val="2"/>
    </font>
    <font>
      <b/>
      <sz val="8"/>
      <color indexed="47"/>
      <name val="Arial"/>
      <family val="2"/>
    </font>
    <font>
      <b/>
      <sz val="11"/>
      <name val="Arial"/>
      <family val="2"/>
    </font>
    <font>
      <b/>
      <sz val="11.5"/>
      <name val="Arial"/>
      <family val="2"/>
    </font>
    <font>
      <b/>
      <sz val="10"/>
      <color indexed="47"/>
      <name val="Arial Narrow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9"/>
      <name val="Arial Narrow"/>
      <family val="2"/>
    </font>
    <font>
      <b/>
      <sz val="8"/>
      <name val="Times New Roman"/>
      <family val="1"/>
    </font>
    <font>
      <b/>
      <i/>
      <sz val="10"/>
      <name val="Arial Narrow"/>
      <family val="2"/>
    </font>
    <font>
      <b/>
      <sz val="11"/>
      <color indexed="8"/>
      <name val="Arial Narrow"/>
      <family val="2"/>
    </font>
    <font>
      <b/>
      <u/>
      <sz val="10"/>
      <name val="Arial Narrow"/>
      <family val="2"/>
    </font>
    <font>
      <b/>
      <sz val="10"/>
      <color rgb="FFFF0000"/>
      <name val="Arial Narrow"/>
      <family val="2"/>
    </font>
    <font>
      <b/>
      <sz val="12"/>
      <color rgb="FFFFFF00"/>
      <name val="Arial"/>
      <family val="2"/>
    </font>
    <font>
      <b/>
      <sz val="12"/>
      <color rgb="FF0070C0"/>
      <name val="Arial"/>
      <family val="2"/>
    </font>
    <font>
      <b/>
      <sz val="10"/>
      <color rgb="FF00B050"/>
      <name val="Arial Narrow"/>
      <family val="2"/>
    </font>
    <font>
      <b/>
      <sz val="10"/>
      <color theme="1"/>
      <name val="Arial Narrow"/>
      <family val="2"/>
    </font>
    <font>
      <b/>
      <sz val="8"/>
      <color rgb="FFFF0000"/>
      <name val="Arial"/>
      <family val="2"/>
    </font>
    <font>
      <b/>
      <sz val="10"/>
      <color theme="3" tint="0.39997558519241921"/>
      <name val="Arial Narrow"/>
      <family val="2"/>
    </font>
    <font>
      <b/>
      <sz val="10"/>
      <color theme="6" tint="-0.499984740745262"/>
      <name val="Arial Narrow"/>
      <family val="2"/>
    </font>
    <font>
      <b/>
      <sz val="10"/>
      <color rgb="FF008000"/>
      <name val="Arial Narrow"/>
      <family val="2"/>
    </font>
    <font>
      <b/>
      <sz val="10"/>
      <color rgb="FFC00000"/>
      <name val="Arial Narrow"/>
      <family val="2"/>
    </font>
    <font>
      <b/>
      <sz val="8"/>
      <color theme="0"/>
      <name val="Arial"/>
      <family val="2"/>
    </font>
    <font>
      <b/>
      <sz val="10"/>
      <color theme="0"/>
      <name val="Arial Narrow"/>
      <family val="2"/>
    </font>
    <font>
      <b/>
      <sz val="10"/>
      <color theme="1" tint="4.9989318521683403E-2"/>
      <name val="Arial Narrow"/>
      <family val="2"/>
    </font>
    <font>
      <b/>
      <sz val="10"/>
      <color theme="7" tint="-0.499984740745262"/>
      <name val="Arial Narrow"/>
      <family val="2"/>
    </font>
    <font>
      <b/>
      <sz val="10"/>
      <color rgb="FF0070C0"/>
      <name val="Arial Narrow"/>
      <family val="2"/>
    </font>
    <font>
      <b/>
      <sz val="10"/>
      <color theme="2" tint="-0.89999084444715716"/>
      <name val="Arial Narrow"/>
      <family val="2"/>
    </font>
    <font>
      <b/>
      <sz val="10"/>
      <color theme="7" tint="-0.249977111117893"/>
      <name val="Arial Narrow"/>
      <family val="2"/>
    </font>
    <font>
      <b/>
      <sz val="8"/>
      <color rgb="FFC00000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b/>
      <sz val="10"/>
      <color theme="4" tint="-0.499984740745262"/>
      <name val="Arial Narrow"/>
      <family val="2"/>
    </font>
    <font>
      <b/>
      <sz val="10"/>
      <color theme="9" tint="-0.249977111117893"/>
      <name val="Arial Narrow"/>
      <family val="2"/>
    </font>
    <font>
      <b/>
      <sz val="10"/>
      <color theme="3" tint="-0.249977111117893"/>
      <name val="Arial Narrow"/>
      <family val="2"/>
    </font>
    <font>
      <b/>
      <sz val="10"/>
      <color rgb="FF002060"/>
      <name val="Arial Narrow"/>
      <family val="2"/>
    </font>
    <font>
      <b/>
      <sz val="12"/>
      <color rgb="FFFF0000"/>
      <name val="Arial Narrow"/>
      <family val="2"/>
    </font>
    <font>
      <b/>
      <sz val="11"/>
      <color rgb="FF00B050"/>
      <name val="Arial Narrow"/>
      <family val="2"/>
    </font>
    <font>
      <b/>
      <sz val="10"/>
      <color theme="3"/>
      <name val="Arial Narrow"/>
      <family val="2"/>
    </font>
    <font>
      <b/>
      <sz val="10"/>
      <color theme="0" tint="-0.499984740745262"/>
      <name val="Arial Narrow"/>
      <family val="2"/>
    </font>
    <font>
      <b/>
      <sz val="10"/>
      <color rgb="FF254061"/>
      <name val="Arial Narrow"/>
      <family val="2"/>
    </font>
    <font>
      <b/>
      <sz val="8"/>
      <name val="Arial Narrow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b/>
      <sz val="5"/>
      <color theme="4" tint="-0.499984740745262"/>
      <name val="Times New Roman"/>
      <family val="1"/>
    </font>
    <font>
      <b/>
      <sz val="10"/>
      <color theme="9"/>
      <name val="Arial Narrow"/>
      <family val="2"/>
    </font>
    <font>
      <b/>
      <sz val="10"/>
      <color theme="5" tint="-0.499984740745262"/>
      <name val="Arial Narrow"/>
      <family val="2"/>
    </font>
    <font>
      <b/>
      <sz val="10"/>
      <color theme="4" tint="-0.249977111117893"/>
      <name val="Arial Narrow"/>
      <family val="2"/>
    </font>
    <font>
      <b/>
      <sz val="11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EA2A8A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51F8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 tint="0.499984740745262"/>
        <bgColor indexed="64"/>
      </patternFill>
    </fill>
  </fills>
  <borders count="122">
    <border>
      <left/>
      <right/>
      <top/>
      <bottom/>
      <diagonal/>
    </border>
    <border>
      <left style="thick">
        <color indexed="62"/>
      </left>
      <right style="thick">
        <color indexed="62"/>
      </right>
      <top style="thick">
        <color indexed="62"/>
      </top>
      <bottom style="thick">
        <color indexed="62"/>
      </bottom>
      <diagonal/>
    </border>
    <border>
      <left style="thick">
        <color indexed="62"/>
      </left>
      <right style="thick">
        <color indexed="62"/>
      </right>
      <top style="thick">
        <color indexed="62"/>
      </top>
      <bottom style="thin">
        <color indexed="62"/>
      </bottom>
      <diagonal/>
    </border>
    <border>
      <left style="thick">
        <color indexed="62"/>
      </left>
      <right style="thick">
        <color indexed="62"/>
      </right>
      <top style="thin">
        <color indexed="62"/>
      </top>
      <bottom style="thin">
        <color indexed="62"/>
      </bottom>
      <diagonal/>
    </border>
    <border>
      <left style="thick">
        <color indexed="62"/>
      </left>
      <right style="thick">
        <color indexed="62"/>
      </right>
      <top style="thin">
        <color indexed="62"/>
      </top>
      <bottom/>
      <diagonal/>
    </border>
    <border>
      <left style="thick">
        <color indexed="62"/>
      </left>
      <right style="thick">
        <color indexed="62"/>
      </right>
      <top/>
      <bottom style="thin">
        <color indexed="6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10"/>
      </top>
      <bottom style="thick">
        <color indexed="10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double">
        <color indexed="10"/>
      </right>
      <top/>
      <bottom/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2"/>
      </left>
      <right/>
      <top style="thin">
        <color indexed="62"/>
      </top>
      <bottom style="thick">
        <color indexed="62"/>
      </bottom>
      <diagonal/>
    </border>
    <border>
      <left/>
      <right/>
      <top style="thin">
        <color indexed="62"/>
      </top>
      <bottom style="thick">
        <color indexed="62"/>
      </bottom>
      <diagonal/>
    </border>
    <border>
      <left/>
      <right style="thick">
        <color indexed="62"/>
      </right>
      <top style="thin">
        <color indexed="62"/>
      </top>
      <bottom style="thick">
        <color indexed="62"/>
      </bottom>
      <diagonal/>
    </border>
    <border>
      <left style="thick">
        <color indexed="62"/>
      </left>
      <right/>
      <top style="thick">
        <color indexed="62"/>
      </top>
      <bottom style="thick">
        <color indexed="62"/>
      </bottom>
      <diagonal/>
    </border>
    <border>
      <left/>
      <right/>
      <top style="thick">
        <color indexed="62"/>
      </top>
      <bottom style="thick">
        <color indexed="62"/>
      </bottom>
      <diagonal/>
    </border>
    <border>
      <left/>
      <right style="thick">
        <color indexed="62"/>
      </right>
      <top style="thick">
        <color indexed="62"/>
      </top>
      <bottom style="thick">
        <color indexed="62"/>
      </bottom>
      <diagonal/>
    </border>
    <border>
      <left style="thick">
        <color indexed="62"/>
      </left>
      <right/>
      <top style="thick">
        <color indexed="62"/>
      </top>
      <bottom style="thin">
        <color indexed="62"/>
      </bottom>
      <diagonal/>
    </border>
    <border>
      <left/>
      <right/>
      <top style="thick">
        <color indexed="62"/>
      </top>
      <bottom style="thin">
        <color indexed="62"/>
      </bottom>
      <diagonal/>
    </border>
    <border>
      <left/>
      <right style="thick">
        <color indexed="62"/>
      </right>
      <top style="thick">
        <color indexed="62"/>
      </top>
      <bottom style="thin">
        <color indexed="62"/>
      </bottom>
      <diagonal/>
    </border>
    <border>
      <left style="thick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 style="thick">
        <color indexed="62"/>
      </right>
      <top style="thin">
        <color indexed="62"/>
      </top>
      <bottom style="thin">
        <color indexed="62"/>
      </bottom>
      <diagonal/>
    </border>
    <border>
      <left style="thick">
        <color indexed="62"/>
      </left>
      <right/>
      <top style="thin">
        <color indexed="62"/>
      </top>
      <bottom/>
      <diagonal/>
    </border>
    <border>
      <left/>
      <right/>
      <top style="thin">
        <color indexed="62"/>
      </top>
      <bottom/>
      <diagonal/>
    </border>
    <border>
      <left/>
      <right style="thick">
        <color indexed="62"/>
      </right>
      <top style="thin">
        <color indexed="62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double">
        <color indexed="10"/>
      </left>
      <right/>
      <top/>
      <bottom style="double">
        <color indexed="10"/>
      </bottom>
      <diagonal/>
    </border>
    <border>
      <left/>
      <right/>
      <top/>
      <bottom style="double">
        <color indexed="10"/>
      </bottom>
      <diagonal/>
    </border>
    <border>
      <left/>
      <right style="double">
        <color indexed="10"/>
      </right>
      <top/>
      <bottom style="double">
        <color indexed="10"/>
      </bottom>
      <diagonal/>
    </border>
    <border>
      <left style="double">
        <color indexed="10"/>
      </left>
      <right/>
      <top style="double">
        <color indexed="10"/>
      </top>
      <bottom style="double">
        <color indexed="10"/>
      </bottom>
      <diagonal/>
    </border>
    <border>
      <left/>
      <right/>
      <top style="double">
        <color indexed="10"/>
      </top>
      <bottom style="double">
        <color indexed="10"/>
      </bottom>
      <diagonal/>
    </border>
    <border>
      <left/>
      <right style="double">
        <color indexed="10"/>
      </right>
      <top style="double">
        <color indexed="10"/>
      </top>
      <bottom style="double">
        <color indexed="1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FFC000"/>
      </left>
      <right/>
      <top style="thick">
        <color rgb="FFFFC000"/>
      </top>
      <bottom style="thick">
        <color rgb="FFFFC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C000"/>
      </right>
      <top/>
      <bottom style="thick">
        <color rgb="FFFFC000"/>
      </bottom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medium">
        <color rgb="FFFFC000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thick">
        <color rgb="FFFFC000"/>
      </left>
      <right style="thick">
        <color rgb="FFFFC000"/>
      </right>
      <top/>
      <bottom style="medium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C000"/>
      </bottom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 style="medium">
        <color rgb="FFFFC000"/>
      </right>
      <top/>
      <bottom style="medium">
        <color rgb="FFFFC000"/>
      </bottom>
      <diagonal/>
    </border>
    <border>
      <left/>
      <right style="thick">
        <color rgb="FFFFC000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ck">
        <color rgb="FFFFC000"/>
      </top>
      <bottom style="thin">
        <color theme="9" tint="-0.249977111117893"/>
      </bottom>
      <diagonal/>
    </border>
  </borders>
  <cellStyleXfs count="3">
    <xf numFmtId="0" fontId="0" fillId="0" borderId="0" applyAlignment="0"/>
    <xf numFmtId="0" fontId="7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768">
    <xf numFmtId="0" fontId="0" fillId="0" borderId="0" xfId="0"/>
    <xf numFmtId="0" fontId="10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15" fillId="5" borderId="8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5" fillId="7" borderId="10" xfId="0" applyFont="1" applyFill="1" applyBorder="1" applyAlignment="1">
      <alignment vertical="center"/>
    </xf>
    <xf numFmtId="0" fontId="25" fillId="0" borderId="0" xfId="0" applyFont="1" applyBorder="1"/>
    <xf numFmtId="0" fontId="26" fillId="2" borderId="8" xfId="0" applyFont="1" applyFill="1" applyBorder="1" applyAlignment="1">
      <alignment horizontal="center"/>
    </xf>
    <xf numFmtId="0" fontId="27" fillId="0" borderId="0" xfId="0" applyFont="1" applyBorder="1"/>
    <xf numFmtId="0" fontId="26" fillId="0" borderId="0" xfId="0" applyFont="1" applyFill="1" applyBorder="1" applyAlignment="1">
      <alignment horizontal="center"/>
    </xf>
    <xf numFmtId="166" fontId="25" fillId="0" borderId="0" xfId="0" applyNumberFormat="1" applyFont="1" applyBorder="1"/>
    <xf numFmtId="0" fontId="28" fillId="0" borderId="0" xfId="0" applyFont="1" applyFill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Fill="1"/>
    <xf numFmtId="0" fontId="31" fillId="0" borderId="0" xfId="0" applyFont="1" applyFill="1"/>
    <xf numFmtId="0" fontId="31" fillId="0" borderId="11" xfId="0" applyFont="1" applyFill="1" applyBorder="1"/>
    <xf numFmtId="0" fontId="31" fillId="0" borderId="0" xfId="0" applyFont="1" applyFill="1" applyAlignment="1">
      <alignment horizontal="center"/>
    </xf>
    <xf numFmtId="0" fontId="30" fillId="0" borderId="0" xfId="0" applyFont="1" applyFill="1"/>
    <xf numFmtId="0" fontId="31" fillId="0" borderId="12" xfId="0" applyFont="1" applyFill="1" applyBorder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8" borderId="17" xfId="0" applyFont="1" applyFill="1" applyBorder="1" applyAlignment="1">
      <alignment horizontal="center"/>
    </xf>
    <xf numFmtId="0" fontId="50" fillId="5" borderId="8" xfId="0" applyFont="1" applyFill="1" applyBorder="1" applyAlignment="1">
      <alignment horizontal="left" vertical="center"/>
    </xf>
    <xf numFmtId="10" fontId="2" fillId="14" borderId="9" xfId="0" applyNumberFormat="1" applyFont="1" applyFill="1" applyBorder="1"/>
    <xf numFmtId="0" fontId="2" fillId="14" borderId="9" xfId="0" applyFont="1" applyFill="1" applyBorder="1" applyAlignment="1">
      <alignment horizontal="center"/>
    </xf>
    <xf numFmtId="0" fontId="5" fillId="15" borderId="8" xfId="0" applyFont="1" applyFill="1" applyBorder="1" applyAlignment="1">
      <alignment horizontal="center" vertical="center"/>
    </xf>
    <xf numFmtId="0" fontId="51" fillId="16" borderId="9" xfId="0" applyFont="1" applyFill="1" applyBorder="1" applyAlignment="1">
      <alignment horizontal="center"/>
    </xf>
    <xf numFmtId="0" fontId="52" fillId="17" borderId="9" xfId="0" applyFont="1" applyFill="1" applyBorder="1" applyAlignment="1">
      <alignment horizontal="center"/>
    </xf>
    <xf numFmtId="0" fontId="53" fillId="5" borderId="8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15" fillId="0" borderId="0" xfId="0" applyFont="1" applyFill="1" applyBorder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12" fillId="0" borderId="0" xfId="0" applyFont="1" applyFill="1"/>
    <xf numFmtId="0" fontId="5" fillId="15" borderId="8" xfId="0" applyFont="1" applyFill="1" applyBorder="1" applyAlignment="1">
      <alignment horizontal="left" vertical="center"/>
    </xf>
    <xf numFmtId="0" fontId="54" fillId="15" borderId="8" xfId="0" applyFont="1" applyFill="1" applyBorder="1" applyAlignment="1">
      <alignment horizontal="left" vertical="center"/>
    </xf>
    <xf numFmtId="0" fontId="5" fillId="5" borderId="60" xfId="0" applyFont="1" applyFill="1" applyBorder="1" applyAlignment="1">
      <alignment horizontal="left" vertical="center"/>
    </xf>
    <xf numFmtId="3" fontId="5" fillId="0" borderId="60" xfId="0" applyNumberFormat="1" applyFont="1" applyFill="1" applyBorder="1" applyAlignment="1">
      <alignment horizontal="center" vertical="center"/>
    </xf>
    <xf numFmtId="14" fontId="5" fillId="0" borderId="60" xfId="0" applyNumberFormat="1" applyFont="1" applyFill="1" applyBorder="1" applyAlignment="1">
      <alignment horizontal="center" vertical="center"/>
    </xf>
    <xf numFmtId="0" fontId="31" fillId="0" borderId="60" xfId="0" applyFont="1" applyFill="1" applyBorder="1" applyAlignment="1">
      <alignment horizontal="center" vertical="center"/>
    </xf>
    <xf numFmtId="0" fontId="15" fillId="0" borderId="60" xfId="0" applyFont="1" applyFill="1" applyBorder="1" applyAlignment="1">
      <alignment horizontal="left" vertical="center"/>
    </xf>
    <xf numFmtId="3" fontId="15" fillId="0" borderId="60" xfId="0" applyNumberFormat="1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left" vertical="center"/>
    </xf>
    <xf numFmtId="0" fontId="15" fillId="0" borderId="60" xfId="0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center" vertical="center"/>
    </xf>
    <xf numFmtId="3" fontId="5" fillId="0" borderId="60" xfId="2" applyNumberFormat="1" applyFont="1" applyFill="1" applyBorder="1" applyAlignment="1">
      <alignment horizontal="center" vertical="center"/>
    </xf>
    <xf numFmtId="14" fontId="5" fillId="0" borderId="60" xfId="0" applyNumberFormat="1" applyFont="1" applyFill="1" applyBorder="1" applyAlignment="1">
      <alignment horizontal="center"/>
    </xf>
    <xf numFmtId="0" fontId="31" fillId="0" borderId="60" xfId="0" applyFont="1" applyFill="1" applyBorder="1" applyAlignment="1">
      <alignment horizontal="center"/>
    </xf>
    <xf numFmtId="165" fontId="5" fillId="0" borderId="60" xfId="2" applyNumberFormat="1" applyFont="1" applyFill="1" applyBorder="1" applyAlignment="1">
      <alignment horizontal="center" vertical="center"/>
    </xf>
    <xf numFmtId="14" fontId="5" fillId="0" borderId="60" xfId="2" applyNumberFormat="1" applyFont="1" applyFill="1" applyBorder="1" applyAlignment="1">
      <alignment horizontal="center" vertical="center"/>
    </xf>
    <xf numFmtId="165" fontId="15" fillId="0" borderId="60" xfId="2" applyNumberFormat="1" applyFont="1" applyFill="1" applyBorder="1" applyAlignment="1">
      <alignment horizontal="center" vertical="center"/>
    </xf>
    <xf numFmtId="0" fontId="55" fillId="0" borderId="60" xfId="0" applyFont="1" applyFill="1" applyBorder="1" applyAlignment="1">
      <alignment horizontal="center" vertical="center"/>
    </xf>
    <xf numFmtId="0" fontId="30" fillId="0" borderId="60" xfId="0" applyFont="1" applyFill="1" applyBorder="1" applyAlignment="1">
      <alignment horizontal="center" vertical="center"/>
    </xf>
    <xf numFmtId="0" fontId="5" fillId="15" borderId="60" xfId="0" applyFont="1" applyFill="1" applyBorder="1" applyAlignment="1">
      <alignment horizontal="left" vertical="center"/>
    </xf>
    <xf numFmtId="0" fontId="5" fillId="0" borderId="60" xfId="0" applyFont="1" applyFill="1" applyBorder="1"/>
    <xf numFmtId="0" fontId="55" fillId="0" borderId="60" xfId="0" applyFont="1" applyFill="1" applyBorder="1" applyAlignment="1">
      <alignment horizontal="center"/>
    </xf>
    <xf numFmtId="0" fontId="5" fillId="0" borderId="60" xfId="0" applyFont="1" applyFill="1" applyBorder="1" applyAlignment="1">
      <alignment horizontal="left"/>
    </xf>
    <xf numFmtId="14" fontId="15" fillId="0" borderId="60" xfId="0" applyNumberFormat="1" applyFont="1" applyFill="1" applyBorder="1" applyAlignment="1">
      <alignment horizontal="center" vertical="center"/>
    </xf>
    <xf numFmtId="0" fontId="15" fillId="0" borderId="60" xfId="0" applyFont="1" applyFill="1" applyBorder="1" applyAlignment="1">
      <alignment horizontal="center"/>
    </xf>
    <xf numFmtId="0" fontId="33" fillId="0" borderId="6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5" fillId="8" borderId="17" xfId="0" applyFont="1" applyFill="1" applyBorder="1" applyAlignment="1"/>
    <xf numFmtId="0" fontId="54" fillId="5" borderId="8" xfId="0" applyFont="1" applyFill="1" applyBorder="1" applyAlignment="1">
      <alignment horizontal="left" vertical="center"/>
    </xf>
    <xf numFmtId="3" fontId="15" fillId="0" borderId="60" xfId="0" applyNumberFormat="1" applyFont="1" applyFill="1" applyBorder="1" applyAlignment="1">
      <alignment horizontal="center"/>
    </xf>
    <xf numFmtId="0" fontId="5" fillId="0" borderId="60" xfId="0" applyFont="1" applyFill="1" applyBorder="1" applyAlignment="1">
      <alignment horizontal="center"/>
    </xf>
    <xf numFmtId="0" fontId="0" fillId="0" borderId="0" xfId="0" applyFill="1"/>
    <xf numFmtId="0" fontId="31" fillId="14" borderId="60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center" vertical="center"/>
    </xf>
    <xf numFmtId="0" fontId="24" fillId="9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0" fillId="15" borderId="0" xfId="0" applyFill="1"/>
    <xf numFmtId="14" fontId="31" fillId="0" borderId="60" xfId="0" applyNumberFormat="1" applyFont="1" applyFill="1" applyBorder="1" applyAlignment="1">
      <alignment horizontal="center" vertical="center"/>
    </xf>
    <xf numFmtId="0" fontId="50" fillId="15" borderId="8" xfId="0" applyFont="1" applyFill="1" applyBorder="1" applyAlignment="1">
      <alignment horizontal="left" vertical="center"/>
    </xf>
    <xf numFmtId="0" fontId="5" fillId="0" borderId="8" xfId="0" applyFont="1" applyBorder="1"/>
    <xf numFmtId="0" fontId="54" fillId="15" borderId="8" xfId="0" applyFont="1" applyFill="1" applyBorder="1"/>
    <xf numFmtId="0" fontId="5" fillId="15" borderId="8" xfId="0" applyFont="1" applyFill="1" applyBorder="1" applyAlignment="1">
      <alignment horizontal="left" vertical="center"/>
    </xf>
    <xf numFmtId="0" fontId="5" fillId="15" borderId="8" xfId="0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left" vertical="center"/>
    </xf>
    <xf numFmtId="0" fontId="5" fillId="15" borderId="8" xfId="0" applyFont="1" applyFill="1" applyBorder="1" applyAlignment="1">
      <alignment horizontal="left" vertical="center"/>
    </xf>
    <xf numFmtId="0" fontId="5" fillId="15" borderId="8" xfId="0" applyFont="1" applyFill="1" applyBorder="1" applyAlignment="1">
      <alignment horizontal="left" vertical="center"/>
    </xf>
    <xf numFmtId="0" fontId="5" fillId="15" borderId="8" xfId="0" applyFont="1" applyFill="1" applyBorder="1" applyAlignment="1">
      <alignment horizontal="left" vertical="center"/>
    </xf>
    <xf numFmtId="0" fontId="5" fillId="15" borderId="8" xfId="0" applyFont="1" applyFill="1" applyBorder="1" applyAlignment="1">
      <alignment horizontal="left" vertical="center"/>
    </xf>
    <xf numFmtId="0" fontId="5" fillId="15" borderId="8" xfId="0" applyFont="1" applyFill="1" applyBorder="1" applyAlignment="1">
      <alignment horizontal="left" vertical="center"/>
    </xf>
    <xf numFmtId="0" fontId="5" fillId="15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/>
    <xf numFmtId="0" fontId="56" fillId="0" borderId="0" xfId="0" applyNumberFormat="1" applyFont="1" applyAlignment="1">
      <alignment horizontal="center"/>
    </xf>
    <xf numFmtId="0" fontId="5" fillId="19" borderId="0" xfId="0" applyFont="1" applyFill="1" applyAlignment="1">
      <alignment horizontal="center"/>
    </xf>
    <xf numFmtId="0" fontId="54" fillId="0" borderId="60" xfId="0" applyFont="1" applyFill="1" applyBorder="1" applyAlignment="1">
      <alignment horizontal="left" vertical="center"/>
    </xf>
    <xf numFmtId="14" fontId="19" fillId="0" borderId="60" xfId="0" applyNumberFormat="1" applyFont="1" applyFill="1" applyBorder="1" applyAlignment="1">
      <alignment horizontal="center" vertical="center"/>
    </xf>
    <xf numFmtId="0" fontId="5" fillId="0" borderId="62" xfId="0" applyFont="1" applyFill="1" applyBorder="1" applyAlignment="1">
      <alignment horizontal="center" vertical="center"/>
    </xf>
    <xf numFmtId="3" fontId="5" fillId="0" borderId="62" xfId="0" applyNumberFormat="1" applyFont="1" applyFill="1" applyBorder="1" applyAlignment="1">
      <alignment horizontal="center" vertical="center"/>
    </xf>
    <xf numFmtId="0" fontId="5" fillId="15" borderId="62" xfId="0" applyFont="1" applyFill="1" applyBorder="1" applyAlignment="1">
      <alignment horizontal="center" vertical="center"/>
    </xf>
    <xf numFmtId="0" fontId="5" fillId="19" borderId="62" xfId="0" applyFont="1" applyFill="1" applyBorder="1" applyAlignment="1">
      <alignment horizontal="center" vertical="center"/>
    </xf>
    <xf numFmtId="0" fontId="5" fillId="0" borderId="62" xfId="0" applyFont="1" applyBorder="1" applyAlignment="1">
      <alignment horizontal="center"/>
    </xf>
    <xf numFmtId="0" fontId="5" fillId="0" borderId="62" xfId="0" applyFont="1" applyBorder="1"/>
    <xf numFmtId="0" fontId="5" fillId="15" borderId="62" xfId="0" applyFont="1" applyFill="1" applyBorder="1" applyAlignment="1">
      <alignment horizontal="left" vertical="center"/>
    </xf>
    <xf numFmtId="0" fontId="5" fillId="5" borderId="62" xfId="0" applyFont="1" applyFill="1" applyBorder="1" applyAlignment="1">
      <alignment horizontal="center" vertical="center"/>
    </xf>
    <xf numFmtId="0" fontId="56" fillId="0" borderId="62" xfId="0" applyNumberFormat="1" applyFont="1" applyFill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4" fillId="0" borderId="62" xfId="0" applyFont="1" applyFill="1" applyBorder="1" applyAlignment="1">
      <alignment horizontal="center" vertical="center"/>
    </xf>
    <xf numFmtId="16" fontId="56" fillId="0" borderId="62" xfId="0" applyNumberFormat="1" applyFont="1" applyFill="1" applyBorder="1" applyAlignment="1">
      <alignment horizontal="center" vertical="center"/>
    </xf>
    <xf numFmtId="0" fontId="54" fillId="15" borderId="62" xfId="0" applyFont="1" applyFill="1" applyBorder="1" applyAlignment="1">
      <alignment horizontal="left" vertical="center"/>
    </xf>
    <xf numFmtId="0" fontId="5" fillId="0" borderId="62" xfId="0" applyFont="1" applyBorder="1" applyAlignment="1">
      <alignment horizontal="left" vertical="center"/>
    </xf>
    <xf numFmtId="0" fontId="5" fillId="5" borderId="62" xfId="0" applyFont="1" applyFill="1" applyBorder="1" applyAlignment="1">
      <alignment horizontal="left" vertical="center"/>
    </xf>
    <xf numFmtId="0" fontId="5" fillId="0" borderId="62" xfId="0" applyFont="1" applyFill="1" applyBorder="1" applyAlignment="1">
      <alignment horizontal="left" vertical="center"/>
    </xf>
    <xf numFmtId="0" fontId="5" fillId="0" borderId="62" xfId="0" applyFont="1" applyFill="1" applyBorder="1" applyAlignment="1">
      <alignment horizontal="center"/>
    </xf>
    <xf numFmtId="0" fontId="5" fillId="15" borderId="62" xfId="0" applyFont="1" applyFill="1" applyBorder="1" applyAlignment="1">
      <alignment horizontal="center"/>
    </xf>
    <xf numFmtId="0" fontId="5" fillId="0" borderId="62" xfId="0" applyNumberFormat="1" applyFont="1" applyFill="1" applyBorder="1" applyAlignment="1">
      <alignment horizontal="center" vertical="center"/>
    </xf>
    <xf numFmtId="0" fontId="56" fillId="19" borderId="62" xfId="0" applyNumberFormat="1" applyFont="1" applyFill="1" applyBorder="1" applyAlignment="1">
      <alignment horizontal="center" vertical="center"/>
    </xf>
    <xf numFmtId="0" fontId="5" fillId="19" borderId="62" xfId="0" applyFont="1" applyFill="1" applyBorder="1" applyAlignment="1">
      <alignment horizontal="center"/>
    </xf>
    <xf numFmtId="0" fontId="54" fillId="15" borderId="62" xfId="0" applyFont="1" applyFill="1" applyBorder="1" applyAlignment="1">
      <alignment vertical="center"/>
    </xf>
    <xf numFmtId="0" fontId="53" fillId="5" borderId="62" xfId="0" applyFont="1" applyFill="1" applyBorder="1" applyAlignment="1">
      <alignment horizontal="center" vertical="center"/>
    </xf>
    <xf numFmtId="0" fontId="53" fillId="0" borderId="62" xfId="0" applyFont="1" applyFill="1" applyBorder="1" applyAlignment="1">
      <alignment horizontal="center" vertical="center"/>
    </xf>
    <xf numFmtId="0" fontId="15" fillId="0" borderId="62" xfId="0" applyFont="1" applyFill="1" applyBorder="1" applyAlignment="1">
      <alignment horizontal="center" vertical="center"/>
    </xf>
    <xf numFmtId="0" fontId="54" fillId="5" borderId="62" xfId="0" applyFont="1" applyFill="1" applyBorder="1" applyAlignment="1">
      <alignment horizontal="left" vertical="center"/>
    </xf>
    <xf numFmtId="0" fontId="50" fillId="5" borderId="62" xfId="0" applyFont="1" applyFill="1" applyBorder="1" applyAlignment="1">
      <alignment horizontal="left" vertical="center"/>
    </xf>
    <xf numFmtId="16" fontId="5" fillId="0" borderId="62" xfId="0" applyNumberFormat="1" applyFont="1" applyFill="1" applyBorder="1" applyAlignment="1">
      <alignment horizontal="center" vertical="center"/>
    </xf>
    <xf numFmtId="3" fontId="5" fillId="15" borderId="62" xfId="0" applyNumberFormat="1" applyFont="1" applyFill="1" applyBorder="1" applyAlignment="1">
      <alignment horizontal="center" vertical="center"/>
    </xf>
    <xf numFmtId="0" fontId="50" fillId="0" borderId="62" xfId="0" applyFont="1" applyFill="1" applyBorder="1" applyAlignment="1">
      <alignment horizontal="center" vertical="center"/>
    </xf>
    <xf numFmtId="0" fontId="5" fillId="0" borderId="62" xfId="0" applyNumberFormat="1" applyFont="1" applyFill="1" applyBorder="1" applyAlignment="1">
      <alignment horizontal="left" vertical="center"/>
    </xf>
    <xf numFmtId="16" fontId="50" fillId="0" borderId="62" xfId="0" applyNumberFormat="1" applyFont="1" applyFill="1" applyBorder="1" applyAlignment="1">
      <alignment horizontal="center" vertical="center"/>
    </xf>
    <xf numFmtId="0" fontId="50" fillId="0" borderId="62" xfId="0" applyNumberFormat="1" applyFont="1" applyFill="1" applyBorder="1" applyAlignment="1">
      <alignment horizontal="center" vertical="center"/>
    </xf>
    <xf numFmtId="0" fontId="54" fillId="0" borderId="62" xfId="0" applyFont="1" applyBorder="1" applyAlignment="1">
      <alignment horizontal="left" vertical="center"/>
    </xf>
    <xf numFmtId="0" fontId="5" fillId="15" borderId="62" xfId="0" applyNumberFormat="1" applyFont="1" applyFill="1" applyBorder="1" applyAlignment="1">
      <alignment horizontal="center" vertical="center"/>
    </xf>
    <xf numFmtId="0" fontId="50" fillId="15" borderId="62" xfId="0" applyFont="1" applyFill="1" applyBorder="1" applyAlignment="1">
      <alignment horizontal="center" vertical="center"/>
    </xf>
    <xf numFmtId="0" fontId="56" fillId="5" borderId="62" xfId="0" applyFont="1" applyFill="1" applyBorder="1" applyAlignment="1">
      <alignment horizontal="center" vertical="center"/>
    </xf>
    <xf numFmtId="0" fontId="58" fillId="5" borderId="62" xfId="0" applyFont="1" applyFill="1" applyBorder="1" applyAlignment="1">
      <alignment horizontal="center" vertical="center"/>
    </xf>
    <xf numFmtId="0" fontId="5" fillId="19" borderId="62" xfId="0" applyNumberFormat="1" applyFont="1" applyFill="1" applyBorder="1" applyAlignment="1">
      <alignment horizontal="center" vertical="center"/>
    </xf>
    <xf numFmtId="0" fontId="5" fillId="0" borderId="60" xfId="0" applyNumberFormat="1" applyFont="1" applyFill="1" applyBorder="1" applyAlignment="1">
      <alignment horizontal="center" vertical="center"/>
    </xf>
    <xf numFmtId="14" fontId="5" fillId="0" borderId="60" xfId="0" applyNumberFormat="1" applyFont="1" applyFill="1" applyBorder="1" applyAlignment="1">
      <alignment horizontal="left" vertical="center"/>
    </xf>
    <xf numFmtId="3" fontId="5" fillId="5" borderId="62" xfId="0" applyNumberFormat="1" applyFont="1" applyFill="1" applyBorder="1" applyAlignment="1">
      <alignment horizontal="center" vertical="center"/>
    </xf>
    <xf numFmtId="0" fontId="54" fillId="0" borderId="62" xfId="0" applyFont="1" applyFill="1" applyBorder="1" applyAlignment="1">
      <alignment horizontal="left" vertical="center"/>
    </xf>
    <xf numFmtId="0" fontId="53" fillId="0" borderId="62" xfId="0" applyFont="1" applyFill="1" applyBorder="1" applyAlignment="1">
      <alignment horizontal="left" vertical="center"/>
    </xf>
    <xf numFmtId="0" fontId="59" fillId="5" borderId="62" xfId="0" applyFont="1" applyFill="1" applyBorder="1" applyAlignment="1">
      <alignment horizontal="center" vertical="center"/>
    </xf>
    <xf numFmtId="0" fontId="5" fillId="0" borderId="63" xfId="0" applyFont="1" applyFill="1" applyBorder="1" applyAlignment="1">
      <alignment horizontal="left" vertical="center"/>
    </xf>
    <xf numFmtId="0" fontId="50" fillId="19" borderId="62" xfId="0" applyFont="1" applyFill="1" applyBorder="1" applyAlignment="1">
      <alignment horizontal="center" vertical="center"/>
    </xf>
    <xf numFmtId="0" fontId="54" fillId="0" borderId="60" xfId="0" applyFont="1" applyFill="1" applyBorder="1" applyAlignment="1">
      <alignment horizontal="center" vertical="center"/>
    </xf>
    <xf numFmtId="0" fontId="53" fillId="5" borderId="62" xfId="0" applyFont="1" applyFill="1" applyBorder="1" applyAlignment="1">
      <alignment horizontal="left" vertical="center"/>
    </xf>
    <xf numFmtId="0" fontId="31" fillId="0" borderId="60" xfId="0" applyFont="1" applyFill="1" applyBorder="1"/>
    <xf numFmtId="16" fontId="50" fillId="5" borderId="62" xfId="0" applyNumberFormat="1" applyFont="1" applyFill="1" applyBorder="1" applyAlignment="1">
      <alignment horizontal="center" vertical="center"/>
    </xf>
    <xf numFmtId="0" fontId="25" fillId="0" borderId="22" xfId="0" applyFont="1" applyBorder="1"/>
    <xf numFmtId="0" fontId="31" fillId="0" borderId="0" xfId="0" applyFont="1" applyFill="1" applyAlignment="1">
      <alignment horizontal="left"/>
    </xf>
    <xf numFmtId="0" fontId="59" fillId="0" borderId="60" xfId="0" applyFont="1" applyFill="1" applyBorder="1" applyAlignment="1">
      <alignment horizontal="left" vertical="center"/>
    </xf>
    <xf numFmtId="0" fontId="59" fillId="0" borderId="60" xfId="0" applyFont="1" applyFill="1" applyBorder="1" applyAlignment="1">
      <alignment horizontal="center"/>
    </xf>
    <xf numFmtId="0" fontId="60" fillId="0" borderId="60" xfId="0" applyFont="1" applyFill="1" applyBorder="1" applyAlignment="1">
      <alignment horizontal="center" vertical="center"/>
    </xf>
    <xf numFmtId="3" fontId="5" fillId="0" borderId="60" xfId="0" applyNumberFormat="1" applyFont="1" applyFill="1" applyBorder="1" applyAlignment="1">
      <alignment horizontal="center"/>
    </xf>
    <xf numFmtId="0" fontId="50" fillId="0" borderId="60" xfId="0" applyFont="1" applyFill="1" applyBorder="1" applyAlignment="1">
      <alignment horizontal="left" vertical="center"/>
    </xf>
    <xf numFmtId="3" fontId="40" fillId="0" borderId="60" xfId="0" applyNumberFormat="1" applyFont="1" applyFill="1" applyBorder="1" applyAlignment="1">
      <alignment horizontal="center" vertical="center"/>
    </xf>
    <xf numFmtId="14" fontId="40" fillId="0" borderId="60" xfId="0" applyNumberFormat="1" applyFont="1" applyFill="1" applyBorder="1" applyAlignment="1">
      <alignment horizontal="center" vertical="center"/>
    </xf>
    <xf numFmtId="0" fontId="37" fillId="0" borderId="60" xfId="0" applyFont="1" applyFill="1" applyBorder="1" applyAlignment="1">
      <alignment horizontal="center" vertical="center"/>
    </xf>
    <xf numFmtId="0" fontId="19" fillId="0" borderId="60" xfId="0" applyFont="1" applyFill="1" applyBorder="1" applyAlignment="1">
      <alignment horizontal="center" vertical="center"/>
    </xf>
    <xf numFmtId="3" fontId="19" fillId="0" borderId="60" xfId="0" applyNumberFormat="1" applyFont="1" applyFill="1" applyBorder="1" applyAlignment="1">
      <alignment horizontal="center" vertical="center"/>
    </xf>
    <xf numFmtId="0" fontId="53" fillId="0" borderId="60" xfId="0" applyFont="1" applyFill="1" applyBorder="1" applyAlignment="1">
      <alignment horizontal="left" vertical="center"/>
    </xf>
    <xf numFmtId="14" fontId="61" fillId="0" borderId="6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61" fillId="0" borderId="60" xfId="0" applyFont="1" applyFill="1" applyBorder="1" applyAlignment="1">
      <alignment horizontal="center" vertical="center"/>
    </xf>
    <xf numFmtId="0" fontId="61" fillId="0" borderId="60" xfId="0" applyFont="1" applyFill="1" applyBorder="1" applyAlignment="1">
      <alignment horizontal="center"/>
    </xf>
    <xf numFmtId="0" fontId="15" fillId="0" borderId="60" xfId="0" applyFont="1" applyFill="1" applyBorder="1" applyAlignment="1">
      <alignment vertical="center"/>
    </xf>
    <xf numFmtId="14" fontId="61" fillId="0" borderId="60" xfId="0" applyNumberFormat="1" applyFont="1" applyFill="1" applyBorder="1" applyAlignment="1">
      <alignment horizontal="center"/>
    </xf>
    <xf numFmtId="3" fontId="19" fillId="0" borderId="60" xfId="2" applyNumberFormat="1" applyFont="1" applyFill="1" applyBorder="1" applyAlignment="1">
      <alignment horizontal="center" vertical="center"/>
    </xf>
    <xf numFmtId="3" fontId="40" fillId="0" borderId="60" xfId="2" applyNumberFormat="1" applyFont="1" applyFill="1" applyBorder="1" applyAlignment="1">
      <alignment horizontal="center" vertical="center"/>
    </xf>
    <xf numFmtId="165" fontId="19" fillId="0" borderId="60" xfId="2" applyNumberFormat="1" applyFont="1" applyFill="1" applyBorder="1" applyAlignment="1">
      <alignment horizontal="center" vertical="center"/>
    </xf>
    <xf numFmtId="0" fontId="34" fillId="0" borderId="0" xfId="0" applyFont="1" applyFill="1"/>
    <xf numFmtId="0" fontId="33" fillId="0" borderId="0" xfId="0" applyFont="1" applyFill="1"/>
    <xf numFmtId="3" fontId="5" fillId="15" borderId="60" xfId="0" applyNumberFormat="1" applyFont="1" applyFill="1" applyBorder="1" applyAlignment="1">
      <alignment horizontal="center" vertical="center"/>
    </xf>
    <xf numFmtId="0" fontId="5" fillId="0" borderId="60" xfId="0" applyFont="1" applyBorder="1" applyAlignment="1">
      <alignment horizontal="left" vertical="center"/>
    </xf>
    <xf numFmtId="0" fontId="5" fillId="0" borderId="60" xfId="0" applyFont="1" applyBorder="1"/>
    <xf numFmtId="0" fontId="54" fillId="5" borderId="60" xfId="0" applyFont="1" applyFill="1" applyBorder="1" applyAlignment="1">
      <alignment horizontal="left" vertical="center"/>
    </xf>
    <xf numFmtId="0" fontId="54" fillId="0" borderId="60" xfId="0" applyFont="1" applyBorder="1" applyAlignment="1">
      <alignment horizontal="left" vertical="center"/>
    </xf>
    <xf numFmtId="0" fontId="5" fillId="0" borderId="60" xfId="0" applyNumberFormat="1" applyFont="1" applyFill="1" applyBorder="1" applyAlignment="1">
      <alignment horizontal="left" vertical="center"/>
    </xf>
    <xf numFmtId="0" fontId="53" fillId="5" borderId="60" xfId="0" applyFont="1" applyFill="1" applyBorder="1" applyAlignment="1">
      <alignment horizontal="left" vertical="center"/>
    </xf>
    <xf numFmtId="3" fontId="5" fillId="0" borderId="60" xfId="0" applyNumberFormat="1" applyFont="1" applyBorder="1" applyAlignment="1">
      <alignment horizontal="center"/>
    </xf>
    <xf numFmtId="0" fontId="7" fillId="0" borderId="0" xfId="1" applyAlignment="1" applyProtection="1"/>
    <xf numFmtId="16" fontId="56" fillId="5" borderId="62" xfId="0" applyNumberFormat="1" applyFont="1" applyFill="1" applyBorder="1" applyAlignment="1">
      <alignment horizontal="center" vertical="center"/>
    </xf>
    <xf numFmtId="0" fontId="50" fillId="15" borderId="60" xfId="0" applyFont="1" applyFill="1" applyBorder="1" applyAlignment="1">
      <alignment horizontal="left" vertical="center"/>
    </xf>
    <xf numFmtId="3" fontId="15" fillId="0" borderId="62" xfId="0" applyNumberFormat="1" applyFont="1" applyFill="1" applyBorder="1" applyAlignment="1">
      <alignment horizontal="center" vertical="center"/>
    </xf>
    <xf numFmtId="3" fontId="5" fillId="5" borderId="60" xfId="0" applyNumberFormat="1" applyFont="1" applyFill="1" applyBorder="1" applyAlignment="1">
      <alignment horizontal="center" vertical="center"/>
    </xf>
    <xf numFmtId="14" fontId="54" fillId="0" borderId="60" xfId="0" applyNumberFormat="1" applyFont="1" applyFill="1" applyBorder="1" applyAlignment="1">
      <alignment horizontal="center" vertical="center"/>
    </xf>
    <xf numFmtId="3" fontId="5" fillId="0" borderId="62" xfId="2" applyNumberFormat="1" applyFont="1" applyFill="1" applyBorder="1" applyAlignment="1">
      <alignment horizontal="center" vertical="center"/>
    </xf>
    <xf numFmtId="0" fontId="31" fillId="14" borderId="62" xfId="0" applyFont="1" applyFill="1" applyBorder="1" applyAlignment="1">
      <alignment horizontal="left"/>
    </xf>
    <xf numFmtId="0" fontId="50" fillId="5" borderId="62" xfId="0" applyFont="1" applyFill="1" applyBorder="1" applyAlignment="1">
      <alignment horizontal="center" vertical="center"/>
    </xf>
    <xf numFmtId="0" fontId="5" fillId="0" borderId="65" xfId="0" applyFont="1" applyFill="1" applyBorder="1" applyAlignment="1">
      <alignment horizontal="left" vertical="center"/>
    </xf>
    <xf numFmtId="0" fontId="5" fillId="18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0" fontId="5" fillId="18" borderId="11" xfId="0" applyFont="1" applyFill="1" applyBorder="1" applyAlignment="1">
      <alignment horizontal="center"/>
    </xf>
    <xf numFmtId="0" fontId="5" fillId="15" borderId="60" xfId="0" applyFont="1" applyFill="1" applyBorder="1" applyAlignment="1">
      <alignment horizontal="center" vertical="center"/>
    </xf>
    <xf numFmtId="0" fontId="54" fillId="15" borderId="62" xfId="0" applyFont="1" applyFill="1" applyBorder="1" applyAlignment="1">
      <alignment horizontal="center" vertical="center"/>
    </xf>
    <xf numFmtId="0" fontId="45" fillId="0" borderId="60" xfId="0" applyFont="1" applyFill="1" applyBorder="1" applyAlignment="1">
      <alignment horizontal="center" vertical="center"/>
    </xf>
    <xf numFmtId="0" fontId="31" fillId="0" borderId="60" xfId="0" applyFont="1" applyFill="1" applyBorder="1" applyAlignment="1">
      <alignment horizontal="left"/>
    </xf>
    <xf numFmtId="0" fontId="62" fillId="0" borderId="62" xfId="0" applyFont="1" applyFill="1" applyBorder="1" applyAlignment="1">
      <alignment horizontal="center" vertical="center"/>
    </xf>
    <xf numFmtId="0" fontId="5" fillId="0" borderId="62" xfId="0" applyFont="1" applyBorder="1" applyAlignment="1">
      <alignment vertical="center"/>
    </xf>
    <xf numFmtId="0" fontId="2" fillId="14" borderId="9" xfId="0" applyFont="1" applyFill="1" applyBorder="1" applyAlignment="1">
      <alignment horizontal="center"/>
    </xf>
    <xf numFmtId="0" fontId="5" fillId="20" borderId="62" xfId="0" applyFont="1" applyFill="1" applyBorder="1" applyAlignment="1">
      <alignment horizontal="center" vertical="center"/>
    </xf>
    <xf numFmtId="0" fontId="5" fillId="20" borderId="62" xfId="0" applyNumberFormat="1" applyFont="1" applyFill="1" applyBorder="1" applyAlignment="1">
      <alignment horizontal="center" vertical="center"/>
    </xf>
    <xf numFmtId="3" fontId="5" fillId="20" borderId="62" xfId="0" applyNumberFormat="1" applyFont="1" applyFill="1" applyBorder="1" applyAlignment="1">
      <alignment horizontal="center" vertical="center"/>
    </xf>
    <xf numFmtId="0" fontId="5" fillId="21" borderId="62" xfId="0" applyFont="1" applyFill="1" applyBorder="1" applyAlignment="1">
      <alignment horizontal="center" vertical="center"/>
    </xf>
    <xf numFmtId="0" fontId="50" fillId="5" borderId="60" xfId="0" applyFont="1" applyFill="1" applyBorder="1" applyAlignment="1">
      <alignment horizontal="left" vertical="center"/>
    </xf>
    <xf numFmtId="0" fontId="5" fillId="0" borderId="60" xfId="0" applyFont="1" applyBorder="1" applyAlignment="1"/>
    <xf numFmtId="3" fontId="54" fillId="0" borderId="60" xfId="0" applyNumberFormat="1" applyFont="1" applyFill="1" applyBorder="1" applyAlignment="1">
      <alignment horizontal="center" vertical="center"/>
    </xf>
    <xf numFmtId="0" fontId="5" fillId="0" borderId="67" xfId="0" applyFont="1" applyBorder="1" applyAlignment="1">
      <alignment horizontal="left" vertical="center"/>
    </xf>
    <xf numFmtId="16" fontId="50" fillId="15" borderId="62" xfId="0" applyNumberFormat="1" applyFont="1" applyFill="1" applyBorder="1" applyAlignment="1">
      <alignment horizontal="center" vertical="center"/>
    </xf>
    <xf numFmtId="16" fontId="5" fillId="15" borderId="62" xfId="0" applyNumberFormat="1" applyFont="1" applyFill="1" applyBorder="1" applyAlignment="1">
      <alignment horizontal="center" vertical="center"/>
    </xf>
    <xf numFmtId="0" fontId="59" fillId="15" borderId="60" xfId="0" applyFont="1" applyFill="1" applyBorder="1" applyAlignment="1">
      <alignment horizontal="left" vertical="center"/>
    </xf>
    <xf numFmtId="0" fontId="62" fillId="15" borderId="62" xfId="0" applyFont="1" applyFill="1" applyBorder="1" applyAlignment="1">
      <alignment horizontal="left" vertical="center"/>
    </xf>
    <xf numFmtId="0" fontId="5" fillId="0" borderId="63" xfId="0" applyFont="1" applyFill="1" applyBorder="1" applyAlignment="1">
      <alignment horizontal="center" vertical="center"/>
    </xf>
    <xf numFmtId="0" fontId="5" fillId="0" borderId="62" xfId="2" applyNumberFormat="1" applyFont="1" applyFill="1" applyBorder="1" applyAlignment="1">
      <alignment vertical="center"/>
    </xf>
    <xf numFmtId="0" fontId="5" fillId="5" borderId="0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64" fillId="0" borderId="0" xfId="0" applyNumberFormat="1" applyFont="1" applyFill="1" applyBorder="1" applyAlignment="1">
      <alignment horizontal="center" vertical="center"/>
    </xf>
    <xf numFmtId="0" fontId="54" fillId="0" borderId="62" xfId="0" applyFont="1" applyFill="1" applyBorder="1"/>
    <xf numFmtId="0" fontId="5" fillId="15" borderId="0" xfId="0" applyFont="1" applyFill="1" applyBorder="1" applyAlignment="1">
      <alignment horizontal="left" vertical="center"/>
    </xf>
    <xf numFmtId="0" fontId="31" fillId="15" borderId="0" xfId="0" applyFont="1" applyFill="1" applyBorder="1"/>
    <xf numFmtId="16" fontId="64" fillId="0" borderId="62" xfId="0" applyNumberFormat="1" applyFont="1" applyFill="1" applyBorder="1" applyAlignment="1">
      <alignment horizontal="center" vertical="center"/>
    </xf>
    <xf numFmtId="3" fontId="50" fillId="5" borderId="60" xfId="0" applyNumberFormat="1" applyFont="1" applyFill="1" applyBorder="1" applyAlignment="1">
      <alignment horizontal="center" vertical="center"/>
    </xf>
    <xf numFmtId="0" fontId="8" fillId="0" borderId="62" xfId="0" applyFont="1" applyFill="1" applyBorder="1" applyAlignment="1">
      <alignment horizontal="center" vertical="center"/>
    </xf>
    <xf numFmtId="17" fontId="5" fillId="0" borderId="62" xfId="0" applyNumberFormat="1" applyFont="1" applyFill="1" applyBorder="1" applyAlignment="1">
      <alignment horizontal="center" vertical="center"/>
    </xf>
    <xf numFmtId="17" fontId="5" fillId="19" borderId="62" xfId="0" applyNumberFormat="1" applyFont="1" applyFill="1" applyBorder="1" applyAlignment="1">
      <alignment horizontal="center" vertical="center"/>
    </xf>
    <xf numFmtId="16" fontId="53" fillId="0" borderId="62" xfId="0" applyNumberFormat="1" applyFont="1" applyFill="1" applyBorder="1" applyAlignment="1">
      <alignment horizontal="center" vertical="center"/>
    </xf>
    <xf numFmtId="0" fontId="65" fillId="0" borderId="60" xfId="0" applyFont="1" applyFill="1" applyBorder="1" applyAlignment="1">
      <alignment horizontal="left" vertical="center"/>
    </xf>
    <xf numFmtId="0" fontId="47" fillId="15" borderId="62" xfId="0" applyFont="1" applyFill="1" applyBorder="1" applyAlignment="1">
      <alignment horizontal="left" vertical="center"/>
    </xf>
    <xf numFmtId="0" fontId="5" fillId="5" borderId="63" xfId="0" applyFont="1" applyFill="1" applyBorder="1" applyAlignment="1">
      <alignment horizontal="left" vertical="center"/>
    </xf>
    <xf numFmtId="0" fontId="54" fillId="0" borderId="62" xfId="0" applyFont="1" applyBorder="1" applyAlignment="1">
      <alignment horizontal="center" vertical="center"/>
    </xf>
    <xf numFmtId="0" fontId="5" fillId="0" borderId="68" xfId="0" applyFont="1" applyFill="1" applyBorder="1" applyAlignment="1">
      <alignment horizontal="center" vertical="center"/>
    </xf>
    <xf numFmtId="0" fontId="53" fillId="15" borderId="62" xfId="0" applyFont="1" applyFill="1" applyBorder="1" applyAlignment="1">
      <alignment horizontal="center" vertical="center"/>
    </xf>
    <xf numFmtId="0" fontId="53" fillId="15" borderId="62" xfId="0" applyFont="1" applyFill="1" applyBorder="1" applyAlignment="1">
      <alignment horizontal="left" vertical="center"/>
    </xf>
    <xf numFmtId="3" fontId="53" fillId="0" borderId="62" xfId="0" applyNumberFormat="1" applyFont="1" applyFill="1" applyBorder="1" applyAlignment="1">
      <alignment horizontal="left" vertical="center"/>
    </xf>
    <xf numFmtId="16" fontId="53" fillId="15" borderId="62" xfId="0" applyNumberFormat="1" applyFont="1" applyFill="1" applyBorder="1" applyAlignment="1">
      <alignment horizontal="center" vertical="center"/>
    </xf>
    <xf numFmtId="0" fontId="54" fillId="0" borderId="63" xfId="0" applyFont="1" applyFill="1" applyBorder="1" applyAlignment="1">
      <alignment horizontal="center" vertical="center"/>
    </xf>
    <xf numFmtId="0" fontId="5" fillId="0" borderId="63" xfId="0" applyFont="1" applyBorder="1" applyAlignment="1">
      <alignment horizontal="left" vertical="center"/>
    </xf>
    <xf numFmtId="0" fontId="5" fillId="0" borderId="69" xfId="0" applyFont="1" applyFill="1" applyBorder="1"/>
    <xf numFmtId="0" fontId="5" fillId="0" borderId="65" xfId="0" applyFont="1" applyBorder="1" applyAlignment="1">
      <alignment horizontal="left" vertical="center"/>
    </xf>
    <xf numFmtId="0" fontId="5" fillId="0" borderId="70" xfId="0" applyFont="1" applyFill="1" applyBorder="1" applyAlignment="1">
      <alignment horizontal="left" vertical="center"/>
    </xf>
    <xf numFmtId="0" fontId="5" fillId="0" borderId="62" xfId="0" applyFont="1" applyFill="1" applyBorder="1"/>
    <xf numFmtId="0" fontId="54" fillId="15" borderId="60" xfId="0" applyFont="1" applyFill="1" applyBorder="1" applyAlignment="1">
      <alignment horizontal="left" vertical="center"/>
    </xf>
    <xf numFmtId="0" fontId="50" fillId="0" borderId="62" xfId="0" applyFont="1" applyFill="1" applyBorder="1" applyAlignment="1">
      <alignment horizontal="center"/>
    </xf>
    <xf numFmtId="14" fontId="5" fillId="0" borderId="60" xfId="0" applyNumberFormat="1" applyFont="1" applyFill="1" applyBorder="1" applyAlignment="1">
      <alignment horizontal="left"/>
    </xf>
    <xf numFmtId="0" fontId="62" fillId="15" borderId="60" xfId="0" applyFont="1" applyFill="1" applyBorder="1" applyAlignment="1">
      <alignment horizontal="left" vertical="center"/>
    </xf>
    <xf numFmtId="0" fontId="5" fillId="0" borderId="60" xfId="0" applyFont="1" applyBorder="1" applyAlignment="1" applyProtection="1">
      <alignment horizontal="left" vertical="center"/>
      <protection locked="0"/>
    </xf>
    <xf numFmtId="3" fontId="5" fillId="0" borderId="60" xfId="0" applyNumberFormat="1" applyFont="1" applyFill="1" applyBorder="1" applyAlignment="1" applyProtection="1">
      <alignment horizontal="center" vertical="center"/>
      <protection locked="0"/>
    </xf>
    <xf numFmtId="0" fontId="31" fillId="14" borderId="66" xfId="0" applyFont="1" applyFill="1" applyBorder="1" applyAlignment="1">
      <alignment horizontal="left"/>
    </xf>
    <xf numFmtId="0" fontId="31" fillId="0" borderId="66" xfId="0" applyFont="1" applyFill="1" applyBorder="1" applyAlignment="1">
      <alignment horizontal="left"/>
    </xf>
    <xf numFmtId="0" fontId="5" fillId="14" borderId="66" xfId="0" applyFont="1" applyFill="1" applyBorder="1" applyAlignment="1">
      <alignment horizontal="left" vertical="center"/>
    </xf>
    <xf numFmtId="0" fontId="5" fillId="15" borderId="66" xfId="0" applyFont="1" applyFill="1" applyBorder="1" applyAlignment="1">
      <alignment horizontal="left" vertical="center"/>
    </xf>
    <xf numFmtId="0" fontId="5" fillId="5" borderId="66" xfId="0" applyFont="1" applyFill="1" applyBorder="1" applyAlignment="1">
      <alignment horizontal="left" vertical="center"/>
    </xf>
    <xf numFmtId="0" fontId="31" fillId="14" borderId="68" xfId="0" applyFont="1" applyFill="1" applyBorder="1" applyAlignment="1">
      <alignment horizontal="left"/>
    </xf>
    <xf numFmtId="0" fontId="46" fillId="14" borderId="66" xfId="0" applyFont="1" applyFill="1" applyBorder="1"/>
    <xf numFmtId="0" fontId="5" fillId="0" borderId="66" xfId="0" applyFont="1" applyFill="1" applyBorder="1" applyAlignment="1">
      <alignment horizontal="left" vertical="center"/>
    </xf>
    <xf numFmtId="0" fontId="59" fillId="0" borderId="66" xfId="0" applyFont="1" applyFill="1" applyBorder="1" applyAlignment="1">
      <alignment horizontal="left" vertical="center"/>
    </xf>
    <xf numFmtId="0" fontId="5" fillId="0" borderId="66" xfId="0" applyFont="1" applyBorder="1" applyAlignment="1">
      <alignment horizontal="left" vertical="center"/>
    </xf>
    <xf numFmtId="0" fontId="5" fillId="0" borderId="66" xfId="0" applyFont="1" applyBorder="1" applyAlignment="1"/>
    <xf numFmtId="0" fontId="31" fillId="14" borderId="71" xfId="0" applyFont="1" applyFill="1" applyBorder="1" applyAlignment="1">
      <alignment horizontal="left"/>
    </xf>
    <xf numFmtId="0" fontId="59" fillId="0" borderId="66" xfId="0" applyFont="1" applyBorder="1" applyAlignment="1">
      <alignment horizontal="left" vertical="center"/>
    </xf>
    <xf numFmtId="0" fontId="5" fillId="0" borderId="66" xfId="0" applyFont="1" applyBorder="1"/>
    <xf numFmtId="0" fontId="54" fillId="5" borderId="66" xfId="0" applyFont="1" applyFill="1" applyBorder="1" applyAlignment="1">
      <alignment horizontal="left" vertical="center"/>
    </xf>
    <xf numFmtId="0" fontId="31" fillId="14" borderId="72" xfId="0" applyFont="1" applyFill="1" applyBorder="1" applyAlignment="1">
      <alignment horizontal="left"/>
    </xf>
    <xf numFmtId="0" fontId="15" fillId="14" borderId="66" xfId="0" applyFont="1" applyFill="1" applyBorder="1" applyAlignment="1">
      <alignment horizontal="left" vertical="center"/>
    </xf>
    <xf numFmtId="0" fontId="31" fillId="0" borderId="73" xfId="0" applyFont="1" applyFill="1" applyBorder="1" applyAlignment="1">
      <alignment horizontal="center"/>
    </xf>
    <xf numFmtId="0" fontId="31" fillId="0" borderId="73" xfId="0" applyFont="1" applyFill="1" applyBorder="1" applyAlignment="1">
      <alignment horizontal="center" vertical="center"/>
    </xf>
    <xf numFmtId="0" fontId="60" fillId="0" borderId="73" xfId="0" applyFont="1" applyFill="1" applyBorder="1" applyAlignment="1">
      <alignment horizontal="center" vertical="center"/>
    </xf>
    <xf numFmtId="0" fontId="55" fillId="0" borderId="73" xfId="0" applyFont="1" applyFill="1" applyBorder="1" applyAlignment="1">
      <alignment horizontal="center" vertical="center"/>
    </xf>
    <xf numFmtId="0" fontId="33" fillId="0" borderId="73" xfId="0" applyFont="1" applyFill="1" applyBorder="1" applyAlignment="1">
      <alignment horizontal="center" vertical="center"/>
    </xf>
    <xf numFmtId="0" fontId="5" fillId="0" borderId="73" xfId="0" applyFont="1" applyFill="1" applyBorder="1" applyAlignment="1">
      <alignment horizontal="left" vertical="center"/>
    </xf>
    <xf numFmtId="3" fontId="5" fillId="0" borderId="73" xfId="0" applyNumberFormat="1" applyFont="1" applyFill="1" applyBorder="1" applyAlignment="1">
      <alignment horizontal="center" vertical="center"/>
    </xf>
    <xf numFmtId="0" fontId="55" fillId="0" borderId="73" xfId="0" applyFont="1" applyFill="1" applyBorder="1" applyAlignment="1">
      <alignment horizontal="center"/>
    </xf>
    <xf numFmtId="0" fontId="60" fillId="0" borderId="73" xfId="0" applyFont="1" applyFill="1" applyBorder="1" applyAlignment="1">
      <alignment horizontal="center"/>
    </xf>
    <xf numFmtId="14" fontId="5" fillId="0" borderId="73" xfId="0" applyNumberFormat="1" applyFont="1" applyFill="1" applyBorder="1" applyAlignment="1">
      <alignment horizontal="center" vertical="center"/>
    </xf>
    <xf numFmtId="0" fontId="67" fillId="0" borderId="73" xfId="0" applyFont="1" applyFill="1" applyBorder="1" applyAlignment="1">
      <alignment horizontal="center" vertical="center"/>
    </xf>
    <xf numFmtId="0" fontId="37" fillId="0" borderId="73" xfId="0" applyFont="1" applyFill="1" applyBorder="1" applyAlignment="1">
      <alignment horizontal="center" vertical="center"/>
    </xf>
    <xf numFmtId="0" fontId="30" fillId="0" borderId="73" xfId="0" applyFont="1" applyFill="1" applyBorder="1" applyAlignment="1">
      <alignment horizontal="center" vertical="center"/>
    </xf>
    <xf numFmtId="0" fontId="68" fillId="0" borderId="73" xfId="0" applyFont="1" applyFill="1" applyBorder="1" applyAlignment="1">
      <alignment horizontal="center" vertical="center"/>
    </xf>
    <xf numFmtId="0" fontId="32" fillId="0" borderId="73" xfId="0" applyFont="1" applyFill="1" applyBorder="1" applyAlignment="1">
      <alignment horizontal="center" vertical="center"/>
    </xf>
    <xf numFmtId="0" fontId="31" fillId="0" borderId="73" xfId="0" applyFont="1" applyFill="1" applyBorder="1"/>
    <xf numFmtId="0" fontId="35" fillId="0" borderId="73" xfId="0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vertical="center"/>
    </xf>
    <xf numFmtId="0" fontId="50" fillId="0" borderId="60" xfId="0" applyFont="1" applyFill="1" applyBorder="1" applyAlignment="1">
      <alignment vertical="center"/>
    </xf>
    <xf numFmtId="0" fontId="60" fillId="22" borderId="66" xfId="0" applyFont="1" applyFill="1" applyBorder="1" applyAlignment="1">
      <alignment horizontal="center"/>
    </xf>
    <xf numFmtId="0" fontId="5" fillId="23" borderId="66" xfId="0" applyFont="1" applyFill="1" applyBorder="1" applyAlignment="1">
      <alignment horizontal="left" vertical="center"/>
    </xf>
    <xf numFmtId="0" fontId="53" fillId="5" borderId="66" xfId="0" applyFont="1" applyFill="1" applyBorder="1" applyAlignment="1">
      <alignment horizontal="left" vertical="center"/>
    </xf>
    <xf numFmtId="0" fontId="8" fillId="11" borderId="60" xfId="0" applyFont="1" applyFill="1" applyBorder="1" applyAlignment="1">
      <alignment horizontal="center"/>
    </xf>
    <xf numFmtId="14" fontId="8" fillId="11" borderId="60" xfId="0" applyNumberFormat="1" applyFont="1" applyFill="1" applyBorder="1" applyAlignment="1">
      <alignment horizontal="center"/>
    </xf>
    <xf numFmtId="0" fontId="30" fillId="11" borderId="73" xfId="0" applyFont="1" applyFill="1" applyBorder="1" applyAlignment="1">
      <alignment horizontal="center"/>
    </xf>
    <xf numFmtId="49" fontId="15" fillId="0" borderId="60" xfId="2" applyNumberFormat="1" applyFont="1" applyFill="1" applyBorder="1" applyAlignment="1">
      <alignment horizontal="center" vertical="center"/>
    </xf>
    <xf numFmtId="49" fontId="15" fillId="0" borderId="60" xfId="2" applyNumberFormat="1" applyFont="1" applyFill="1" applyBorder="1" applyAlignment="1">
      <alignment horizontal="center"/>
    </xf>
    <xf numFmtId="49" fontId="5" fillId="0" borderId="60" xfId="2" applyNumberFormat="1" applyFont="1" applyFill="1" applyBorder="1" applyAlignment="1">
      <alignment horizontal="center" vertical="center"/>
    </xf>
    <xf numFmtId="3" fontId="15" fillId="0" borderId="60" xfId="2" applyNumberFormat="1" applyFont="1" applyFill="1" applyBorder="1" applyAlignment="1">
      <alignment horizontal="center" vertical="center"/>
    </xf>
    <xf numFmtId="0" fontId="69" fillId="0" borderId="73" xfId="0" applyFont="1" applyFill="1" applyBorder="1" applyAlignment="1">
      <alignment horizontal="center" vertical="center"/>
    </xf>
    <xf numFmtId="0" fontId="60" fillId="0" borderId="66" xfId="0" applyFont="1" applyFill="1" applyBorder="1" applyAlignment="1">
      <alignment horizontal="center"/>
    </xf>
    <xf numFmtId="0" fontId="8" fillId="0" borderId="60" xfId="0" applyFont="1" applyFill="1" applyBorder="1" applyAlignment="1">
      <alignment horizontal="center"/>
    </xf>
    <xf numFmtId="14" fontId="8" fillId="0" borderId="60" xfId="0" applyNumberFormat="1" applyFont="1" applyFill="1" applyBorder="1" applyAlignment="1">
      <alignment horizontal="center"/>
    </xf>
    <xf numFmtId="16" fontId="50" fillId="0" borderId="62" xfId="0" applyNumberFormat="1" applyFont="1" applyBorder="1" applyAlignment="1">
      <alignment horizontal="center" vertical="center"/>
    </xf>
    <xf numFmtId="16" fontId="59" fillId="15" borderId="62" xfId="0" applyNumberFormat="1" applyFont="1" applyFill="1" applyBorder="1" applyAlignment="1">
      <alignment horizontal="center" vertical="center"/>
    </xf>
    <xf numFmtId="16" fontId="56" fillId="0" borderId="62" xfId="0" applyNumberFormat="1" applyFont="1" applyBorder="1" applyAlignment="1">
      <alignment horizontal="center" vertical="center"/>
    </xf>
    <xf numFmtId="16" fontId="70" fillId="0" borderId="62" xfId="0" applyNumberFormat="1" applyFont="1" applyFill="1" applyBorder="1" applyAlignment="1">
      <alignment horizontal="center" vertical="center"/>
    </xf>
    <xf numFmtId="16" fontId="56" fillId="15" borderId="62" xfId="0" applyNumberFormat="1" applyFont="1" applyFill="1" applyBorder="1" applyAlignment="1">
      <alignment horizontal="center" vertical="center"/>
    </xf>
    <xf numFmtId="16" fontId="5" fillId="0" borderId="62" xfId="0" applyNumberFormat="1" applyFont="1" applyBorder="1" applyAlignment="1">
      <alignment horizontal="center" vertical="center"/>
    </xf>
    <xf numFmtId="16" fontId="53" fillId="0" borderId="62" xfId="0" applyNumberFormat="1" applyFont="1" applyBorder="1" applyAlignment="1">
      <alignment horizontal="center" vertical="center"/>
    </xf>
    <xf numFmtId="0" fontId="59" fillId="0" borderId="60" xfId="0" applyFont="1" applyBorder="1" applyAlignment="1">
      <alignment horizontal="left" vertical="center"/>
    </xf>
    <xf numFmtId="3" fontId="5" fillId="0" borderId="62" xfId="0" applyNumberFormat="1" applyFont="1" applyFill="1" applyBorder="1" applyAlignment="1">
      <alignment horizontal="center" vertical="center" wrapText="1"/>
    </xf>
    <xf numFmtId="0" fontId="59" fillId="5" borderId="66" xfId="0" applyFont="1" applyFill="1" applyBorder="1" applyAlignment="1">
      <alignment horizontal="left" vertical="center"/>
    </xf>
    <xf numFmtId="0" fontId="53" fillId="15" borderId="60" xfId="0" applyFont="1" applyFill="1" applyBorder="1" applyAlignment="1">
      <alignment horizontal="left" vertical="center"/>
    </xf>
    <xf numFmtId="0" fontId="31" fillId="14" borderId="0" xfId="0" applyFont="1" applyFill="1" applyBorder="1" applyAlignment="1">
      <alignment horizontal="left"/>
    </xf>
    <xf numFmtId="0" fontId="53" fillId="0" borderId="62" xfId="0" applyFont="1" applyFill="1" applyBorder="1" applyAlignment="1">
      <alignment horizontal="center"/>
    </xf>
    <xf numFmtId="16" fontId="53" fillId="5" borderId="62" xfId="0" applyNumberFormat="1" applyFont="1" applyFill="1" applyBorder="1" applyAlignment="1">
      <alignment horizontal="center" vertical="center"/>
    </xf>
    <xf numFmtId="0" fontId="70" fillId="0" borderId="62" xfId="0" applyFont="1" applyFill="1" applyBorder="1" applyAlignment="1">
      <alignment horizontal="center" vertical="center"/>
    </xf>
    <xf numFmtId="0" fontId="54" fillId="15" borderId="60" xfId="0" applyFont="1" applyFill="1" applyBorder="1"/>
    <xf numFmtId="3" fontId="5" fillId="24" borderId="60" xfId="0" applyNumberFormat="1" applyFont="1" applyFill="1" applyBorder="1" applyAlignment="1">
      <alignment horizontal="center"/>
    </xf>
    <xf numFmtId="3" fontId="5" fillId="25" borderId="60" xfId="0" applyNumberFormat="1" applyFont="1" applyFill="1" applyBorder="1" applyAlignment="1">
      <alignment horizontal="center"/>
    </xf>
    <xf numFmtId="0" fontId="49" fillId="0" borderId="60" xfId="0" applyFont="1" applyFill="1" applyBorder="1" applyAlignment="1">
      <alignment horizontal="left" vertical="center"/>
    </xf>
    <xf numFmtId="0" fontId="66" fillId="0" borderId="62" xfId="0" applyFont="1" applyBorder="1" applyAlignment="1">
      <alignment horizontal="center"/>
    </xf>
    <xf numFmtId="16" fontId="73" fillId="0" borderId="62" xfId="0" applyNumberFormat="1" applyFont="1" applyFill="1" applyBorder="1" applyAlignment="1">
      <alignment horizontal="center" vertical="center"/>
    </xf>
    <xf numFmtId="0" fontId="5" fillId="20" borderId="64" xfId="0" applyFont="1" applyFill="1" applyBorder="1" applyAlignment="1">
      <alignment horizontal="center" vertical="center"/>
    </xf>
    <xf numFmtId="166" fontId="5" fillId="20" borderId="62" xfId="0" applyNumberFormat="1" applyFont="1" applyFill="1" applyBorder="1" applyAlignment="1">
      <alignment horizontal="center" vertical="center"/>
    </xf>
    <xf numFmtId="0" fontId="31" fillId="14" borderId="0" xfId="0" applyFont="1" applyFill="1" applyAlignment="1">
      <alignment horizontal="left"/>
    </xf>
    <xf numFmtId="0" fontId="5" fillId="0" borderId="74" xfId="0" applyFont="1" applyFill="1" applyBorder="1" applyAlignment="1">
      <alignment horizontal="left" vertical="center"/>
    </xf>
    <xf numFmtId="0" fontId="5" fillId="0" borderId="61" xfId="0" applyFont="1" applyFill="1" applyBorder="1" applyAlignment="1">
      <alignment horizontal="left" vertical="center"/>
    </xf>
    <xf numFmtId="3" fontId="5" fillId="0" borderId="61" xfId="0" applyNumberFormat="1" applyFont="1" applyFill="1" applyBorder="1" applyAlignment="1">
      <alignment horizontal="center" vertical="center"/>
    </xf>
    <xf numFmtId="3" fontId="5" fillId="0" borderId="76" xfId="0" applyNumberFormat="1" applyFont="1" applyFill="1" applyBorder="1" applyAlignment="1">
      <alignment horizontal="center" vertical="center"/>
    </xf>
    <xf numFmtId="3" fontId="5" fillId="26" borderId="62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0" fontId="5" fillId="0" borderId="60" xfId="2" applyNumberFormat="1" applyFont="1" applyFill="1" applyBorder="1" applyAlignment="1">
      <alignment vertical="center"/>
    </xf>
    <xf numFmtId="0" fontId="5" fillId="0" borderId="61" xfId="0" applyFont="1" applyFill="1" applyBorder="1" applyAlignment="1">
      <alignment horizontal="center" vertical="center"/>
    </xf>
    <xf numFmtId="3" fontId="15" fillId="0" borderId="61" xfId="0" applyNumberFormat="1" applyFont="1" applyFill="1" applyBorder="1" applyAlignment="1">
      <alignment horizontal="center" vertical="center"/>
    </xf>
    <xf numFmtId="14" fontId="5" fillId="0" borderId="61" xfId="0" applyNumberFormat="1" applyFont="1" applyFill="1" applyBorder="1" applyAlignment="1">
      <alignment horizontal="center" vertical="center"/>
    </xf>
    <xf numFmtId="0" fontId="15" fillId="0" borderId="61" xfId="0" applyFont="1" applyFill="1" applyBorder="1" applyAlignment="1">
      <alignment horizontal="center" vertical="center"/>
    </xf>
    <xf numFmtId="0" fontId="5" fillId="0" borderId="74" xfId="0" applyFont="1" applyFill="1" applyBorder="1" applyAlignment="1">
      <alignment horizontal="center" vertical="center"/>
    </xf>
    <xf numFmtId="14" fontId="5" fillId="0" borderId="74" xfId="0" applyNumberFormat="1" applyFont="1" applyFill="1" applyBorder="1" applyAlignment="1">
      <alignment horizontal="center" vertical="center"/>
    </xf>
    <xf numFmtId="3" fontId="5" fillId="0" borderId="74" xfId="0" applyNumberFormat="1" applyFont="1" applyFill="1" applyBorder="1" applyAlignment="1">
      <alignment horizontal="center" vertical="center"/>
    </xf>
    <xf numFmtId="0" fontId="5" fillId="0" borderId="80" xfId="0" applyFont="1" applyFill="1" applyBorder="1" applyAlignment="1">
      <alignment horizontal="left" vertical="center"/>
    </xf>
    <xf numFmtId="0" fontId="50" fillId="0" borderId="62" xfId="0" applyFont="1" applyFill="1" applyBorder="1" applyAlignment="1">
      <alignment horizontal="center" vertical="center" wrapText="1"/>
    </xf>
    <xf numFmtId="0" fontId="50" fillId="19" borderId="62" xfId="0" applyFont="1" applyFill="1" applyBorder="1" applyAlignment="1">
      <alignment horizontal="center" vertical="center" wrapText="1"/>
    </xf>
    <xf numFmtId="0" fontId="70" fillId="15" borderId="62" xfId="0" applyFont="1" applyFill="1" applyBorder="1" applyAlignment="1">
      <alignment horizontal="center" vertical="center"/>
    </xf>
    <xf numFmtId="0" fontId="5" fillId="0" borderId="66" xfId="0" applyFont="1" applyFill="1" applyBorder="1"/>
    <xf numFmtId="0" fontId="15" fillId="0" borderId="62" xfId="0" applyFont="1" applyFill="1" applyBorder="1" applyAlignment="1">
      <alignment horizontal="left" vertical="center"/>
    </xf>
    <xf numFmtId="3" fontId="15" fillId="0" borderId="74" xfId="0" applyNumberFormat="1" applyFont="1" applyFill="1" applyBorder="1" applyAlignment="1">
      <alignment horizontal="center" vertical="center"/>
    </xf>
    <xf numFmtId="0" fontId="70" fillId="0" borderId="62" xfId="0" applyFont="1" applyFill="1" applyBorder="1" applyAlignment="1">
      <alignment horizontal="center"/>
    </xf>
    <xf numFmtId="0" fontId="50" fillId="30" borderId="62" xfId="0" applyFont="1" applyFill="1" applyBorder="1" applyAlignment="1">
      <alignment horizontal="center" vertical="center"/>
    </xf>
    <xf numFmtId="16" fontId="50" fillId="30" borderId="62" xfId="0" applyNumberFormat="1" applyFont="1" applyFill="1" applyBorder="1" applyAlignment="1">
      <alignment horizontal="center" vertical="center"/>
    </xf>
    <xf numFmtId="0" fontId="50" fillId="30" borderId="62" xfId="0" applyFont="1" applyFill="1" applyBorder="1" applyAlignment="1">
      <alignment horizontal="left" vertical="center"/>
    </xf>
    <xf numFmtId="0" fontId="15" fillId="0" borderId="61" xfId="0" applyFont="1" applyFill="1" applyBorder="1" applyAlignment="1">
      <alignment horizontal="left" vertical="center"/>
    </xf>
    <xf numFmtId="3" fontId="5" fillId="0" borderId="78" xfId="0" applyNumberFormat="1" applyFont="1" applyFill="1" applyBorder="1" applyAlignment="1">
      <alignment horizontal="center" vertical="center"/>
    </xf>
    <xf numFmtId="0" fontId="53" fillId="0" borderId="62" xfId="0" applyFont="1" applyBorder="1" applyAlignment="1">
      <alignment horizontal="center"/>
    </xf>
    <xf numFmtId="16" fontId="75" fillId="15" borderId="62" xfId="0" applyNumberFormat="1" applyFont="1" applyFill="1" applyBorder="1" applyAlignment="1">
      <alignment horizontal="center" vertical="center"/>
    </xf>
    <xf numFmtId="0" fontId="53" fillId="15" borderId="62" xfId="0" applyFont="1" applyFill="1" applyBorder="1" applyAlignment="1">
      <alignment horizontal="center"/>
    </xf>
    <xf numFmtId="16" fontId="5" fillId="0" borderId="62" xfId="0" applyNumberFormat="1" applyFont="1" applyFill="1" applyBorder="1" applyAlignment="1">
      <alignment horizontal="left" vertical="center"/>
    </xf>
    <xf numFmtId="0" fontId="50" fillId="0" borderId="62" xfId="0" applyFont="1" applyBorder="1" applyAlignment="1">
      <alignment horizontal="center"/>
    </xf>
    <xf numFmtId="0" fontId="53" fillId="0" borderId="62" xfId="0" applyNumberFormat="1" applyFont="1" applyFill="1" applyBorder="1" applyAlignment="1">
      <alignment horizontal="center" vertical="center"/>
    </xf>
    <xf numFmtId="3" fontId="5" fillId="0" borderId="64" xfId="0" applyNumberFormat="1" applyFont="1" applyFill="1" applyBorder="1" applyAlignment="1">
      <alignment horizontal="center" vertical="center"/>
    </xf>
    <xf numFmtId="0" fontId="31" fillId="14" borderId="67" xfId="0" applyFont="1" applyFill="1" applyBorder="1" applyAlignment="1">
      <alignment horizontal="left"/>
    </xf>
    <xf numFmtId="16" fontId="5" fillId="0" borderId="60" xfId="0" applyNumberFormat="1" applyFont="1" applyFill="1" applyBorder="1" applyAlignment="1">
      <alignment horizontal="left" vertical="center"/>
    </xf>
    <xf numFmtId="0" fontId="5" fillId="15" borderId="60" xfId="0" applyFont="1" applyFill="1" applyBorder="1"/>
    <xf numFmtId="3" fontId="5" fillId="15" borderId="60" xfId="0" applyNumberFormat="1" applyFont="1" applyFill="1" applyBorder="1" applyAlignment="1">
      <alignment horizontal="center" vertical="top" wrapText="1"/>
    </xf>
    <xf numFmtId="0" fontId="57" fillId="31" borderId="60" xfId="0" applyFont="1" applyFill="1" applyBorder="1" applyAlignment="1">
      <alignment horizontal="left" vertical="center"/>
    </xf>
    <xf numFmtId="0" fontId="50" fillId="32" borderId="62" xfId="0" applyFont="1" applyFill="1" applyBorder="1" applyAlignment="1">
      <alignment horizontal="center" vertical="center"/>
    </xf>
    <xf numFmtId="0" fontId="66" fillId="5" borderId="62" xfId="0" applyFont="1" applyFill="1" applyBorder="1" applyAlignment="1">
      <alignment horizontal="center" vertical="center"/>
    </xf>
    <xf numFmtId="0" fontId="50" fillId="15" borderId="62" xfId="0" applyFont="1" applyFill="1" applyBorder="1" applyAlignment="1">
      <alignment horizontal="center"/>
    </xf>
    <xf numFmtId="0" fontId="15" fillId="15" borderId="60" xfId="0" applyFont="1" applyFill="1" applyBorder="1" applyAlignment="1">
      <alignment horizontal="left" vertical="center"/>
    </xf>
    <xf numFmtId="16" fontId="77" fillId="0" borderId="62" xfId="0" applyNumberFormat="1" applyFont="1" applyFill="1" applyBorder="1" applyAlignment="1">
      <alignment horizontal="center" vertical="center"/>
    </xf>
    <xf numFmtId="0" fontId="5" fillId="0" borderId="76" xfId="0" applyFont="1" applyFill="1" applyBorder="1" applyAlignment="1">
      <alignment horizontal="left" vertical="center"/>
    </xf>
    <xf numFmtId="3" fontId="5" fillId="23" borderId="60" xfId="0" applyNumberFormat="1" applyFont="1" applyFill="1" applyBorder="1" applyAlignment="1">
      <alignment horizontal="center" vertical="center"/>
    </xf>
    <xf numFmtId="0" fontId="31" fillId="0" borderId="64" xfId="0" applyFont="1" applyFill="1" applyBorder="1" applyAlignment="1">
      <alignment horizontal="center" vertical="center"/>
    </xf>
    <xf numFmtId="0" fontId="5" fillId="0" borderId="65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4" fillId="15" borderId="62" xfId="0" applyFont="1" applyFill="1" applyBorder="1" applyAlignment="1">
      <alignment horizontal="center"/>
    </xf>
    <xf numFmtId="16" fontId="54" fillId="0" borderId="62" xfId="0" applyNumberFormat="1" applyFont="1" applyFill="1" applyBorder="1" applyAlignment="1">
      <alignment horizontal="center" vertical="center"/>
    </xf>
    <xf numFmtId="0" fontId="5" fillId="0" borderId="66" xfId="0" applyFont="1" applyBorder="1" applyAlignment="1">
      <alignment horizontal="center"/>
    </xf>
    <xf numFmtId="0" fontId="50" fillId="5" borderId="60" xfId="0" applyFont="1" applyFill="1" applyBorder="1" applyAlignment="1">
      <alignment horizontal="center" vertical="center"/>
    </xf>
    <xf numFmtId="16" fontId="50" fillId="0" borderId="60" xfId="0" applyNumberFormat="1" applyFont="1" applyFill="1" applyBorder="1" applyAlignment="1">
      <alignment horizontal="center" vertical="center"/>
    </xf>
    <xf numFmtId="16" fontId="77" fillId="33" borderId="60" xfId="0" applyNumberFormat="1" applyFont="1" applyFill="1" applyBorder="1" applyAlignment="1">
      <alignment horizontal="center" vertical="center"/>
    </xf>
    <xf numFmtId="0" fontId="5" fillId="15" borderId="61" xfId="0" applyFont="1" applyFill="1" applyBorder="1" applyAlignment="1">
      <alignment horizontal="left" vertical="center"/>
    </xf>
    <xf numFmtId="0" fontId="15" fillId="0" borderId="77" xfId="0" applyFont="1" applyFill="1" applyBorder="1" applyAlignment="1">
      <alignment horizontal="left" vertical="center"/>
    </xf>
    <xf numFmtId="3" fontId="15" fillId="0" borderId="0" xfId="0" applyNumberFormat="1" applyFont="1" applyFill="1" applyBorder="1" applyAlignment="1">
      <alignment horizontal="center" vertical="center"/>
    </xf>
    <xf numFmtId="14" fontId="5" fillId="0" borderId="62" xfId="0" applyNumberFormat="1" applyFont="1" applyFill="1" applyBorder="1" applyAlignment="1">
      <alignment horizontal="center"/>
    </xf>
    <xf numFmtId="14" fontId="5" fillId="0" borderId="61" xfId="0" applyNumberFormat="1" applyFont="1" applyFill="1" applyBorder="1" applyAlignment="1">
      <alignment horizontal="center"/>
    </xf>
    <xf numFmtId="14" fontId="5" fillId="0" borderId="71" xfId="0" applyNumberFormat="1" applyFont="1" applyFill="1" applyBorder="1" applyAlignment="1">
      <alignment horizontal="center"/>
    </xf>
    <xf numFmtId="0" fontId="5" fillId="0" borderId="73" xfId="0" applyFont="1" applyFill="1" applyBorder="1" applyAlignment="1">
      <alignment horizontal="center" vertical="center"/>
    </xf>
    <xf numFmtId="0" fontId="55" fillId="0" borderId="62" xfId="0" applyFont="1" applyFill="1" applyBorder="1" applyAlignment="1">
      <alignment horizontal="center" vertical="center"/>
    </xf>
    <xf numFmtId="0" fontId="55" fillId="0" borderId="65" xfId="0" applyFont="1" applyFill="1" applyBorder="1" applyAlignment="1">
      <alignment horizontal="center" vertical="center"/>
    </xf>
    <xf numFmtId="16" fontId="77" fillId="33" borderId="73" xfId="0" applyNumberFormat="1" applyFont="1" applyFill="1" applyBorder="1" applyAlignment="1">
      <alignment horizontal="center" vertical="center"/>
    </xf>
    <xf numFmtId="0" fontId="31" fillId="0" borderId="62" xfId="0" applyFont="1" applyFill="1" applyBorder="1"/>
    <xf numFmtId="0" fontId="5" fillId="19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1" fillId="0" borderId="77" xfId="0" applyFont="1" applyFill="1" applyBorder="1"/>
    <xf numFmtId="0" fontId="5" fillId="0" borderId="0" xfId="0" applyFont="1" applyAlignment="1">
      <alignment horizontal="left" vertical="center"/>
    </xf>
    <xf numFmtId="0" fontId="31" fillId="0" borderId="64" xfId="0" applyFont="1" applyFill="1" applyBorder="1"/>
    <xf numFmtId="0" fontId="31" fillId="0" borderId="65" xfId="0" applyFont="1" applyFill="1" applyBorder="1"/>
    <xf numFmtId="0" fontId="31" fillId="0" borderId="81" xfId="0" applyFont="1" applyFill="1" applyBorder="1"/>
    <xf numFmtId="0" fontId="63" fillId="15" borderId="0" xfId="0" applyFont="1" applyFill="1" applyBorder="1" applyAlignment="1">
      <alignment horizontal="left" vertical="center"/>
    </xf>
    <xf numFmtId="0" fontId="5" fillId="15" borderId="0" xfId="0" applyFont="1" applyFill="1" applyBorder="1"/>
    <xf numFmtId="16" fontId="54" fillId="15" borderId="62" xfId="0" applyNumberFormat="1" applyFont="1" applyFill="1" applyBorder="1" applyAlignment="1">
      <alignment horizontal="center" vertical="center"/>
    </xf>
    <xf numFmtId="0" fontId="62" fillId="0" borderId="62" xfId="0" applyFont="1" applyFill="1" applyBorder="1" applyAlignment="1">
      <alignment horizontal="left" vertical="center"/>
    </xf>
    <xf numFmtId="0" fontId="62" fillId="15" borderId="62" xfId="0" applyFont="1" applyFill="1" applyBorder="1" applyAlignment="1">
      <alignment horizontal="center" vertical="center"/>
    </xf>
    <xf numFmtId="16" fontId="72" fillId="15" borderId="62" xfId="0" applyNumberFormat="1" applyFont="1" applyFill="1" applyBorder="1" applyAlignment="1">
      <alignment horizontal="center" vertical="center"/>
    </xf>
    <xf numFmtId="0" fontId="62" fillId="0" borderId="62" xfId="0" applyFont="1" applyBorder="1" applyAlignment="1">
      <alignment horizontal="center" vertical="center"/>
    </xf>
    <xf numFmtId="0" fontId="62" fillId="0" borderId="62" xfId="0" applyFont="1" applyBorder="1" applyAlignment="1">
      <alignment horizontal="left" vertical="center"/>
    </xf>
    <xf numFmtId="0" fontId="62" fillId="5" borderId="62" xfId="0" applyFont="1" applyFill="1" applyBorder="1" applyAlignment="1">
      <alignment horizontal="left" vertical="center"/>
    </xf>
    <xf numFmtId="0" fontId="54" fillId="5" borderId="62" xfId="0" applyFont="1" applyFill="1" applyBorder="1" applyAlignment="1">
      <alignment horizontal="center" vertical="center"/>
    </xf>
    <xf numFmtId="16" fontId="62" fillId="15" borderId="62" xfId="0" applyNumberFormat="1" applyFont="1" applyFill="1" applyBorder="1" applyAlignment="1">
      <alignment horizontal="center" vertical="center"/>
    </xf>
    <xf numFmtId="0" fontId="7" fillId="0" borderId="0" xfId="1" quotePrefix="1" applyAlignment="1" applyProtection="1"/>
    <xf numFmtId="3" fontId="5" fillId="0" borderId="62" xfId="0" applyNumberFormat="1" applyFont="1" applyFill="1" applyBorder="1" applyAlignment="1">
      <alignment horizontal="left" vertical="center"/>
    </xf>
    <xf numFmtId="0" fontId="5" fillId="15" borderId="62" xfId="0" applyFont="1" applyFill="1" applyBorder="1"/>
    <xf numFmtId="3" fontId="79" fillId="0" borderId="60" xfId="0" applyNumberFormat="1" applyFont="1" applyFill="1" applyBorder="1" applyAlignment="1">
      <alignment horizontal="center" vertical="center"/>
    </xf>
    <xf numFmtId="3" fontId="31" fillId="0" borderId="60" xfId="0" applyNumberFormat="1" applyFont="1" applyBorder="1" applyAlignment="1">
      <alignment horizontal="center"/>
    </xf>
    <xf numFmtId="0" fontId="72" fillId="30" borderId="60" xfId="0" applyFont="1" applyFill="1" applyBorder="1" applyAlignment="1">
      <alignment horizontal="left" vertical="center"/>
    </xf>
    <xf numFmtId="3" fontId="72" fillId="30" borderId="60" xfId="0" applyNumberFormat="1" applyFont="1" applyFill="1" applyBorder="1" applyAlignment="1">
      <alignment horizontal="center" vertical="center"/>
    </xf>
    <xf numFmtId="3" fontId="72" fillId="30" borderId="60" xfId="0" applyNumberFormat="1" applyFont="1" applyFill="1" applyBorder="1" applyAlignment="1">
      <alignment horizontal="center" vertical="center" wrapText="1"/>
    </xf>
    <xf numFmtId="0" fontId="70" fillId="30" borderId="60" xfId="0" applyFont="1" applyFill="1" applyBorder="1" applyAlignment="1">
      <alignment horizontal="left" vertical="center"/>
    </xf>
    <xf numFmtId="3" fontId="5" fillId="30" borderId="60" xfId="0" applyNumberFormat="1" applyFont="1" applyFill="1" applyBorder="1" applyAlignment="1">
      <alignment horizontal="center" vertical="center"/>
    </xf>
    <xf numFmtId="0" fontId="57" fillId="30" borderId="60" xfId="0" applyFont="1" applyFill="1" applyBorder="1" applyAlignment="1">
      <alignment horizontal="left" vertical="center"/>
    </xf>
    <xf numFmtId="0" fontId="57" fillId="30" borderId="60" xfId="0" applyFont="1" applyFill="1" applyBorder="1" applyAlignment="1">
      <alignment horizontal="center" vertical="center"/>
    </xf>
    <xf numFmtId="16" fontId="78" fillId="30" borderId="60" xfId="0" applyNumberFormat="1" applyFont="1" applyFill="1" applyBorder="1" applyAlignment="1">
      <alignment horizontal="center" vertical="center"/>
    </xf>
    <xf numFmtId="16" fontId="72" fillId="0" borderId="62" xfId="0" applyNumberFormat="1" applyFont="1" applyFill="1" applyBorder="1" applyAlignment="1">
      <alignment horizontal="center" vertical="center"/>
    </xf>
    <xf numFmtId="0" fontId="5" fillId="19" borderId="0" xfId="0" applyFont="1" applyFill="1" applyBorder="1" applyAlignment="1">
      <alignment horizontal="center" vertical="center"/>
    </xf>
    <xf numFmtId="0" fontId="55" fillId="0" borderId="64" xfId="0" applyFont="1" applyFill="1" applyBorder="1" applyAlignment="1">
      <alignment horizontal="center" vertical="center"/>
    </xf>
    <xf numFmtId="0" fontId="5" fillId="5" borderId="62" xfId="0" applyNumberFormat="1" applyFont="1" applyFill="1" applyBorder="1" applyAlignment="1">
      <alignment horizontal="left" vertical="center"/>
    </xf>
    <xf numFmtId="0" fontId="31" fillId="14" borderId="85" xfId="0" applyFont="1" applyFill="1" applyBorder="1" applyAlignment="1">
      <alignment horizontal="left"/>
    </xf>
    <xf numFmtId="0" fontId="55" fillId="0" borderId="79" xfId="0" applyFont="1" applyFill="1" applyBorder="1" applyAlignment="1">
      <alignment horizontal="center" vertical="center"/>
    </xf>
    <xf numFmtId="14" fontId="5" fillId="0" borderId="11" xfId="0" applyNumberFormat="1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5" fillId="35" borderId="62" xfId="0" applyFont="1" applyFill="1" applyBorder="1" applyAlignment="1">
      <alignment horizontal="center" vertical="center"/>
    </xf>
    <xf numFmtId="0" fontId="5" fillId="35" borderId="62" xfId="0" applyFont="1" applyFill="1" applyBorder="1" applyAlignment="1">
      <alignment horizontal="left" vertical="center"/>
    </xf>
    <xf numFmtId="3" fontId="5" fillId="35" borderId="62" xfId="0" applyNumberFormat="1" applyFont="1" applyFill="1" applyBorder="1" applyAlignment="1">
      <alignment horizontal="center" vertical="center"/>
    </xf>
    <xf numFmtId="0" fontId="5" fillId="15" borderId="62" xfId="0" applyFont="1" applyFill="1" applyBorder="1" applyAlignment="1">
      <alignment vertical="top" wrapText="1"/>
    </xf>
    <xf numFmtId="0" fontId="31" fillId="14" borderId="11" xfId="0" applyFont="1" applyFill="1" applyBorder="1" applyAlignment="1">
      <alignment horizontal="left"/>
    </xf>
    <xf numFmtId="0" fontId="57" fillId="29" borderId="60" xfId="0" applyFont="1" applyFill="1" applyBorder="1" applyAlignment="1">
      <alignment horizontal="left" vertical="center"/>
    </xf>
    <xf numFmtId="0" fontId="57" fillId="29" borderId="66" xfId="0" applyFont="1" applyFill="1" applyBorder="1" applyAlignment="1">
      <alignment horizontal="left" vertical="center"/>
    </xf>
    <xf numFmtId="0" fontId="31" fillId="0" borderId="62" xfId="0" applyFont="1" applyFill="1" applyBorder="1" applyAlignment="1">
      <alignment horizontal="left"/>
    </xf>
    <xf numFmtId="0" fontId="31" fillId="14" borderId="75" xfId="0" applyFont="1" applyFill="1" applyBorder="1" applyAlignment="1">
      <alignment horizontal="left"/>
    </xf>
    <xf numFmtId="0" fontId="54" fillId="0" borderId="11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left" vertical="center"/>
    </xf>
    <xf numFmtId="0" fontId="15" fillId="0" borderId="75" xfId="0" applyFont="1" applyFill="1" applyBorder="1" applyAlignment="1">
      <alignment horizontal="left" vertical="center"/>
    </xf>
    <xf numFmtId="3" fontId="15" fillId="0" borderId="11" xfId="0" applyNumberFormat="1" applyFont="1" applyFill="1" applyBorder="1" applyAlignment="1">
      <alignment horizontal="center" vertical="center"/>
    </xf>
    <xf numFmtId="0" fontId="15" fillId="0" borderId="83" xfId="0" applyFont="1" applyFill="1" applyBorder="1" applyAlignment="1">
      <alignment horizontal="center" vertical="center"/>
    </xf>
    <xf numFmtId="14" fontId="54" fillId="0" borderId="11" xfId="0" applyNumberFormat="1" applyFont="1" applyFill="1" applyBorder="1" applyAlignment="1">
      <alignment horizontal="center" vertical="center"/>
    </xf>
    <xf numFmtId="0" fontId="55" fillId="0" borderId="11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31" fillId="0" borderId="84" xfId="0" applyFont="1" applyFill="1" applyBorder="1"/>
    <xf numFmtId="16" fontId="72" fillId="34" borderId="62" xfId="0" applyNumberFormat="1" applyFont="1" applyFill="1" applyBorder="1" applyAlignment="1">
      <alignment horizontal="center" vertical="center"/>
    </xf>
    <xf numFmtId="0" fontId="56" fillId="0" borderId="62" xfId="0" applyFont="1" applyFill="1" applyBorder="1" applyAlignment="1">
      <alignment horizontal="center" vertical="center"/>
    </xf>
    <xf numFmtId="3" fontId="5" fillId="0" borderId="62" xfId="0" applyNumberFormat="1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 wrapText="1"/>
    </xf>
    <xf numFmtId="3" fontId="5" fillId="15" borderId="6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54" fillId="0" borderId="62" xfId="0" applyNumberFormat="1" applyFont="1" applyFill="1" applyBorder="1" applyAlignment="1">
      <alignment horizontal="center" vertical="center"/>
    </xf>
    <xf numFmtId="16" fontId="71" fillId="0" borderId="62" xfId="0" applyNumberFormat="1" applyFont="1" applyFill="1" applyBorder="1" applyAlignment="1">
      <alignment horizontal="center" vertical="center"/>
    </xf>
    <xf numFmtId="16" fontId="59" fillId="0" borderId="62" xfId="0" applyNumberFormat="1" applyFont="1" applyFill="1" applyBorder="1" applyAlignment="1">
      <alignment horizontal="center" vertical="center"/>
    </xf>
    <xf numFmtId="0" fontId="57" fillId="15" borderId="62" xfId="0" applyFont="1" applyFill="1" applyBorder="1" applyAlignment="1">
      <alignment horizontal="center"/>
    </xf>
    <xf numFmtId="16" fontId="57" fillId="15" borderId="62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3" fontId="5" fillId="0" borderId="82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0" fontId="70" fillId="5" borderId="62" xfId="0" applyFont="1" applyFill="1" applyBorder="1" applyAlignment="1">
      <alignment horizontal="center" vertical="center"/>
    </xf>
    <xf numFmtId="0" fontId="70" fillId="0" borderId="62" xfId="0" applyFont="1" applyBorder="1" applyAlignment="1">
      <alignment horizontal="center"/>
    </xf>
    <xf numFmtId="0" fontId="5" fillId="14" borderId="60" xfId="0" applyFont="1" applyFill="1" applyBorder="1" applyAlignment="1">
      <alignment horizontal="left" vertical="center"/>
    </xf>
    <xf numFmtId="3" fontId="5" fillId="0" borderId="11" xfId="0" applyNumberFormat="1" applyFont="1" applyFill="1" applyBorder="1" applyAlignment="1">
      <alignment horizontal="center" vertical="center"/>
    </xf>
    <xf numFmtId="0" fontId="53" fillId="18" borderId="60" xfId="0" applyFont="1" applyFill="1" applyBorder="1" applyAlignment="1">
      <alignment horizontal="left" vertical="center"/>
    </xf>
    <xf numFmtId="0" fontId="15" fillId="0" borderId="74" xfId="0" applyFont="1" applyFill="1" applyBorder="1" applyAlignment="1">
      <alignment horizontal="left" vertical="center"/>
    </xf>
    <xf numFmtId="3" fontId="5" fillId="0" borderId="60" xfId="0" applyNumberFormat="1" applyFont="1" applyBorder="1" applyAlignment="1">
      <alignment horizontal="center" vertical="center"/>
    </xf>
    <xf numFmtId="3" fontId="15" fillId="0" borderId="11" xfId="0" applyNumberFormat="1" applyFont="1" applyFill="1" applyBorder="1" applyAlignment="1">
      <alignment horizontal="center"/>
    </xf>
    <xf numFmtId="16" fontId="77" fillId="33" borderId="11" xfId="0" applyNumberFormat="1" applyFont="1" applyFill="1" applyBorder="1" applyAlignment="1">
      <alignment horizontal="center" vertical="center"/>
    </xf>
    <xf numFmtId="0" fontId="30" fillId="0" borderId="73" xfId="0" applyFont="1" applyFill="1" applyBorder="1" applyAlignment="1">
      <alignment horizontal="center"/>
    </xf>
    <xf numFmtId="0" fontId="5" fillId="15" borderId="62" xfId="0" applyFont="1" applyFill="1" applyBorder="1" applyAlignment="1">
      <alignment vertical="center"/>
    </xf>
    <xf numFmtId="0" fontId="5" fillId="30" borderId="60" xfId="0" applyFont="1" applyFill="1" applyBorder="1" applyAlignment="1">
      <alignment horizontal="left" vertical="center"/>
    </xf>
    <xf numFmtId="0" fontId="5" fillId="30" borderId="60" xfId="0" applyFont="1" applyFill="1" applyBorder="1" applyAlignment="1">
      <alignment horizontal="center" vertical="center"/>
    </xf>
    <xf numFmtId="0" fontId="5" fillId="30" borderId="60" xfId="0" applyFont="1" applyFill="1" applyBorder="1" applyAlignment="1">
      <alignment horizontal="center"/>
    </xf>
    <xf numFmtId="3" fontId="70" fillId="30" borderId="60" xfId="2" applyNumberFormat="1" applyFont="1" applyFill="1" applyBorder="1" applyAlignment="1">
      <alignment horizontal="center" vertical="center"/>
    </xf>
    <xf numFmtId="16" fontId="70" fillId="30" borderId="60" xfId="0" applyNumberFormat="1" applyFont="1" applyFill="1" applyBorder="1" applyAlignment="1">
      <alignment horizontal="center" vertical="center"/>
    </xf>
    <xf numFmtId="0" fontId="5" fillId="0" borderId="64" xfId="0" applyFont="1" applyFill="1" applyBorder="1" applyAlignment="1">
      <alignment horizontal="center" vertical="center"/>
    </xf>
    <xf numFmtId="22" fontId="80" fillId="15" borderId="0" xfId="0" applyNumberFormat="1" applyFont="1" applyFill="1" applyAlignment="1">
      <alignment horizontal="left" vertical="center"/>
    </xf>
    <xf numFmtId="0" fontId="80" fillId="15" borderId="0" xfId="0" applyFont="1" applyFill="1" applyAlignment="1">
      <alignment vertical="center"/>
    </xf>
    <xf numFmtId="0" fontId="81" fillId="15" borderId="0" xfId="0" applyFont="1" applyFill="1" applyAlignment="1">
      <alignment vertical="center"/>
    </xf>
    <xf numFmtId="0" fontId="80" fillId="15" borderId="92" xfId="0" quotePrefix="1" applyFont="1" applyFill="1" applyBorder="1" applyAlignment="1">
      <alignment horizontal="center" vertical="center"/>
    </xf>
    <xf numFmtId="0" fontId="80" fillId="15" borderId="93" xfId="0" applyFont="1" applyFill="1" applyBorder="1" applyAlignment="1">
      <alignment horizontal="center" vertical="center"/>
    </xf>
    <xf numFmtId="0" fontId="81" fillId="15" borderId="94" xfId="0" applyFont="1" applyFill="1" applyBorder="1" applyAlignment="1">
      <alignment horizontal="center" vertical="center"/>
    </xf>
    <xf numFmtId="0" fontId="81" fillId="15" borderId="0" xfId="0" applyFont="1" applyFill="1" applyAlignment="1">
      <alignment horizontal="center" vertical="center"/>
    </xf>
    <xf numFmtId="0" fontId="80" fillId="15" borderId="92" xfId="0" applyFont="1" applyFill="1" applyBorder="1" applyAlignment="1">
      <alignment horizontal="center" vertical="center"/>
    </xf>
    <xf numFmtId="0" fontId="81" fillId="15" borderId="93" xfId="0" applyFont="1" applyFill="1" applyBorder="1" applyAlignment="1">
      <alignment horizontal="center" vertical="center"/>
    </xf>
    <xf numFmtId="0" fontId="81" fillId="15" borderId="95" xfId="0" applyFont="1" applyFill="1" applyBorder="1" applyAlignment="1">
      <alignment horizontal="center" vertical="center"/>
    </xf>
    <xf numFmtId="0" fontId="80" fillId="15" borderId="96" xfId="0" applyFont="1" applyFill="1" applyBorder="1" applyAlignment="1">
      <alignment horizontal="center" vertical="center"/>
    </xf>
    <xf numFmtId="0" fontId="81" fillId="15" borderId="11" xfId="0" applyFont="1" applyFill="1" applyBorder="1" applyAlignment="1">
      <alignment horizontal="center" vertical="center"/>
    </xf>
    <xf numFmtId="0" fontId="80" fillId="15" borderId="11" xfId="0" applyFont="1" applyFill="1" applyBorder="1" applyAlignment="1">
      <alignment horizontal="center" vertical="center"/>
    </xf>
    <xf numFmtId="0" fontId="81" fillId="15" borderId="97" xfId="0" applyFont="1" applyFill="1" applyBorder="1" applyAlignment="1">
      <alignment horizontal="center" vertical="center"/>
    </xf>
    <xf numFmtId="0" fontId="81" fillId="34" borderId="11" xfId="0" applyFont="1" applyFill="1" applyBorder="1" applyAlignment="1">
      <alignment horizontal="center" vertical="center"/>
    </xf>
    <xf numFmtId="0" fontId="81" fillId="27" borderId="11" xfId="0" applyFont="1" applyFill="1" applyBorder="1" applyAlignment="1">
      <alignment horizontal="center" vertical="center"/>
    </xf>
    <xf numFmtId="0" fontId="81" fillId="15" borderId="0" xfId="0" applyFont="1" applyFill="1" applyAlignment="1">
      <alignment horizontal="left" vertical="center"/>
    </xf>
    <xf numFmtId="0" fontId="81" fillId="15" borderId="97" xfId="0" applyFont="1" applyFill="1" applyBorder="1" applyAlignment="1">
      <alignment horizontal="center"/>
    </xf>
    <xf numFmtId="0" fontId="80" fillId="15" borderId="97" xfId="0" applyFont="1" applyFill="1" applyBorder="1" applyAlignment="1">
      <alignment horizontal="center" vertical="center"/>
    </xf>
    <xf numFmtId="0" fontId="81" fillId="15" borderId="11" xfId="0" applyFont="1" applyFill="1" applyBorder="1" applyAlignment="1">
      <alignment horizontal="center"/>
    </xf>
    <xf numFmtId="0" fontId="81" fillId="15" borderId="0" xfId="0" applyFont="1" applyFill="1" applyBorder="1" applyAlignment="1">
      <alignment vertical="center"/>
    </xf>
    <xf numFmtId="0" fontId="81" fillId="14" borderId="11" xfId="0" applyFont="1" applyFill="1" applyBorder="1" applyAlignment="1">
      <alignment horizontal="center" vertical="center"/>
    </xf>
    <xf numFmtId="0" fontId="81" fillId="34" borderId="97" xfId="0" applyFont="1" applyFill="1" applyBorder="1" applyAlignment="1">
      <alignment horizontal="center" vertical="center"/>
    </xf>
    <xf numFmtId="0" fontId="81" fillId="15" borderId="98" xfId="0" applyFont="1" applyFill="1" applyBorder="1" applyAlignment="1">
      <alignment horizontal="center" vertical="center"/>
    </xf>
    <xf numFmtId="0" fontId="81" fillId="15" borderId="99" xfId="0" applyFont="1" applyFill="1" applyBorder="1" applyAlignment="1">
      <alignment horizontal="center" vertical="center"/>
    </xf>
    <xf numFmtId="0" fontId="81" fillId="15" borderId="100" xfId="0" applyFont="1" applyFill="1" applyBorder="1" applyAlignment="1">
      <alignment horizontal="center" vertical="center"/>
    </xf>
    <xf numFmtId="0" fontId="80" fillId="15" borderId="101" xfId="0" applyFont="1" applyFill="1" applyBorder="1" applyAlignment="1">
      <alignment horizontal="center" vertical="center"/>
    </xf>
    <xf numFmtId="0" fontId="81" fillId="15" borderId="102" xfId="0" applyFont="1" applyFill="1" applyBorder="1" applyAlignment="1">
      <alignment horizontal="center" vertical="center"/>
    </xf>
    <xf numFmtId="0" fontId="80" fillId="15" borderId="102" xfId="0" applyFont="1" applyFill="1" applyBorder="1" applyAlignment="1">
      <alignment horizontal="center" vertical="center"/>
    </xf>
    <xf numFmtId="0" fontId="80" fillId="15" borderId="99" xfId="0" applyFont="1" applyFill="1" applyBorder="1" applyAlignment="1">
      <alignment horizontal="center" vertical="center"/>
    </xf>
    <xf numFmtId="0" fontId="81" fillId="15" borderId="0" xfId="0" applyFont="1" applyFill="1" applyAlignment="1">
      <alignment horizontal="right" vertical="center"/>
    </xf>
    <xf numFmtId="0" fontId="80" fillId="15" borderId="103" xfId="0" applyFont="1" applyFill="1" applyBorder="1" applyAlignment="1">
      <alignment horizontal="center" vertical="center"/>
    </xf>
    <xf numFmtId="0" fontId="81" fillId="15" borderId="104" xfId="0" applyFont="1" applyFill="1" applyBorder="1" applyAlignment="1">
      <alignment horizontal="center" vertical="center"/>
    </xf>
    <xf numFmtId="0" fontId="80" fillId="15" borderId="104" xfId="0" applyFont="1" applyFill="1" applyBorder="1" applyAlignment="1">
      <alignment horizontal="center" vertical="center"/>
    </xf>
    <xf numFmtId="0" fontId="81" fillId="15" borderId="105" xfId="0" applyFont="1" applyFill="1" applyBorder="1" applyAlignment="1">
      <alignment horizontal="center" vertical="center"/>
    </xf>
    <xf numFmtId="0" fontId="80" fillId="15" borderId="106" xfId="0" applyFont="1" applyFill="1" applyBorder="1" applyAlignment="1">
      <alignment horizontal="center" vertical="center"/>
    </xf>
    <xf numFmtId="0" fontId="80" fillId="15" borderId="106" xfId="0" applyFont="1" applyFill="1" applyBorder="1" applyAlignment="1" applyProtection="1">
      <alignment horizontal="center" vertical="center"/>
    </xf>
    <xf numFmtId="0" fontId="80" fillId="15" borderId="108" xfId="0" applyFont="1" applyFill="1" applyBorder="1" applyAlignment="1" applyProtection="1">
      <alignment horizontal="center" vertical="center"/>
    </xf>
    <xf numFmtId="0" fontId="80" fillId="15" borderId="108" xfId="0" applyFont="1" applyFill="1" applyBorder="1" applyAlignment="1">
      <alignment horizontal="center" vertical="center"/>
    </xf>
    <xf numFmtId="0" fontId="80" fillId="15" borderId="88" xfId="0" applyFont="1" applyFill="1" applyBorder="1" applyAlignment="1" applyProtection="1">
      <alignment horizontal="center" vertical="center"/>
    </xf>
    <xf numFmtId="0" fontId="80" fillId="0" borderId="0" xfId="0" applyFont="1" applyAlignment="1">
      <alignment vertical="center"/>
    </xf>
    <xf numFmtId="22" fontId="80" fillId="0" borderId="0" xfId="0" applyNumberFormat="1" applyFont="1" applyAlignment="1">
      <alignment vertical="center"/>
    </xf>
    <xf numFmtId="0" fontId="81" fillId="0" borderId="0" xfId="0" applyFont="1" applyAlignment="1">
      <alignment vertical="center"/>
    </xf>
    <xf numFmtId="0" fontId="81" fillId="0" borderId="106" xfId="0" applyFont="1" applyBorder="1" applyAlignment="1" applyProtection="1">
      <alignment horizontal="center" vertical="center"/>
    </xf>
    <xf numFmtId="167" fontId="80" fillId="0" borderId="110" xfId="0" applyNumberFormat="1" applyFont="1" applyBorder="1" applyAlignment="1" applyProtection="1">
      <alignment vertical="center" shrinkToFit="1"/>
    </xf>
    <xf numFmtId="167" fontId="80" fillId="0" borderId="111" xfId="0" applyNumberFormat="1" applyFont="1" applyBorder="1" applyAlignment="1" applyProtection="1">
      <alignment vertical="center" shrinkToFit="1"/>
    </xf>
    <xf numFmtId="0" fontId="81" fillId="0" borderId="112" xfId="0" applyFont="1" applyBorder="1" applyAlignment="1">
      <alignment vertical="center"/>
    </xf>
    <xf numFmtId="0" fontId="81" fillId="0" borderId="0" xfId="0" applyFont="1" applyAlignment="1">
      <alignment horizontal="right" vertical="center"/>
    </xf>
    <xf numFmtId="167" fontId="80" fillId="0" borderId="114" xfId="0" applyNumberFormat="1" applyFont="1" applyBorder="1" applyAlignment="1" applyProtection="1">
      <alignment vertical="center" shrinkToFit="1"/>
    </xf>
    <xf numFmtId="167" fontId="80" fillId="0" borderId="115" xfId="0" applyNumberFormat="1" applyFont="1" applyBorder="1" applyAlignment="1" applyProtection="1">
      <alignment vertical="center" shrinkToFit="1"/>
    </xf>
    <xf numFmtId="0" fontId="81" fillId="0" borderId="0" xfId="0" applyFont="1" applyBorder="1" applyAlignment="1">
      <alignment vertical="center"/>
    </xf>
    <xf numFmtId="0" fontId="81" fillId="0" borderId="0" xfId="0" applyFont="1" applyBorder="1" applyAlignment="1">
      <alignment horizontal="center" vertical="center"/>
    </xf>
    <xf numFmtId="0" fontId="80" fillId="36" borderId="116" xfId="0" applyFont="1" applyFill="1" applyBorder="1" applyAlignment="1" applyProtection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Border="1" applyAlignment="1">
      <alignment horizontal="center" vertical="center"/>
    </xf>
    <xf numFmtId="0" fontId="80" fillId="0" borderId="106" xfId="0" applyFont="1" applyBorder="1" applyAlignment="1">
      <alignment horizontal="center" vertical="center"/>
    </xf>
    <xf numFmtId="0" fontId="81" fillId="27" borderId="0" xfId="0" applyFont="1" applyFill="1" applyAlignment="1">
      <alignment horizontal="center" vertical="center"/>
    </xf>
    <xf numFmtId="0" fontId="80" fillId="0" borderId="0" xfId="0" applyFont="1" applyBorder="1" applyAlignment="1">
      <alignment horizontal="center" vertical="center"/>
    </xf>
    <xf numFmtId="22" fontId="81" fillId="17" borderId="0" xfId="0" applyNumberFormat="1" applyFont="1" applyFill="1" applyAlignment="1">
      <alignment vertical="center"/>
    </xf>
    <xf numFmtId="22" fontId="81" fillId="0" borderId="0" xfId="0" applyNumberFormat="1" applyFont="1" applyAlignment="1">
      <alignment vertical="center"/>
    </xf>
    <xf numFmtId="0" fontId="80" fillId="16" borderId="0" xfId="0" applyFont="1" applyFill="1" applyAlignment="1">
      <alignment vertical="center"/>
    </xf>
    <xf numFmtId="0" fontId="1" fillId="14" borderId="0" xfId="0" applyFont="1" applyFill="1"/>
    <xf numFmtId="0" fontId="80" fillId="0" borderId="0" xfId="0" applyFont="1"/>
    <xf numFmtId="0" fontId="1" fillId="0" borderId="0" xfId="0" applyFont="1"/>
    <xf numFmtId="0" fontId="80" fillId="36" borderId="108" xfId="0" quotePrefix="1" applyFont="1" applyFill="1" applyBorder="1" applyAlignment="1">
      <alignment horizontal="center" vertical="center"/>
    </xf>
    <xf numFmtId="0" fontId="5" fillId="14" borderId="62" xfId="0" applyFont="1" applyFill="1" applyBorder="1" applyAlignment="1">
      <alignment horizontal="center" vertical="center"/>
    </xf>
    <xf numFmtId="0" fontId="5" fillId="14" borderId="62" xfId="0" applyFont="1" applyFill="1" applyBorder="1" applyAlignment="1">
      <alignment horizontal="left" vertical="center"/>
    </xf>
    <xf numFmtId="0" fontId="5" fillId="27" borderId="62" xfId="0" applyFont="1" applyFill="1" applyBorder="1" applyAlignment="1">
      <alignment horizontal="center" vertical="center"/>
    </xf>
    <xf numFmtId="0" fontId="5" fillId="27" borderId="62" xfId="0" applyFont="1" applyFill="1" applyBorder="1" applyAlignment="1">
      <alignment horizontal="left" vertical="center"/>
    </xf>
    <xf numFmtId="3" fontId="5" fillId="27" borderId="62" xfId="0" applyNumberFormat="1" applyFont="1" applyFill="1" applyBorder="1" applyAlignment="1">
      <alignment horizontal="center" vertical="center"/>
    </xf>
    <xf numFmtId="0" fontId="53" fillId="15" borderId="62" xfId="0" applyFont="1" applyFill="1" applyBorder="1"/>
    <xf numFmtId="3" fontId="53" fillId="15" borderId="62" xfId="0" applyNumberFormat="1" applyFont="1" applyFill="1" applyBorder="1" applyAlignment="1">
      <alignment horizontal="center" vertical="center"/>
    </xf>
    <xf numFmtId="16" fontId="5" fillId="27" borderId="62" xfId="0" applyNumberFormat="1" applyFont="1" applyFill="1" applyBorder="1" applyAlignment="1">
      <alignment horizontal="center" vertical="center"/>
    </xf>
    <xf numFmtId="0" fontId="50" fillId="15" borderId="62" xfId="0" applyFont="1" applyFill="1" applyBorder="1" applyAlignment="1">
      <alignment horizontal="left" vertical="center"/>
    </xf>
    <xf numFmtId="3" fontId="53" fillId="0" borderId="62" xfId="2" applyNumberFormat="1" applyFont="1" applyFill="1" applyBorder="1" applyAlignment="1">
      <alignment horizontal="center" vertical="center"/>
    </xf>
    <xf numFmtId="0" fontId="84" fillId="0" borderId="62" xfId="0" applyFont="1" applyBorder="1" applyAlignment="1">
      <alignment horizontal="center"/>
    </xf>
    <xf numFmtId="0" fontId="84" fillId="15" borderId="62" xfId="0" applyFont="1" applyFill="1" applyBorder="1" applyAlignment="1">
      <alignment horizontal="center" vertical="center"/>
    </xf>
    <xf numFmtId="0" fontId="84" fillId="5" borderId="62" xfId="0" applyFont="1" applyFill="1" applyBorder="1" applyAlignment="1">
      <alignment horizontal="center" vertical="center"/>
    </xf>
    <xf numFmtId="0" fontId="84" fillId="0" borderId="62" xfId="0" applyFont="1" applyFill="1" applyBorder="1" applyAlignment="1">
      <alignment horizontal="center" vertical="center"/>
    </xf>
    <xf numFmtId="0" fontId="31" fillId="0" borderId="66" xfId="0" applyFont="1" applyFill="1" applyBorder="1"/>
    <xf numFmtId="0" fontId="5" fillId="0" borderId="11" xfId="0" applyFont="1" applyFill="1" applyBorder="1" applyAlignment="1">
      <alignment horizontal="left" vertical="center"/>
    </xf>
    <xf numFmtId="0" fontId="81" fillId="35" borderId="97" xfId="0" applyFont="1" applyFill="1" applyBorder="1" applyAlignment="1">
      <alignment horizontal="center" vertical="center"/>
    </xf>
    <xf numFmtId="16" fontId="72" fillId="35" borderId="62" xfId="0" applyNumberFormat="1" applyFont="1" applyFill="1" applyBorder="1" applyAlignment="1">
      <alignment horizontal="center" vertical="center"/>
    </xf>
    <xf numFmtId="0" fontId="5" fillId="35" borderId="62" xfId="0" applyFont="1" applyFill="1" applyBorder="1" applyAlignment="1">
      <alignment horizontal="center"/>
    </xf>
    <xf numFmtId="0" fontId="55" fillId="0" borderId="0" xfId="0" applyFont="1" applyFill="1" applyBorder="1" applyAlignment="1">
      <alignment horizontal="center" vertical="center"/>
    </xf>
    <xf numFmtId="0" fontId="5" fillId="37" borderId="62" xfId="0" applyFont="1" applyFill="1" applyBorder="1" applyAlignment="1">
      <alignment horizontal="center"/>
    </xf>
    <xf numFmtId="0" fontId="5" fillId="0" borderId="74" xfId="0" applyFont="1" applyFill="1" applyBorder="1" applyAlignment="1">
      <alignment horizontal="center"/>
    </xf>
    <xf numFmtId="0" fontId="85" fillId="23" borderId="60" xfId="0" applyFont="1" applyFill="1" applyBorder="1" applyAlignment="1">
      <alignment horizontal="center" vertical="center"/>
    </xf>
    <xf numFmtId="0" fontId="62" fillId="0" borderId="61" xfId="0" applyFont="1" applyBorder="1" applyAlignment="1">
      <alignment horizontal="left" vertical="center"/>
    </xf>
    <xf numFmtId="0" fontId="5" fillId="5" borderId="74" xfId="0" applyFont="1" applyFill="1" applyBorder="1" applyAlignment="1">
      <alignment horizontal="left" vertical="center"/>
    </xf>
    <xf numFmtId="0" fontId="5" fillId="0" borderId="67" xfId="0" applyFont="1" applyFill="1" applyBorder="1" applyAlignment="1">
      <alignment horizontal="left" vertical="center"/>
    </xf>
    <xf numFmtId="0" fontId="62" fillId="0" borderId="60" xfId="0" applyFont="1" applyFill="1" applyBorder="1" applyAlignment="1">
      <alignment horizontal="left" vertical="center"/>
    </xf>
    <xf numFmtId="0" fontId="85" fillId="23" borderId="60" xfId="0" applyFont="1" applyFill="1" applyBorder="1"/>
    <xf numFmtId="0" fontId="5" fillId="0" borderId="61" xfId="0" applyFont="1" applyBorder="1" applyAlignment="1">
      <alignment horizontal="left" vertical="center"/>
    </xf>
    <xf numFmtId="0" fontId="15" fillId="0" borderId="63" xfId="0" applyFont="1" applyFill="1" applyBorder="1" applyAlignment="1">
      <alignment horizontal="left" vertical="center"/>
    </xf>
    <xf numFmtId="3" fontId="54" fillId="0" borderId="78" xfId="0" applyNumberFormat="1" applyFont="1" applyFill="1" applyBorder="1" applyAlignment="1">
      <alignment horizontal="center" vertical="center"/>
    </xf>
    <xf numFmtId="3" fontId="15" fillId="0" borderId="64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49" fontId="15" fillId="0" borderId="62" xfId="2" applyNumberFormat="1" applyFont="1" applyFill="1" applyBorder="1" applyAlignment="1">
      <alignment horizontal="center" vertical="center"/>
    </xf>
    <xf numFmtId="3" fontId="15" fillId="0" borderId="73" xfId="0" applyNumberFormat="1" applyFont="1" applyFill="1" applyBorder="1" applyAlignment="1">
      <alignment horizontal="center" vertical="center"/>
    </xf>
    <xf numFmtId="3" fontId="5" fillId="0" borderId="0" xfId="2" applyNumberFormat="1" applyFont="1" applyFill="1" applyBorder="1" applyAlignment="1">
      <alignment horizontal="center" vertical="center"/>
    </xf>
    <xf numFmtId="3" fontId="61" fillId="0" borderId="62" xfId="0" quotePrefix="1" applyNumberFormat="1" applyFont="1" applyFill="1" applyBorder="1" applyAlignment="1">
      <alignment horizontal="center" vertical="center"/>
    </xf>
    <xf numFmtId="3" fontId="5" fillId="0" borderId="79" xfId="0" applyNumberFormat="1" applyFont="1" applyFill="1" applyBorder="1" applyAlignment="1">
      <alignment horizontal="center" vertical="center"/>
    </xf>
    <xf numFmtId="3" fontId="5" fillId="0" borderId="62" xfId="0" applyNumberFormat="1" applyFont="1" applyBorder="1" applyAlignment="1">
      <alignment horizontal="center"/>
    </xf>
    <xf numFmtId="14" fontId="5" fillId="0" borderId="73" xfId="0" applyNumberFormat="1" applyFont="1" applyFill="1" applyBorder="1" applyAlignment="1">
      <alignment horizontal="center"/>
    </xf>
    <xf numFmtId="14" fontId="15" fillId="0" borderId="74" xfId="0" applyNumberFormat="1" applyFont="1" applyFill="1" applyBorder="1" applyAlignment="1">
      <alignment horizontal="center" vertical="center"/>
    </xf>
    <xf numFmtId="0" fontId="83" fillId="15" borderId="62" xfId="0" applyFont="1" applyFill="1" applyBorder="1" applyAlignment="1">
      <alignment horizontal="center" vertical="center"/>
    </xf>
    <xf numFmtId="0" fontId="7" fillId="15" borderId="0" xfId="1" applyFill="1" applyAlignment="1" applyProtection="1"/>
    <xf numFmtId="0" fontId="5" fillId="15" borderId="0" xfId="0" applyFont="1" applyFill="1"/>
    <xf numFmtId="0" fontId="84" fillId="15" borderId="62" xfId="0" applyFont="1" applyFill="1" applyBorder="1" applyAlignment="1">
      <alignment horizontal="center"/>
    </xf>
    <xf numFmtId="0" fontId="50" fillId="0" borderId="62" xfId="0" applyFont="1" applyFill="1" applyBorder="1" applyAlignment="1">
      <alignment horizontal="left" vertical="center"/>
    </xf>
    <xf numFmtId="3" fontId="50" fillId="0" borderId="62" xfId="0" applyNumberFormat="1" applyFont="1" applyBorder="1" applyAlignment="1">
      <alignment horizontal="center" vertical="center"/>
    </xf>
    <xf numFmtId="3" fontId="50" fillId="0" borderId="62" xfId="0" applyNumberFormat="1" applyFont="1" applyFill="1" applyBorder="1" applyAlignment="1">
      <alignment horizontal="center" vertical="center"/>
    </xf>
    <xf numFmtId="0" fontId="50" fillId="0" borderId="62" xfId="0" applyFont="1" applyBorder="1" applyAlignment="1">
      <alignment horizontal="left" vertical="center"/>
    </xf>
    <xf numFmtId="3" fontId="54" fillId="30" borderId="60" xfId="0" applyNumberFormat="1" applyFont="1" applyFill="1" applyBorder="1" applyAlignment="1">
      <alignment horizontal="center" vertical="center"/>
    </xf>
    <xf numFmtId="3" fontId="54" fillId="30" borderId="60" xfId="0" applyNumberFormat="1" applyFont="1" applyFill="1" applyBorder="1" applyAlignment="1">
      <alignment horizontal="center" vertical="center" wrapText="1"/>
    </xf>
    <xf numFmtId="14" fontId="54" fillId="30" borderId="60" xfId="0" applyNumberFormat="1" applyFont="1" applyFill="1" applyBorder="1" applyAlignment="1">
      <alignment horizontal="center" vertical="center"/>
    </xf>
    <xf numFmtId="0" fontId="76" fillId="30" borderId="60" xfId="0" applyFont="1" applyFill="1" applyBorder="1" applyAlignment="1">
      <alignment horizontal="left" vertical="center"/>
    </xf>
    <xf numFmtId="3" fontId="76" fillId="30" borderId="60" xfId="0" applyNumberFormat="1" applyFont="1" applyFill="1" applyBorder="1" applyAlignment="1">
      <alignment horizontal="center" vertical="center"/>
    </xf>
    <xf numFmtId="3" fontId="76" fillId="30" borderId="60" xfId="0" applyNumberFormat="1" applyFont="1" applyFill="1" applyBorder="1" applyAlignment="1">
      <alignment horizontal="center" vertical="center" wrapText="1"/>
    </xf>
    <xf numFmtId="16" fontId="76" fillId="30" borderId="60" xfId="0" applyNumberFormat="1" applyFont="1" applyFill="1" applyBorder="1" applyAlignment="1">
      <alignment horizontal="center" vertical="center"/>
    </xf>
    <xf numFmtId="0" fontId="76" fillId="30" borderId="60" xfId="0" applyFont="1" applyFill="1" applyBorder="1" applyAlignment="1">
      <alignment horizontal="center" vertical="center"/>
    </xf>
    <xf numFmtId="3" fontId="76" fillId="30" borderId="60" xfId="2" applyNumberFormat="1" applyFont="1" applyFill="1" applyBorder="1" applyAlignment="1">
      <alignment horizontal="center" vertical="center"/>
    </xf>
    <xf numFmtId="0" fontId="70" fillId="30" borderId="74" xfId="0" applyFont="1" applyFill="1" applyBorder="1" applyAlignment="1">
      <alignment horizontal="left" vertical="center"/>
    </xf>
    <xf numFmtId="0" fontId="5" fillId="30" borderId="66" xfId="0" applyFont="1" applyFill="1" applyBorder="1" applyAlignment="1">
      <alignment horizontal="center"/>
    </xf>
    <xf numFmtId="0" fontId="5" fillId="30" borderId="85" xfId="0" applyFont="1" applyFill="1" applyBorder="1" applyAlignment="1">
      <alignment horizontal="center"/>
    </xf>
    <xf numFmtId="0" fontId="76" fillId="30" borderId="60" xfId="0" applyFont="1" applyFill="1" applyBorder="1"/>
    <xf numFmtId="0" fontId="25" fillId="30" borderId="66" xfId="0" applyFont="1" applyFill="1" applyBorder="1"/>
    <xf numFmtId="0" fontId="28" fillId="30" borderId="60" xfId="0" applyFont="1" applyFill="1" applyBorder="1" applyAlignment="1">
      <alignment horizontal="center"/>
    </xf>
    <xf numFmtId="0" fontId="28" fillId="30" borderId="73" xfId="0" applyFont="1" applyFill="1" applyBorder="1" applyAlignment="1">
      <alignment horizontal="center"/>
    </xf>
    <xf numFmtId="0" fontId="25" fillId="30" borderId="60" xfId="0" applyFont="1" applyFill="1" applyBorder="1"/>
    <xf numFmtId="0" fontId="76" fillId="30" borderId="66" xfId="0" applyFont="1" applyFill="1" applyBorder="1"/>
    <xf numFmtId="0" fontId="25" fillId="30" borderId="0" xfId="0" applyFont="1" applyFill="1" applyBorder="1"/>
    <xf numFmtId="0" fontId="28" fillId="30" borderId="66" xfId="0" applyFont="1" applyFill="1" applyBorder="1" applyAlignment="1">
      <alignment horizontal="center"/>
    </xf>
    <xf numFmtId="0" fontId="28" fillId="30" borderId="74" xfId="0" applyFont="1" applyFill="1" applyBorder="1" applyAlignment="1">
      <alignment horizontal="center"/>
    </xf>
    <xf numFmtId="0" fontId="70" fillId="30" borderId="60" xfId="0" applyFont="1" applyFill="1" applyBorder="1"/>
    <xf numFmtId="3" fontId="70" fillId="30" borderId="60" xfId="0" applyNumberFormat="1" applyFont="1" applyFill="1" applyBorder="1" applyAlignment="1">
      <alignment horizontal="center" wrapText="1"/>
    </xf>
    <xf numFmtId="0" fontId="70" fillId="30" borderId="60" xfId="0" applyFont="1" applyFill="1" applyBorder="1" applyAlignment="1">
      <alignment horizontal="center" vertical="center"/>
    </xf>
    <xf numFmtId="0" fontId="54" fillId="30" borderId="60" xfId="0" applyFont="1" applyFill="1" applyBorder="1" applyAlignment="1">
      <alignment horizontal="center" vertical="center"/>
    </xf>
    <xf numFmtId="14" fontId="5" fillId="30" borderId="60" xfId="0" applyNumberFormat="1" applyFont="1" applyFill="1" applyBorder="1" applyAlignment="1">
      <alignment horizontal="center" vertical="center"/>
    </xf>
    <xf numFmtId="3" fontId="76" fillId="30" borderId="62" xfId="0" applyNumberFormat="1" applyFont="1" applyFill="1" applyBorder="1" applyAlignment="1">
      <alignment horizontal="center" vertical="center"/>
    </xf>
    <xf numFmtId="0" fontId="76" fillId="30" borderId="62" xfId="0" applyFont="1" applyFill="1" applyBorder="1"/>
    <xf numFmtId="3" fontId="76" fillId="30" borderId="63" xfId="0" applyNumberFormat="1" applyFont="1" applyFill="1" applyBorder="1" applyAlignment="1">
      <alignment horizontal="center" vertical="center"/>
    </xf>
    <xf numFmtId="0" fontId="5" fillId="30" borderId="62" xfId="0" applyFont="1" applyFill="1" applyBorder="1" applyAlignment="1">
      <alignment horizontal="center" vertical="center"/>
    </xf>
    <xf numFmtId="0" fontId="5" fillId="30" borderId="62" xfId="0" applyFont="1" applyFill="1" applyBorder="1" applyAlignment="1">
      <alignment horizontal="left" vertical="center"/>
    </xf>
    <xf numFmtId="0" fontId="18" fillId="30" borderId="60" xfId="0" applyFont="1" applyFill="1" applyBorder="1" applyAlignment="1">
      <alignment horizontal="center"/>
    </xf>
    <xf numFmtId="0" fontId="76" fillId="30" borderId="120" xfId="0" applyFont="1" applyFill="1" applyBorder="1"/>
    <xf numFmtId="16" fontId="5" fillId="14" borderId="62" xfId="0" applyNumberFormat="1" applyFont="1" applyFill="1" applyBorder="1" applyAlignment="1">
      <alignment horizontal="center" vertical="center"/>
    </xf>
    <xf numFmtId="3" fontId="76" fillId="30" borderId="85" xfId="0" applyNumberFormat="1" applyFont="1" applyFill="1" applyBorder="1" applyAlignment="1">
      <alignment horizontal="center"/>
    </xf>
    <xf numFmtId="3" fontId="86" fillId="23" borderId="0" xfId="0" applyNumberFormat="1" applyFont="1" applyFill="1" applyAlignment="1">
      <alignment horizontal="center"/>
    </xf>
    <xf numFmtId="0" fontId="50" fillId="23" borderId="62" xfId="0" applyFont="1" applyFill="1" applyBorder="1" applyAlignment="1">
      <alignment horizontal="center" vertical="center"/>
    </xf>
    <xf numFmtId="0" fontId="50" fillId="23" borderId="6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39" fillId="18" borderId="24" xfId="0" applyFont="1" applyFill="1" applyBorder="1" applyAlignment="1">
      <alignment horizontal="left"/>
    </xf>
    <xf numFmtId="0" fontId="39" fillId="18" borderId="25" xfId="0" applyFont="1" applyFill="1" applyBorder="1" applyAlignment="1">
      <alignment horizontal="left"/>
    </xf>
    <xf numFmtId="0" fontId="39" fillId="18" borderId="26" xfId="0" applyFont="1" applyFill="1" applyBorder="1" applyAlignment="1">
      <alignment horizontal="left"/>
    </xf>
    <xf numFmtId="0" fontId="38" fillId="18" borderId="9" xfId="0" applyFont="1" applyFill="1" applyBorder="1" applyAlignment="1">
      <alignment horizontal="left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18" borderId="9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8" borderId="30" xfId="0" applyFont="1" applyFill="1" applyBorder="1" applyAlignment="1">
      <alignment horizontal="center" vertical="center"/>
    </xf>
    <xf numFmtId="0" fontId="2" fillId="28" borderId="31" xfId="0" applyFont="1" applyFill="1" applyBorder="1" applyAlignment="1">
      <alignment horizontal="center" vertical="center"/>
    </xf>
    <xf numFmtId="0" fontId="2" fillId="28" borderId="32" xfId="0" applyFont="1" applyFill="1" applyBorder="1" applyAlignment="1">
      <alignment horizontal="center" vertical="center"/>
    </xf>
    <xf numFmtId="0" fontId="52" fillId="17" borderId="24" xfId="0" applyFont="1" applyFill="1" applyBorder="1" applyAlignment="1">
      <alignment horizontal="center"/>
    </xf>
    <xf numFmtId="0" fontId="52" fillId="17" borderId="25" xfId="0" applyFont="1" applyFill="1" applyBorder="1" applyAlignment="1">
      <alignment horizontal="center"/>
    </xf>
    <xf numFmtId="0" fontId="52" fillId="17" borderId="2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1" fillId="2" borderId="9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2" fillId="2" borderId="19" xfId="0" applyFont="1" applyFill="1" applyBorder="1" applyAlignment="1">
      <alignment horizontal="center"/>
    </xf>
    <xf numFmtId="0" fontId="24" fillId="9" borderId="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13" fillId="10" borderId="46" xfId="0" applyFont="1" applyFill="1" applyBorder="1" applyAlignment="1">
      <alignment horizontal="center" vertical="center"/>
    </xf>
    <xf numFmtId="0" fontId="13" fillId="10" borderId="47" xfId="0" applyFont="1" applyFill="1" applyBorder="1" applyAlignment="1">
      <alignment horizontal="center" vertical="center"/>
    </xf>
    <xf numFmtId="0" fontId="13" fillId="10" borderId="48" xfId="0" applyFont="1" applyFill="1" applyBorder="1" applyAlignment="1">
      <alignment horizontal="center" vertical="center"/>
    </xf>
    <xf numFmtId="0" fontId="13" fillId="10" borderId="49" xfId="0" applyFont="1" applyFill="1" applyBorder="1" applyAlignment="1">
      <alignment horizontal="center" vertical="center"/>
    </xf>
    <xf numFmtId="0" fontId="13" fillId="10" borderId="50" xfId="0" applyFont="1" applyFill="1" applyBorder="1" applyAlignment="1">
      <alignment horizontal="center" vertical="center"/>
    </xf>
    <xf numFmtId="0" fontId="13" fillId="10" borderId="51" xfId="0" applyFont="1" applyFill="1" applyBorder="1" applyAlignment="1">
      <alignment horizontal="center" vertical="center"/>
    </xf>
    <xf numFmtId="0" fontId="2" fillId="10" borderId="24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74" fillId="14" borderId="0" xfId="0" applyFont="1" applyFill="1" applyBorder="1" applyAlignment="1">
      <alignment horizontal="center" vertical="center"/>
    </xf>
    <xf numFmtId="166" fontId="26" fillId="2" borderId="23" xfId="0" applyNumberFormat="1" applyFont="1" applyFill="1" applyBorder="1" applyAlignment="1">
      <alignment horizontal="center"/>
    </xf>
    <xf numFmtId="166" fontId="26" fillId="2" borderId="52" xfId="0" applyNumberFormat="1" applyFont="1" applyFill="1" applyBorder="1" applyAlignment="1">
      <alignment horizontal="center"/>
    </xf>
    <xf numFmtId="166" fontId="26" fillId="2" borderId="53" xfId="0" applyNumberFormat="1" applyFont="1" applyFill="1" applyBorder="1" applyAlignment="1">
      <alignment horizontal="center"/>
    </xf>
    <xf numFmtId="0" fontId="26" fillId="12" borderId="54" xfId="0" applyFont="1" applyFill="1" applyBorder="1" applyAlignment="1">
      <alignment horizontal="center"/>
    </xf>
    <xf numFmtId="0" fontId="26" fillId="12" borderId="55" xfId="0" applyFont="1" applyFill="1" applyBorder="1" applyAlignment="1">
      <alignment horizontal="center"/>
    </xf>
    <xf numFmtId="0" fontId="26" fillId="12" borderId="56" xfId="0" applyFont="1" applyFill="1" applyBorder="1" applyAlignment="1">
      <alignment horizontal="center"/>
    </xf>
    <xf numFmtId="0" fontId="29" fillId="13" borderId="57" xfId="0" applyFont="1" applyFill="1" applyBorder="1" applyAlignment="1">
      <alignment horizontal="center"/>
    </xf>
    <xf numFmtId="0" fontId="29" fillId="13" borderId="58" xfId="0" applyFont="1" applyFill="1" applyBorder="1" applyAlignment="1">
      <alignment horizontal="center"/>
    </xf>
    <xf numFmtId="0" fontId="29" fillId="13" borderId="59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41" fillId="27" borderId="0" xfId="0" applyFont="1" applyFill="1" applyAlignment="1">
      <alignment horizontal="center" vertical="center"/>
    </xf>
    <xf numFmtId="166" fontId="28" fillId="8" borderId="23" xfId="0" applyNumberFormat="1" applyFont="1" applyFill="1" applyBorder="1" applyAlignment="1">
      <alignment horizontal="center"/>
    </xf>
    <xf numFmtId="166" fontId="28" fillId="8" borderId="17" xfId="0" applyNumberFormat="1" applyFont="1" applyFill="1" applyBorder="1" applyAlignment="1">
      <alignment horizontal="center"/>
    </xf>
    <xf numFmtId="166" fontId="28" fillId="8" borderId="10" xfId="0" applyNumberFormat="1" applyFont="1" applyFill="1" applyBorder="1" applyAlignment="1">
      <alignment horizontal="center"/>
    </xf>
    <xf numFmtId="0" fontId="5" fillId="8" borderId="17" xfId="0" applyFont="1" applyFill="1" applyBorder="1" applyAlignment="1">
      <alignment horizontal="center"/>
    </xf>
    <xf numFmtId="0" fontId="80" fillId="15" borderId="86" xfId="0" applyFont="1" applyFill="1" applyBorder="1" applyAlignment="1">
      <alignment horizontal="center" vertical="center"/>
    </xf>
    <xf numFmtId="0" fontId="80" fillId="15" borderId="87" xfId="0" applyFont="1" applyFill="1" applyBorder="1" applyAlignment="1">
      <alignment horizontal="center" vertical="center"/>
    </xf>
    <xf numFmtId="0" fontId="80" fillId="15" borderId="88" xfId="0" applyFont="1" applyFill="1" applyBorder="1" applyAlignment="1">
      <alignment horizontal="center" vertical="center"/>
    </xf>
    <xf numFmtId="0" fontId="81" fillId="15" borderId="86" xfId="0" applyFont="1" applyFill="1" applyBorder="1" applyAlignment="1">
      <alignment horizontal="center" vertical="center"/>
    </xf>
    <xf numFmtId="0" fontId="81" fillId="15" borderId="87" xfId="0" applyFont="1" applyFill="1" applyBorder="1" applyAlignment="1">
      <alignment horizontal="center" vertical="center"/>
    </xf>
    <xf numFmtId="0" fontId="81" fillId="15" borderId="88" xfId="0" applyFont="1" applyFill="1" applyBorder="1" applyAlignment="1">
      <alignment horizontal="center" vertical="center"/>
    </xf>
    <xf numFmtId="0" fontId="81" fillId="15" borderId="89" xfId="0" applyFont="1" applyFill="1" applyBorder="1" applyAlignment="1">
      <alignment horizontal="center" vertical="center"/>
    </xf>
    <xf numFmtId="0" fontId="81" fillId="15" borderId="90" xfId="0" applyFont="1" applyFill="1" applyBorder="1" applyAlignment="1">
      <alignment horizontal="center" vertical="center"/>
    </xf>
    <xf numFmtId="0" fontId="81" fillId="15" borderId="91" xfId="0" applyFont="1" applyFill="1" applyBorder="1" applyAlignment="1">
      <alignment horizontal="center" vertical="center"/>
    </xf>
    <xf numFmtId="0" fontId="80" fillId="0" borderId="0" xfId="0" applyFont="1" applyBorder="1" applyAlignment="1">
      <alignment horizontal="left" vertical="center"/>
    </xf>
    <xf numFmtId="0" fontId="81" fillId="0" borderId="106" xfId="0" applyFont="1" applyBorder="1" applyAlignment="1">
      <alignment horizontal="center" vertical="center"/>
    </xf>
    <xf numFmtId="0" fontId="81" fillId="15" borderId="0" xfId="0" applyFont="1" applyFill="1" applyBorder="1" applyAlignment="1">
      <alignment horizontal="center" vertical="center"/>
    </xf>
    <xf numFmtId="0" fontId="81" fillId="15" borderId="107" xfId="0" applyFont="1" applyFill="1" applyBorder="1" applyAlignment="1">
      <alignment horizontal="center" vertical="center"/>
    </xf>
    <xf numFmtId="0" fontId="81" fillId="15" borderId="90" xfId="0" applyFont="1" applyFill="1" applyBorder="1" applyAlignment="1">
      <alignment horizontal="right" vertical="center"/>
    </xf>
    <xf numFmtId="0" fontId="80" fillId="0" borderId="0" xfId="0" applyFont="1" applyAlignment="1">
      <alignment horizontal="left" vertical="center"/>
    </xf>
    <xf numFmtId="0" fontId="81" fillId="0" borderId="86" xfId="0" applyFont="1" applyBorder="1" applyAlignment="1">
      <alignment horizontal="center"/>
    </xf>
    <xf numFmtId="0" fontId="81" fillId="0" borderId="87" xfId="0" applyFont="1" applyBorder="1" applyAlignment="1">
      <alignment horizontal="center"/>
    </xf>
    <xf numFmtId="0" fontId="81" fillId="0" borderId="88" xfId="0" applyFont="1" applyBorder="1" applyAlignment="1">
      <alignment horizontal="center"/>
    </xf>
    <xf numFmtId="0" fontId="80" fillId="36" borderId="86" xfId="0" applyFont="1" applyFill="1" applyBorder="1" applyAlignment="1">
      <alignment horizontal="center" vertical="center"/>
    </xf>
    <xf numFmtId="0" fontId="80" fillId="36" borderId="87" xfId="0" applyFont="1" applyFill="1" applyBorder="1" applyAlignment="1">
      <alignment horizontal="center" vertical="center"/>
    </xf>
    <xf numFmtId="0" fontId="80" fillId="36" borderId="88" xfId="0" applyFont="1" applyFill="1" applyBorder="1" applyAlignment="1">
      <alignment horizontal="center" vertical="center"/>
    </xf>
    <xf numFmtId="167" fontId="80" fillId="0" borderId="109" xfId="0" applyNumberFormat="1" applyFont="1" applyBorder="1" applyAlignment="1" applyProtection="1">
      <alignment horizontal="center" vertical="center" shrinkToFit="1"/>
    </xf>
    <xf numFmtId="167" fontId="80" fillId="0" borderId="110" xfId="0" applyNumberFormat="1" applyFont="1" applyBorder="1" applyAlignment="1" applyProtection="1">
      <alignment horizontal="center" vertical="center" shrinkToFit="1"/>
    </xf>
    <xf numFmtId="167" fontId="80" fillId="0" borderId="113" xfId="0" applyNumberFormat="1" applyFont="1" applyBorder="1" applyAlignment="1" applyProtection="1">
      <alignment horizontal="center" vertical="center" shrinkToFit="1"/>
    </xf>
    <xf numFmtId="167" fontId="80" fillId="0" borderId="114" xfId="0" applyNumberFormat="1" applyFont="1" applyBorder="1" applyAlignment="1" applyProtection="1">
      <alignment horizontal="center" vertical="center" shrinkToFit="1"/>
    </xf>
    <xf numFmtId="0" fontId="80" fillId="36" borderId="116" xfId="0" applyFont="1" applyFill="1" applyBorder="1" applyAlignment="1">
      <alignment horizontal="center" vertical="center"/>
    </xf>
    <xf numFmtId="0" fontId="80" fillId="0" borderId="0" xfId="0" applyFont="1" applyBorder="1" applyAlignment="1">
      <alignment horizontal="center" vertical="center"/>
    </xf>
    <xf numFmtId="0" fontId="81" fillId="0" borderId="117" xfId="0" applyFont="1" applyBorder="1" applyAlignment="1">
      <alignment horizontal="center"/>
    </xf>
    <xf numFmtId="0" fontId="81" fillId="0" borderId="118" xfId="0" applyFont="1" applyBorder="1" applyAlignment="1">
      <alignment horizontal="center"/>
    </xf>
    <xf numFmtId="0" fontId="81" fillId="0" borderId="119" xfId="0" applyFont="1" applyBorder="1" applyAlignment="1">
      <alignment horizontal="center"/>
    </xf>
    <xf numFmtId="0" fontId="87" fillId="14" borderId="62" xfId="0" applyFont="1" applyFill="1" applyBorder="1" applyAlignment="1">
      <alignment horizontal="center" vertical="center"/>
    </xf>
    <xf numFmtId="16" fontId="56" fillId="14" borderId="62" xfId="0" applyNumberFormat="1" applyFont="1" applyFill="1" applyBorder="1" applyAlignment="1">
      <alignment horizontal="center" vertical="center"/>
    </xf>
    <xf numFmtId="3" fontId="5" fillId="14" borderId="62" xfId="0" applyNumberFormat="1" applyFont="1" applyFill="1" applyBorder="1" applyAlignment="1">
      <alignment horizontal="center" vertical="center"/>
    </xf>
    <xf numFmtId="16" fontId="53" fillId="14" borderId="62" xfId="0" applyNumberFormat="1" applyFont="1" applyFill="1" applyBorder="1" applyAlignment="1">
      <alignment horizontal="center" vertical="center"/>
    </xf>
    <xf numFmtId="0" fontId="54" fillId="14" borderId="62" xfId="0" applyFont="1" applyFill="1" applyBorder="1" applyAlignment="1">
      <alignment horizontal="center" vertical="center"/>
    </xf>
    <xf numFmtId="0" fontId="54" fillId="14" borderId="62" xfId="0" applyFont="1" applyFill="1" applyBorder="1" applyAlignment="1">
      <alignment horizontal="left" vertical="center"/>
    </xf>
    <xf numFmtId="0" fontId="5" fillId="15" borderId="63" xfId="0" applyFont="1" applyFill="1" applyBorder="1" applyAlignment="1">
      <alignment horizontal="left" vertical="center"/>
    </xf>
    <xf numFmtId="3" fontId="5" fillId="0" borderId="63" xfId="2" applyNumberFormat="1" applyFont="1" applyFill="1" applyBorder="1" applyAlignment="1">
      <alignment horizontal="center" vertical="center"/>
    </xf>
    <xf numFmtId="0" fontId="76" fillId="26" borderId="62" xfId="0" applyFont="1" applyFill="1" applyBorder="1" applyAlignment="1">
      <alignment horizontal="center" vertical="center"/>
    </xf>
    <xf numFmtId="16" fontId="76" fillId="26" borderId="68" xfId="0" applyNumberFormat="1" applyFont="1" applyFill="1" applyBorder="1" applyAlignment="1">
      <alignment horizontal="center" vertical="center"/>
    </xf>
    <xf numFmtId="0" fontId="76" fillId="26" borderId="76" xfId="0" applyFont="1" applyFill="1" applyBorder="1" applyAlignment="1">
      <alignment horizontal="center" vertical="center"/>
    </xf>
    <xf numFmtId="0" fontId="76" fillId="26" borderId="76" xfId="0" applyFont="1" applyFill="1" applyBorder="1"/>
    <xf numFmtId="3" fontId="76" fillId="26" borderId="76" xfId="0" applyNumberFormat="1" applyFont="1" applyFill="1" applyBorder="1" applyAlignment="1">
      <alignment horizontal="center" vertical="center"/>
    </xf>
    <xf numFmtId="16" fontId="76" fillId="26" borderId="62" xfId="0" applyNumberFormat="1" applyFont="1" applyFill="1" applyBorder="1" applyAlignment="1">
      <alignment horizontal="center" vertical="center"/>
    </xf>
    <xf numFmtId="0" fontId="76" fillId="26" borderId="71" xfId="0" applyFont="1" applyFill="1" applyBorder="1" applyAlignment="1">
      <alignment horizontal="center" vertical="center"/>
    </xf>
    <xf numFmtId="0" fontId="76" fillId="26" borderId="65" xfId="0" applyFont="1" applyFill="1" applyBorder="1"/>
    <xf numFmtId="3" fontId="76" fillId="26" borderId="65" xfId="0" applyNumberFormat="1" applyFont="1" applyFill="1" applyBorder="1" applyAlignment="1">
      <alignment horizontal="center" vertical="center"/>
    </xf>
    <xf numFmtId="0" fontId="76" fillId="26" borderId="68" xfId="0" applyFont="1" applyFill="1" applyBorder="1" applyAlignment="1">
      <alignment horizontal="center" vertical="center"/>
    </xf>
    <xf numFmtId="0" fontId="76" fillId="26" borderId="62" xfId="0" applyFont="1" applyFill="1" applyBorder="1"/>
    <xf numFmtId="3" fontId="76" fillId="26" borderId="63" xfId="0" applyNumberFormat="1" applyFont="1" applyFill="1" applyBorder="1" applyAlignment="1">
      <alignment horizontal="center" vertical="center"/>
    </xf>
    <xf numFmtId="0" fontId="76" fillId="26" borderId="68" xfId="0" applyFont="1" applyFill="1" applyBorder="1"/>
    <xf numFmtId="3" fontId="76" fillId="26" borderId="62" xfId="0" applyNumberFormat="1" applyFont="1" applyFill="1" applyBorder="1" applyAlignment="1">
      <alignment horizontal="center" vertical="center"/>
    </xf>
    <xf numFmtId="3" fontId="76" fillId="26" borderId="121" xfId="0" applyNumberFormat="1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Separador de milhares" xfId="2" builtinId="3"/>
  </cellStyles>
  <dxfs count="126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theme="1" tint="0.499984740745262"/>
      </font>
    </dxf>
    <dxf>
      <font>
        <color theme="7" tint="-0.24994659260841701"/>
      </font>
    </dxf>
    <dxf>
      <font>
        <color theme="3" tint="0.39994506668294322"/>
      </font>
    </dxf>
    <dxf>
      <font>
        <color theme="9" tint="-0.499984740745262"/>
      </font>
    </dxf>
    <dxf>
      <font>
        <color rgb="FF002060"/>
      </font>
    </dxf>
    <dxf>
      <font>
        <color theme="8" tint="-0.499984740745262"/>
      </font>
    </dxf>
    <dxf>
      <font>
        <color theme="2" tint="-0.499984740745262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F6420A"/>
          </stop>
        </gradientFill>
      </fill>
    </dxf>
    <dxf>
      <font>
        <color rgb="FF00B050"/>
      </font>
      <fill>
        <patternFill>
          <bgColor theme="0" tint="-0.14996795556505021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34D882"/>
          </stop>
        </gradient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7030A0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7030A0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fill>
        <patternFill patternType="solid">
          <bgColor theme="0" tint="-0.34998626667073579"/>
        </patternFill>
      </fill>
    </dxf>
    <dxf>
      <font>
        <condense val="0"/>
        <extend val="0"/>
        <color indexed="51"/>
      </font>
    </dxf>
    <dxf>
      <font>
        <condense val="0"/>
        <extend val="0"/>
        <color indexed="51"/>
      </font>
    </dxf>
    <dxf>
      <font>
        <color rgb="FF7030A0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3" tint="-0.24994659260841701"/>
      </font>
      <fill>
        <patternFill>
          <bgColor theme="7" tint="0.79998168889431442"/>
        </patternFill>
      </fill>
    </dxf>
    <dxf>
      <font>
        <color theme="0"/>
      </font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3" tint="-0.24994659260841701"/>
      </font>
      <fill>
        <patternFill>
          <bgColor theme="7" tint="0.79998168889431442"/>
        </patternFill>
      </fill>
    </dxf>
    <dxf>
      <font>
        <color theme="0"/>
      </font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3" tint="-0.24994659260841701"/>
      </font>
      <fill>
        <patternFill>
          <bgColor theme="7" tint="0.79998168889431442"/>
        </patternFill>
      </fill>
    </dxf>
    <dxf>
      <font>
        <color theme="0"/>
      </font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FF00"/>
      </font>
      <fill>
        <patternFill patternType="solid">
          <bgColor theme="0" tint="-0.34998626667073579"/>
        </patternFill>
      </fill>
    </dxf>
    <dxf>
      <font>
        <condense val="0"/>
        <extend val="0"/>
        <color indexed="51"/>
      </font>
    </dxf>
    <dxf>
      <font>
        <condense val="0"/>
        <extend val="0"/>
        <color indexed="51"/>
      </font>
    </dxf>
    <dxf>
      <font>
        <color rgb="FFFF0000"/>
      </font>
      <fill>
        <patternFill>
          <bgColor theme="5" tint="0.59996337778862885"/>
        </patternFill>
      </fill>
    </dxf>
    <dxf>
      <font>
        <color theme="3" tint="-0.24994659260841701"/>
      </font>
      <fill>
        <patternFill>
          <bgColor theme="7" tint="0.79998168889431442"/>
        </patternFill>
      </fill>
    </dxf>
    <dxf>
      <font>
        <color theme="0"/>
      </font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3" tint="-0.24994659260841701"/>
      </font>
      <fill>
        <patternFill>
          <bgColor theme="7" tint="0.79998168889431442"/>
        </patternFill>
      </fill>
    </dxf>
    <dxf>
      <font>
        <color theme="0"/>
      </font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1" tint="0.499984740745262"/>
      </font>
    </dxf>
    <dxf>
      <font>
        <color theme="7" tint="-0.24994659260841701"/>
      </font>
    </dxf>
    <dxf>
      <font>
        <color theme="3" tint="0.39994506668294322"/>
      </font>
    </dxf>
    <dxf>
      <font>
        <color theme="9" tint="-0.499984740745262"/>
      </font>
    </dxf>
    <dxf>
      <font>
        <color rgb="FF002060"/>
      </font>
    </dxf>
    <dxf>
      <font>
        <color theme="8" tint="-0.499984740745262"/>
      </font>
    </dxf>
    <dxf>
      <font>
        <color theme="2" tint="-0.499984740745262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F6420A"/>
          </stop>
        </gradientFill>
      </fill>
    </dxf>
    <dxf>
      <font>
        <color rgb="FF00B050"/>
      </font>
      <fill>
        <patternFill>
          <bgColor theme="0" tint="-0.14996795556505021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34D882"/>
          </stop>
        </gradient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3" tint="-0.24994659260841701"/>
      </font>
      <fill>
        <patternFill>
          <bgColor theme="7" tint="0.79998168889431442"/>
        </patternFill>
      </fill>
    </dxf>
    <dxf>
      <font>
        <color theme="0"/>
      </font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3" tint="-0.24994659260841701"/>
      </font>
      <fill>
        <patternFill>
          <bgColor theme="7" tint="0.79998168889431442"/>
        </patternFill>
      </fill>
    </dxf>
    <dxf>
      <font>
        <color theme="0"/>
      </font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fill>
        <patternFill patternType="solid"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fill>
        <patternFill patternType="solid"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fill>
        <patternFill patternType="solid"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fill>
        <patternFill patternType="solid"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theme="1" tint="0.499984740745262"/>
      </font>
    </dxf>
    <dxf>
      <font>
        <color theme="7" tint="-0.24994659260841701"/>
      </font>
    </dxf>
    <dxf>
      <font>
        <color theme="3" tint="0.39994506668294322"/>
      </font>
    </dxf>
    <dxf>
      <font>
        <color theme="9" tint="-0.499984740745262"/>
      </font>
    </dxf>
    <dxf>
      <font>
        <color rgb="FF002060"/>
      </font>
    </dxf>
    <dxf>
      <font>
        <color theme="8" tint="-0.499984740745262"/>
      </font>
    </dxf>
    <dxf>
      <font>
        <color theme="2" tint="-0.499984740745262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F6420A"/>
          </stop>
        </gradientFill>
      </fill>
    </dxf>
    <dxf>
      <font>
        <color rgb="FF00B050"/>
      </font>
      <fill>
        <patternFill>
          <bgColor theme="0" tint="-0.14996795556505021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34D882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fill>
        <patternFill patternType="solid"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fill>
        <patternFill patternType="solid"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fill>
        <patternFill patternType="solid">
          <bgColor theme="0" tint="-0.34998626667073579"/>
        </patternFill>
      </fill>
    </dxf>
    <dxf>
      <font>
        <color theme="0"/>
      </font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0"/>
      </font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3" tint="-0.24994659260841701"/>
      </font>
      <fill>
        <patternFill>
          <bgColor theme="7" tint="0.79998168889431442"/>
        </patternFill>
      </fill>
    </dxf>
    <dxf>
      <font>
        <color theme="0"/>
      </font>
    </dxf>
    <dxf>
      <font>
        <color rgb="FF00B050"/>
      </font>
      <fill>
        <patternFill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51"/>
      </font>
    </dxf>
    <dxf>
      <font>
        <condense val="0"/>
        <extend val="0"/>
        <color indexed="51"/>
      </font>
    </dxf>
    <dxf>
      <font>
        <color rgb="FFFFFF00"/>
      </font>
      <fill>
        <patternFill>
          <bgColor rgb="FF00B050"/>
        </patternFill>
      </fill>
    </dxf>
    <dxf>
      <font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theme="1" tint="0.499984740745262"/>
      </font>
    </dxf>
    <dxf>
      <font>
        <color theme="7" tint="-0.24994659260841701"/>
      </font>
    </dxf>
    <dxf>
      <font>
        <color theme="3" tint="0.39994506668294322"/>
      </font>
    </dxf>
    <dxf>
      <font>
        <color theme="9" tint="-0.499984740745262"/>
      </font>
    </dxf>
    <dxf>
      <font>
        <color rgb="FF002060"/>
      </font>
    </dxf>
    <dxf>
      <font>
        <color theme="8" tint="-0.499984740745262"/>
      </font>
    </dxf>
    <dxf>
      <font>
        <color theme="2" tint="-0.499984740745262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F6420A"/>
          </stop>
        </gradientFill>
      </fill>
    </dxf>
    <dxf>
      <font>
        <color rgb="FF00B050"/>
      </font>
      <fill>
        <patternFill>
          <bgColor theme="0" tint="-0.14996795556505021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34D882"/>
          </stop>
        </gradientFill>
      </fill>
    </dxf>
    <dxf>
      <font>
        <condense val="0"/>
        <extend val="0"/>
        <color indexed="51"/>
      </font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34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  <fill>
        <patternFill>
          <bgColor indexed="34"/>
        </patternFill>
      </fill>
    </dxf>
    <dxf>
      <font>
        <color rgb="FFFFFF00"/>
      </font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34"/>
      </font>
      <fill>
        <patternFill>
          <bgColor indexed="1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33"/>
      <color rgb="FFFF0066"/>
      <color rgb="FF254061"/>
      <color rgb="FFE51F82"/>
      <color rgb="FFFF33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8.4682852143485268E-2"/>
          <c:y val="7.4487850949994133E-2"/>
          <c:w val="0.73648512685914269"/>
          <c:h val="0.68547275282914477"/>
        </c:manualLayout>
      </c:layout>
      <c:barChart>
        <c:barDir val="col"/>
        <c:grouping val="stacked"/>
        <c:ser>
          <c:idx val="0"/>
          <c:order val="0"/>
          <c:cat>
            <c:strRef>
              <c:f>CONTAGEM!$D$36:$D$38</c:f>
              <c:strCache>
                <c:ptCount val="3"/>
                <c:pt idx="0">
                  <c:v>INTERNOS EM SETORES DE TRABALHO</c:v>
                </c:pt>
                <c:pt idx="1">
                  <c:v>INTERNOS NA ESCOLA</c:v>
                </c:pt>
                <c:pt idx="2">
                  <c:v>INTERNOS EM ATIVIDADE</c:v>
                </c:pt>
              </c:strCache>
            </c:strRef>
          </c:cat>
          <c:val>
            <c:numRef>
              <c:f>CONTAGEM!$E$36:$E$38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cat>
            <c:strRef>
              <c:f>CONTAGEM!$D$36:$D$38</c:f>
              <c:strCache>
                <c:ptCount val="3"/>
                <c:pt idx="0">
                  <c:v>INTERNOS EM SETORES DE TRABALHO</c:v>
                </c:pt>
                <c:pt idx="1">
                  <c:v>INTERNOS NA ESCOLA</c:v>
                </c:pt>
                <c:pt idx="2">
                  <c:v>INTERNOS EM ATIVIDADE</c:v>
                </c:pt>
              </c:strCache>
            </c:strRef>
          </c:cat>
          <c:val>
            <c:numRef>
              <c:f>CONTAGEM!$F$36:$F$38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cat>
            <c:strRef>
              <c:f>CONTAGEM!$D$36:$D$38</c:f>
              <c:strCache>
                <c:ptCount val="3"/>
                <c:pt idx="0">
                  <c:v>INTERNOS EM SETORES DE TRABALHO</c:v>
                </c:pt>
                <c:pt idx="1">
                  <c:v>INTERNOS NA ESCOLA</c:v>
                </c:pt>
                <c:pt idx="2">
                  <c:v>INTERNOS EM ATIVIDADE</c:v>
                </c:pt>
              </c:strCache>
            </c:strRef>
          </c:cat>
          <c:val>
            <c:numRef>
              <c:f>CONTAGEM!$G$36:$G$38</c:f>
              <c:numCache>
                <c:formatCode>General</c:formatCode>
                <c:ptCount val="3"/>
              </c:numCache>
            </c:numRef>
          </c:val>
        </c:ser>
        <c:ser>
          <c:idx val="3"/>
          <c:order val="3"/>
          <c:cat>
            <c:strRef>
              <c:f>CONTAGEM!$D$36:$D$38</c:f>
              <c:strCache>
                <c:ptCount val="3"/>
                <c:pt idx="0">
                  <c:v>INTERNOS EM SETORES DE TRABALHO</c:v>
                </c:pt>
                <c:pt idx="1">
                  <c:v>INTERNOS NA ESCOLA</c:v>
                </c:pt>
                <c:pt idx="2">
                  <c:v>INTERNOS EM ATIVIDADE</c:v>
                </c:pt>
              </c:strCache>
            </c:strRef>
          </c:cat>
          <c:val>
            <c:numRef>
              <c:f>CONTAGEM!$H$36:$H$38</c:f>
              <c:numCache>
                <c:formatCode>General</c:formatCode>
                <c:ptCount val="3"/>
              </c:numCache>
            </c:numRef>
          </c:val>
        </c:ser>
        <c:ser>
          <c:idx val="4"/>
          <c:order val="4"/>
          <c:cat>
            <c:strRef>
              <c:f>CONTAGEM!$D$36:$D$38</c:f>
              <c:strCache>
                <c:ptCount val="3"/>
                <c:pt idx="0">
                  <c:v>INTERNOS EM SETORES DE TRABALHO</c:v>
                </c:pt>
                <c:pt idx="1">
                  <c:v>INTERNOS NA ESCOLA</c:v>
                </c:pt>
                <c:pt idx="2">
                  <c:v>INTERNOS EM ATIVIDADE</c:v>
                </c:pt>
              </c:strCache>
            </c:strRef>
          </c:cat>
          <c:val>
            <c:numRef>
              <c:f>CONTAGEM!$I$36:$I$38</c:f>
              <c:numCache>
                <c:formatCode>General</c:formatCode>
                <c:ptCount val="3"/>
              </c:numCache>
            </c:numRef>
          </c:val>
        </c:ser>
        <c:ser>
          <c:idx val="5"/>
          <c:order val="5"/>
          <c:cat>
            <c:strRef>
              <c:f>CONTAGEM!$D$36:$D$38</c:f>
              <c:strCache>
                <c:ptCount val="3"/>
                <c:pt idx="0">
                  <c:v>INTERNOS EM SETORES DE TRABALHO</c:v>
                </c:pt>
                <c:pt idx="1">
                  <c:v>INTERNOS NA ESCOLA</c:v>
                </c:pt>
                <c:pt idx="2">
                  <c:v>INTERNOS EM ATIVIDADE</c:v>
                </c:pt>
              </c:strCache>
            </c:strRef>
          </c:cat>
          <c:val>
            <c:numRef>
              <c:f>CONTAGEM!$J$36:$J$38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overlap val="100"/>
        <c:axId val="83078528"/>
        <c:axId val="83096704"/>
      </c:barChart>
      <c:catAx>
        <c:axId val="8307852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3096704"/>
        <c:crosses val="autoZero"/>
        <c:auto val="1"/>
        <c:lblAlgn val="ctr"/>
        <c:lblOffset val="100"/>
      </c:catAx>
      <c:valAx>
        <c:axId val="8309670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3078528"/>
        <c:crosses val="autoZero"/>
        <c:crossBetween val="between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1313" footer="0.3149606200000131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33</xdr:row>
      <xdr:rowOff>66675</xdr:rowOff>
    </xdr:from>
    <xdr:to>
      <xdr:col>13</xdr:col>
      <xdr:colOff>9525</xdr:colOff>
      <xdr:row>48</xdr:row>
      <xdr:rowOff>133350</xdr:rowOff>
    </xdr:to>
    <xdr:graphicFrame macro="">
      <xdr:nvGraphicFramePr>
        <xdr:cNvPr id="2819790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333375</xdr:colOff>
      <xdr:row>9</xdr:row>
      <xdr:rowOff>0</xdr:rowOff>
    </xdr:from>
    <xdr:to>
      <xdr:col>5</xdr:col>
      <xdr:colOff>0</xdr:colOff>
      <xdr:row>13</xdr:row>
      <xdr:rowOff>114300</xdr:rowOff>
    </xdr:to>
    <xdr:sp macro="" textlink="">
      <xdr:nvSpPr>
        <xdr:cNvPr id="28188733" name="Retângulo 1"/>
        <xdr:cNvSpPr>
          <a:spLocks noChangeArrowheads="1"/>
        </xdr:cNvSpPr>
      </xdr:nvSpPr>
      <xdr:spPr bwMode="auto">
        <a:xfrm>
          <a:off x="5676900" y="3124200"/>
          <a:ext cx="180975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483053</xdr:colOff>
      <xdr:row>9</xdr:row>
      <xdr:rowOff>0</xdr:rowOff>
    </xdr:from>
    <xdr:to>
      <xdr:col>8</xdr:col>
      <xdr:colOff>664028</xdr:colOff>
      <xdr:row>13</xdr:row>
      <xdr:rowOff>114300</xdr:rowOff>
    </xdr:to>
    <xdr:sp macro="" textlink="">
      <xdr:nvSpPr>
        <xdr:cNvPr id="28188734" name="Retângulo 1"/>
        <xdr:cNvSpPr>
          <a:spLocks noChangeArrowheads="1"/>
        </xdr:cNvSpPr>
      </xdr:nvSpPr>
      <xdr:spPr bwMode="auto">
        <a:xfrm>
          <a:off x="10838089" y="2122714"/>
          <a:ext cx="180975" cy="9851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5</xdr:col>
      <xdr:colOff>0</xdr:colOff>
      <xdr:row>7</xdr:row>
      <xdr:rowOff>114300</xdr:rowOff>
    </xdr:to>
    <xdr:sp macro="" textlink="">
      <xdr:nvSpPr>
        <xdr:cNvPr id="4" name="Retângulo 1"/>
        <xdr:cNvSpPr>
          <a:spLocks noChangeArrowheads="1"/>
        </xdr:cNvSpPr>
      </xdr:nvSpPr>
      <xdr:spPr bwMode="auto">
        <a:xfrm>
          <a:off x="5680982" y="2830286"/>
          <a:ext cx="180975" cy="9851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333375</xdr:colOff>
      <xdr:row>9</xdr:row>
      <xdr:rowOff>0</xdr:rowOff>
    </xdr:from>
    <xdr:to>
      <xdr:col>5</xdr:col>
      <xdr:colOff>0</xdr:colOff>
      <xdr:row>13</xdr:row>
      <xdr:rowOff>114300</xdr:rowOff>
    </xdr:to>
    <xdr:sp macro="" textlink="">
      <xdr:nvSpPr>
        <xdr:cNvPr id="5" name="Retângulo 1"/>
        <xdr:cNvSpPr>
          <a:spLocks noChangeArrowheads="1"/>
        </xdr:cNvSpPr>
      </xdr:nvSpPr>
      <xdr:spPr bwMode="auto">
        <a:xfrm>
          <a:off x="5680982" y="2394857"/>
          <a:ext cx="180975" cy="9851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5</xdr:col>
      <xdr:colOff>0</xdr:colOff>
      <xdr:row>7</xdr:row>
      <xdr:rowOff>114300</xdr:rowOff>
    </xdr:to>
    <xdr:sp macro="" textlink="">
      <xdr:nvSpPr>
        <xdr:cNvPr id="6" name="Retângulo 1"/>
        <xdr:cNvSpPr>
          <a:spLocks noChangeArrowheads="1"/>
        </xdr:cNvSpPr>
      </xdr:nvSpPr>
      <xdr:spPr bwMode="auto">
        <a:xfrm>
          <a:off x="5680982" y="1306286"/>
          <a:ext cx="180975" cy="9851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333375</xdr:colOff>
      <xdr:row>10</xdr:row>
      <xdr:rowOff>0</xdr:rowOff>
    </xdr:from>
    <xdr:to>
      <xdr:col>5</xdr:col>
      <xdr:colOff>0</xdr:colOff>
      <xdr:row>14</xdr:row>
      <xdr:rowOff>114301</xdr:rowOff>
    </xdr:to>
    <xdr:sp macro="" textlink="">
      <xdr:nvSpPr>
        <xdr:cNvPr id="7" name="Retângulo 1"/>
        <xdr:cNvSpPr>
          <a:spLocks noChangeArrowheads="1"/>
        </xdr:cNvSpPr>
      </xdr:nvSpPr>
      <xdr:spPr bwMode="auto">
        <a:xfrm>
          <a:off x="5680982" y="2394857"/>
          <a:ext cx="180975" cy="9851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5</xdr:col>
      <xdr:colOff>0</xdr:colOff>
      <xdr:row>10</xdr:row>
      <xdr:rowOff>114300</xdr:rowOff>
    </xdr:to>
    <xdr:sp macro="" textlink="">
      <xdr:nvSpPr>
        <xdr:cNvPr id="8" name="Retângulo 1"/>
        <xdr:cNvSpPr>
          <a:spLocks noChangeArrowheads="1"/>
        </xdr:cNvSpPr>
      </xdr:nvSpPr>
      <xdr:spPr bwMode="auto">
        <a:xfrm>
          <a:off x="5680982" y="1306286"/>
          <a:ext cx="180975" cy="9851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333375</xdr:colOff>
      <xdr:row>10</xdr:row>
      <xdr:rowOff>0</xdr:rowOff>
    </xdr:from>
    <xdr:to>
      <xdr:col>5</xdr:col>
      <xdr:colOff>0</xdr:colOff>
      <xdr:row>14</xdr:row>
      <xdr:rowOff>114301</xdr:rowOff>
    </xdr:to>
    <xdr:sp macro="" textlink="">
      <xdr:nvSpPr>
        <xdr:cNvPr id="9" name="Retângulo 1"/>
        <xdr:cNvSpPr>
          <a:spLocks noChangeArrowheads="1"/>
        </xdr:cNvSpPr>
      </xdr:nvSpPr>
      <xdr:spPr bwMode="auto">
        <a:xfrm>
          <a:off x="5680982" y="2394857"/>
          <a:ext cx="180975" cy="9851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5</xdr:col>
      <xdr:colOff>0</xdr:colOff>
      <xdr:row>10</xdr:row>
      <xdr:rowOff>114300</xdr:rowOff>
    </xdr:to>
    <xdr:sp macro="" textlink="">
      <xdr:nvSpPr>
        <xdr:cNvPr id="10" name="Retângulo 1"/>
        <xdr:cNvSpPr>
          <a:spLocks noChangeArrowheads="1"/>
        </xdr:cNvSpPr>
      </xdr:nvSpPr>
      <xdr:spPr bwMode="auto">
        <a:xfrm>
          <a:off x="5680982" y="1306286"/>
          <a:ext cx="180975" cy="9851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1:S554"/>
  <sheetViews>
    <sheetView showGridLines="0" tabSelected="1" zoomScale="130" zoomScaleNormal="130" workbookViewId="0">
      <pane ySplit="1" topLeftCell="A504" activePane="bottomLeft" state="frozen"/>
      <selection pane="bottomLeft" activeCell="E512" sqref="E512"/>
    </sheetView>
  </sheetViews>
  <sheetFormatPr defaultRowHeight="14.1" customHeight="1"/>
  <cols>
    <col min="1" max="1" width="15.85546875" style="110" customWidth="1"/>
    <col min="2" max="2" width="10" style="112" customWidth="1"/>
    <col min="3" max="3" width="6.7109375" style="35" customWidth="1"/>
    <col min="4" max="4" width="43.7109375" style="35" customWidth="1"/>
    <col min="5" max="5" width="8.140625" style="470" customWidth="1"/>
    <col min="6" max="6" width="5.140625" style="110" customWidth="1"/>
    <col min="7" max="7" width="5.28515625" style="113" customWidth="1"/>
    <col min="8" max="8" width="5.140625" style="54" customWidth="1"/>
    <col min="9" max="9" width="5.140625" style="113" customWidth="1"/>
    <col min="10" max="10" width="5.140625" style="54" customWidth="1"/>
    <col min="11" max="11" width="7.140625" style="35" customWidth="1"/>
    <col min="12" max="12" width="7.5703125" style="110" bestFit="1" customWidth="1"/>
    <col min="13" max="16" width="7.5703125" style="35" bestFit="1" customWidth="1"/>
    <col min="17" max="16384" width="9.140625" style="35"/>
  </cols>
  <sheetData>
    <row r="1" spans="1:16" ht="13.5" customHeight="1" thickTop="1" thickBot="1">
      <c r="A1" s="380"/>
      <c r="B1" s="221" t="s">
        <v>250</v>
      </c>
      <c r="C1" s="220" t="s">
        <v>2235</v>
      </c>
      <c r="D1" s="339" t="s">
        <v>370</v>
      </c>
      <c r="E1" s="222" t="s">
        <v>11</v>
      </c>
      <c r="F1" s="338" t="s">
        <v>1050</v>
      </c>
      <c r="G1" s="223" t="s">
        <v>1053</v>
      </c>
      <c r="H1" s="220" t="s">
        <v>2222</v>
      </c>
      <c r="I1" s="223" t="s">
        <v>1054</v>
      </c>
      <c r="J1" s="220" t="s">
        <v>1055</v>
      </c>
      <c r="K1" s="199" t="e">
        <f>HYPERLINK(CONCATENATE("http://www.spr.depen.pr.gov.br/centralvagas/exibirFoto.jpg?numProntuario=",#REF!,"&amp;idImagem=1"),"FOTO 1")</f>
        <v>#REF!</v>
      </c>
      <c r="L1" s="199" t="e">
        <f>HYPERLINK(CONCATENATE("http://www.spr.depen.pr.gov.br/centralvagas/exibirFoto.jpg?numProntuario=",#REF!,"&amp;idImagem=2"),"FOTO 2")</f>
        <v>#REF!</v>
      </c>
      <c r="M1" s="199" t="e">
        <f>HYPERLINK(CONCATENATE("http://www.spr.depen.pr.gov.br/centralvagas/exibirFoto.jpg?numProntuario=",#REF!,"&amp;idImagem=3"),"FOTO 3")</f>
        <v>#REF!</v>
      </c>
      <c r="N1" s="199" t="e">
        <f>HYPERLINK(CONCATENATE("http://www.spr.depen.pr.gov.br/centralvagas/exibirFoto.jpg?numProntuario=",#REF!,"&amp;idImagem=4"),"FOTO 4")</f>
        <v>#REF!</v>
      </c>
      <c r="O1" s="199" t="e">
        <f>HYPERLINK(CONCATENATE("http://www.spr.depen.pr.gov.br/centralvagas/exibirFoto.jpg?numProntuario=",#REF!,"&amp;idImagem=5"),"FOTO 5")</f>
        <v>#REF!</v>
      </c>
      <c r="P1" s="199" t="e">
        <f>HYPERLINK(CONCATENATE("http://www.spr.depen.pr.gov.br/centralvagas/exibirFoto.jpg?numProntuario=",#REF!,"&amp;idImagem=6"),"FOTO 6")</f>
        <v>#REF!</v>
      </c>
    </row>
    <row r="2" spans="1:16" ht="14.1" customHeight="1" thickTop="1" thickBot="1">
      <c r="A2" s="745" t="s">
        <v>3582</v>
      </c>
      <c r="B2" s="746" t="s">
        <v>3722</v>
      </c>
      <c r="C2" s="561" t="s">
        <v>170</v>
      </c>
      <c r="D2" s="562" t="s">
        <v>3547</v>
      </c>
      <c r="E2" s="747">
        <v>159964</v>
      </c>
      <c r="F2" s="116"/>
      <c r="G2" s="119"/>
      <c r="H2" s="116"/>
      <c r="I2" s="119"/>
      <c r="J2" s="132"/>
      <c r="K2" s="199" t="str">
        <f>HYPERLINK(CONCATENATE("http://www.spr.depen.pr.gov.br/centralvagas/exibirFoto.jpg?numProntuario=",$E2,"&amp;idImagem=1"),"FOTO 1")</f>
        <v>FOTO 1</v>
      </c>
      <c r="L2" s="199" t="str">
        <f>HYPERLINK(CONCATENATE("http://www.spr.depen.pr.gov.br/centralvagas/exibirFoto.jpg?numProntuario=",$E2,"&amp;idImagem=2"),"FOTO 2")</f>
        <v>FOTO 2</v>
      </c>
      <c r="M2" s="199" t="str">
        <f>HYPERLINK(CONCATENATE("http://www.spr.depen.pr.gov.br/centralvagas/exibirFoto.jpg?numProntuario=",$E2,"&amp;idImagem=3"),"FOTO 3")</f>
        <v>FOTO 3</v>
      </c>
      <c r="N2" s="199" t="str">
        <f>HYPERLINK(CONCATENATE("http://www.spr.depen.pr.gov.br/centralvagas/exibirFoto.jpg?numProntuario=",$E2,"&amp;idImagem=4"),"FOTO 4")</f>
        <v>FOTO 4</v>
      </c>
      <c r="O2" s="199" t="str">
        <f>HYPERLINK(CONCATENATE("http://www.spr.depen.pr.gov.br/centralvagas/exibirFoto.jpg?numProntuario=",$E2,"&amp;idImagem=5"),"FOTO 5")</f>
        <v>FOTO 5</v>
      </c>
      <c r="P2" s="199" t="str">
        <f>HYPERLINK(CONCATENATE("http://www.spr.depen.pr.gov.br/centralvagas/exibirFoto.jpg?numProntuario=",$E2,"&amp;idImagem=6"),"FOTO 6")</f>
        <v>FOTO 6</v>
      </c>
    </row>
    <row r="3" spans="1:16" ht="14.1" customHeight="1" thickTop="1" thickBot="1">
      <c r="A3" s="745" t="s">
        <v>3582</v>
      </c>
      <c r="B3" s="746" t="s">
        <v>3722</v>
      </c>
      <c r="C3" s="561" t="s">
        <v>170</v>
      </c>
      <c r="D3" s="562" t="s">
        <v>3548</v>
      </c>
      <c r="E3" s="747">
        <v>27329</v>
      </c>
      <c r="F3" s="116"/>
      <c r="G3" s="119"/>
      <c r="H3" s="116"/>
      <c r="I3" s="119"/>
      <c r="J3" s="132"/>
      <c r="K3" s="199" t="str">
        <f>HYPERLINK(CONCATENATE("http://www.spr.depen.pr.gov.br/centralvagas/exibirFoto.jpg?numProntuario=",$E3,"&amp;idImagem=1"),"FOTO 1")</f>
        <v>FOTO 1</v>
      </c>
      <c r="L3" s="199" t="str">
        <f>HYPERLINK(CONCATENATE("http://www.spr.depen.pr.gov.br/centralvagas/exibirFoto.jpg?numProntuario=",$E3,"&amp;idImagem=2"),"FOTO 2")</f>
        <v>FOTO 2</v>
      </c>
      <c r="M3" s="199" t="str">
        <f>HYPERLINK(CONCATENATE("http://www.spr.depen.pr.gov.br/centralvagas/exibirFoto.jpg?numProntuario=",$E3,"&amp;idImagem=3"),"FOTO 3")</f>
        <v>FOTO 3</v>
      </c>
      <c r="N3" s="199" t="str">
        <f>HYPERLINK(CONCATENATE("http://www.spr.depen.pr.gov.br/centralvagas/exibirFoto.jpg?numProntuario=",$E3,"&amp;idImagem=4"),"FOTO 4")</f>
        <v>FOTO 4</v>
      </c>
      <c r="O3" s="199" t="str">
        <f>HYPERLINK(CONCATENATE("http://www.spr.depen.pr.gov.br/centralvagas/exibirFoto.jpg?numProntuario=",$E3,"&amp;idImagem=5"),"FOTO 5")</f>
        <v>FOTO 5</v>
      </c>
      <c r="P3" s="199" t="str">
        <f>HYPERLINK(CONCATENATE("http://www.spr.depen.pr.gov.br/centralvagas/exibirFoto.jpg?numProntuario=",$E3,"&amp;idImagem=6"),"FOTO 6")</f>
        <v>FOTO 6</v>
      </c>
    </row>
    <row r="4" spans="1:16" ht="14.1" customHeight="1" thickTop="1" thickBot="1">
      <c r="A4" s="745" t="s">
        <v>3582</v>
      </c>
      <c r="B4" s="746" t="s">
        <v>3722</v>
      </c>
      <c r="C4" s="561" t="s">
        <v>170</v>
      </c>
      <c r="D4" s="562" t="s">
        <v>2668</v>
      </c>
      <c r="E4" s="747">
        <v>150465</v>
      </c>
      <c r="F4" s="116"/>
      <c r="G4" s="119"/>
      <c r="H4" s="116"/>
      <c r="I4" s="119"/>
      <c r="J4" s="132"/>
      <c r="K4" s="199" t="str">
        <f>HYPERLINK(CONCATENATE("http://www.spr.depen.pr.gov.br/centralvagas/exibirFoto.jpg?numProntuario=",$E4,"&amp;idImagem=1"),"FOTO 1")</f>
        <v>FOTO 1</v>
      </c>
      <c r="L4" s="199" t="str">
        <f>HYPERLINK(CONCATENATE("http://www.spr.depen.pr.gov.br/centralvagas/exibirFoto.jpg?numProntuario=",$E4,"&amp;idImagem=2"),"FOTO 2")</f>
        <v>FOTO 2</v>
      </c>
      <c r="M4" s="199" t="str">
        <f>HYPERLINK(CONCATENATE("http://www.spr.depen.pr.gov.br/centralvagas/exibirFoto.jpg?numProntuario=",$E4,"&amp;idImagem=3"),"FOTO 3")</f>
        <v>FOTO 3</v>
      </c>
      <c r="N4" s="199" t="str">
        <f>HYPERLINK(CONCATENATE("http://www.spr.depen.pr.gov.br/centralvagas/exibirFoto.jpg?numProntuario=",$E4,"&amp;idImagem=4"),"FOTO 4")</f>
        <v>FOTO 4</v>
      </c>
      <c r="O4" s="199" t="str">
        <f>HYPERLINK(CONCATENATE("http://www.spr.depen.pr.gov.br/centralvagas/exibirFoto.jpg?numProntuario=",$E4,"&amp;idImagem=5"),"FOTO 5")</f>
        <v>FOTO 5</v>
      </c>
      <c r="P4" s="199" t="str">
        <f>HYPERLINK(CONCATENATE("http://www.spr.depen.pr.gov.br/centralvagas/exibirFoto.jpg?numProntuario=",$E4,"&amp;idImagem=6"),"FOTO 6")</f>
        <v>FOTO 6</v>
      </c>
    </row>
    <row r="5" spans="1:16" ht="14.1" customHeight="1" thickTop="1" thickBot="1">
      <c r="A5" s="745" t="s">
        <v>3582</v>
      </c>
      <c r="B5" s="746" t="s">
        <v>3722</v>
      </c>
      <c r="C5" s="561" t="s">
        <v>170</v>
      </c>
      <c r="D5" s="562" t="s">
        <v>2789</v>
      </c>
      <c r="E5" s="747">
        <v>150465</v>
      </c>
      <c r="F5" s="116"/>
      <c r="G5" s="119"/>
      <c r="H5" s="116"/>
      <c r="I5" s="119"/>
      <c r="J5" s="132"/>
      <c r="K5" s="199" t="str">
        <f>HYPERLINK(CONCATENATE("http://www.spr.depen.pr.gov.br/centralvagas/exibirFoto.jpg?numProntuario=",$E5,"&amp;idImagem=1"),"FOTO 1")</f>
        <v>FOTO 1</v>
      </c>
      <c r="L5" s="199" t="str">
        <f>HYPERLINK(CONCATENATE("http://www.spr.depen.pr.gov.br/centralvagas/exibirFoto.jpg?numProntuario=",$E5,"&amp;idImagem=2"),"FOTO 2")</f>
        <v>FOTO 2</v>
      </c>
      <c r="M5" s="199" t="str">
        <f>HYPERLINK(CONCATENATE("http://www.spr.depen.pr.gov.br/centralvagas/exibirFoto.jpg?numProntuario=",$E5,"&amp;idImagem=3"),"FOTO 3")</f>
        <v>FOTO 3</v>
      </c>
      <c r="N5" s="199" t="str">
        <f>HYPERLINK(CONCATENATE("http://www.spr.depen.pr.gov.br/centralvagas/exibirFoto.jpg?numProntuario=",$E5,"&amp;idImagem=4"),"FOTO 4")</f>
        <v>FOTO 4</v>
      </c>
      <c r="O5" s="199" t="str">
        <f>HYPERLINK(CONCATENATE("http://www.spr.depen.pr.gov.br/centralvagas/exibirFoto.jpg?numProntuario=",$E5,"&amp;idImagem=5"),"FOTO 5")</f>
        <v>FOTO 5</v>
      </c>
      <c r="P5" s="199" t="str">
        <f>HYPERLINK(CONCATENATE("http://www.spr.depen.pr.gov.br/centralvagas/exibirFoto.jpg?numProntuario=",$E5,"&amp;idImagem=6"),"FOTO 6")</f>
        <v>FOTO 6</v>
      </c>
    </row>
    <row r="6" spans="1:16" ht="14.1" customHeight="1" thickTop="1" thickBot="1">
      <c r="A6" s="123"/>
      <c r="B6" s="127"/>
      <c r="C6" s="116" t="s">
        <v>877</v>
      </c>
      <c r="D6" s="122" t="s">
        <v>1501</v>
      </c>
      <c r="E6" s="117">
        <v>27215</v>
      </c>
      <c r="F6" s="116"/>
      <c r="G6" s="119"/>
      <c r="H6" s="116"/>
      <c r="I6" s="119"/>
      <c r="J6" s="132"/>
      <c r="K6" s="199" t="str">
        <f>HYPERLINK(CONCATENATE("http://www.spr.depen.pr.gov.br/centralvagas/exibirFoto.jpg?numProntuario=",$E6,"&amp;idImagem=1"),"FOTO 1")</f>
        <v>FOTO 1</v>
      </c>
      <c r="L6" s="199" t="str">
        <f>HYPERLINK(CONCATENATE("http://www.spr.depen.pr.gov.br/centralvagas/exibirFoto.jpg?numProntuario=",$E6,"&amp;idImagem=2"),"FOTO 2")</f>
        <v>FOTO 2</v>
      </c>
      <c r="M6" s="199" t="str">
        <f>HYPERLINK(CONCATENATE("http://www.spr.depen.pr.gov.br/centralvagas/exibirFoto.jpg?numProntuario=",$E6,"&amp;idImagem=3"),"FOTO 3")</f>
        <v>FOTO 3</v>
      </c>
      <c r="N6" s="199" t="str">
        <f>HYPERLINK(CONCATENATE("http://www.spr.depen.pr.gov.br/centralvagas/exibirFoto.jpg?numProntuario=",$E6,"&amp;idImagem=4"),"FOTO 4")</f>
        <v>FOTO 4</v>
      </c>
      <c r="O6" s="199" t="str">
        <f>HYPERLINK(CONCATENATE("http://www.spr.depen.pr.gov.br/centralvagas/exibirFoto.jpg?numProntuario=",$E6,"&amp;idImagem=5"),"FOTO 5")</f>
        <v>FOTO 5</v>
      </c>
      <c r="P6" s="199" t="str">
        <f>HYPERLINK(CONCATENATE("http://www.spr.depen.pr.gov.br/centralvagas/exibirFoto.jpg?numProntuario=",$E6,"&amp;idImagem=6"),"FOTO 6")</f>
        <v>FOTO 6</v>
      </c>
    </row>
    <row r="7" spans="1:16" ht="14.1" customHeight="1" thickTop="1" thickBot="1">
      <c r="A7" s="138"/>
      <c r="B7" s="245"/>
      <c r="C7" s="116" t="s">
        <v>877</v>
      </c>
      <c r="D7" s="122" t="s">
        <v>1890</v>
      </c>
      <c r="E7" s="117">
        <v>127055</v>
      </c>
      <c r="F7" s="116"/>
      <c r="G7" s="119"/>
      <c r="H7" s="116"/>
      <c r="I7" s="119"/>
      <c r="J7" s="132"/>
      <c r="K7" s="199" t="str">
        <f>HYPERLINK(CONCATENATE("http://www.spr.depen.pr.gov.br/centralvagas/exibirFoto.jpg?numProntuario=",$E7,"&amp;idImagem=1"),"FOTO 1")</f>
        <v>FOTO 1</v>
      </c>
      <c r="L7" s="199" t="str">
        <f>HYPERLINK(CONCATENATE("http://www.spr.depen.pr.gov.br/centralvagas/exibirFoto.jpg?numProntuario=",$E7,"&amp;idImagem=2"),"FOTO 2")</f>
        <v>FOTO 2</v>
      </c>
      <c r="M7" s="199" t="str">
        <f>HYPERLINK(CONCATENATE("http://www.spr.depen.pr.gov.br/centralvagas/exibirFoto.jpg?numProntuario=",$E7,"&amp;idImagem=3"),"FOTO 3")</f>
        <v>FOTO 3</v>
      </c>
      <c r="N7" s="199" t="str">
        <f>HYPERLINK(CONCATENATE("http://www.spr.depen.pr.gov.br/centralvagas/exibirFoto.jpg?numProntuario=",$E7,"&amp;idImagem=4"),"FOTO 4")</f>
        <v>FOTO 4</v>
      </c>
      <c r="O7" s="199" t="str">
        <f>HYPERLINK(CONCATENATE("http://www.spr.depen.pr.gov.br/centralvagas/exibirFoto.jpg?numProntuario=",$E7,"&amp;idImagem=5"),"FOTO 5")</f>
        <v>FOTO 5</v>
      </c>
      <c r="P7" s="199" t="str">
        <f>HYPERLINK(CONCATENATE("http://www.spr.depen.pr.gov.br/centralvagas/exibirFoto.jpg?numProntuario=",$E7,"&amp;idImagem=6"),"FOTO 6")</f>
        <v>FOTO 6</v>
      </c>
    </row>
    <row r="8" spans="1:16" ht="14.1" customHeight="1" thickTop="1" thickBot="1">
      <c r="A8" s="123"/>
      <c r="B8" s="254"/>
      <c r="C8" s="214" t="s">
        <v>877</v>
      </c>
      <c r="D8" s="131" t="s">
        <v>2846</v>
      </c>
      <c r="E8" s="117">
        <v>50685</v>
      </c>
      <c r="F8" s="116"/>
      <c r="G8" s="119"/>
      <c r="H8" s="116"/>
      <c r="I8" s="119"/>
      <c r="J8" s="132"/>
      <c r="K8" s="199" t="str">
        <f>HYPERLINK(CONCATENATE("http://www.spr.depen.pr.gov.br/centralvagas/exibirFoto.jpg?numProntuario=",$E8,"&amp;idImagem=1"),"FOTO 1")</f>
        <v>FOTO 1</v>
      </c>
      <c r="L8" s="199" t="str">
        <f>HYPERLINK(CONCATENATE("http://www.spr.depen.pr.gov.br/centralvagas/exibirFoto.jpg?numProntuario=",$E8,"&amp;idImagem=2"),"FOTO 2")</f>
        <v>FOTO 2</v>
      </c>
      <c r="M8" s="199" t="str">
        <f>HYPERLINK(CONCATENATE("http://www.spr.depen.pr.gov.br/centralvagas/exibirFoto.jpg?numProntuario=",$E8,"&amp;idImagem=3"),"FOTO 3")</f>
        <v>FOTO 3</v>
      </c>
      <c r="N8" s="199" t="str">
        <f>HYPERLINK(CONCATENATE("http://www.spr.depen.pr.gov.br/centralvagas/exibirFoto.jpg?numProntuario=",$E8,"&amp;idImagem=4"),"FOTO 4")</f>
        <v>FOTO 4</v>
      </c>
      <c r="O8" s="199" t="str">
        <f>HYPERLINK(CONCATENATE("http://www.spr.depen.pr.gov.br/centralvagas/exibirFoto.jpg?numProntuario=",$E8,"&amp;idImagem=5"),"FOTO 5")</f>
        <v>FOTO 5</v>
      </c>
      <c r="P8" s="199" t="str">
        <f>HYPERLINK(CONCATENATE("http://www.spr.depen.pr.gov.br/centralvagas/exibirFoto.jpg?numProntuario=",$E8,"&amp;idImagem=6"),"FOTO 6")</f>
        <v>FOTO 6</v>
      </c>
    </row>
    <row r="9" spans="1:16" ht="14.1" customHeight="1" thickTop="1" thickBot="1">
      <c r="A9" s="123"/>
      <c r="B9" s="229"/>
      <c r="C9" s="214" t="s">
        <v>877</v>
      </c>
      <c r="D9" s="129" t="s">
        <v>998</v>
      </c>
      <c r="E9" s="117">
        <v>171789</v>
      </c>
      <c r="F9" s="243"/>
      <c r="G9" s="244"/>
      <c r="H9" s="116"/>
      <c r="I9" s="119"/>
      <c r="J9" s="116"/>
      <c r="K9" s="199" t="str">
        <f>HYPERLINK(CONCATENATE("http://www.spr.depen.pr.gov.br/centralvagas/exibirFoto.jpg?numProntuario=",$E9,"&amp;idImagem=1"),"FOTO 1")</f>
        <v>FOTO 1</v>
      </c>
      <c r="L9" s="199" t="str">
        <f>HYPERLINK(CONCATENATE("http://www.spr.depen.pr.gov.br/centralvagas/exibirFoto.jpg?numProntuario=",$E9,"&amp;idImagem=2"),"FOTO 2")</f>
        <v>FOTO 2</v>
      </c>
      <c r="M9" s="199" t="str">
        <f>HYPERLINK(CONCATENATE("http://www.spr.depen.pr.gov.br/centralvagas/exibirFoto.jpg?numProntuario=",$E9,"&amp;idImagem=3"),"FOTO 3")</f>
        <v>FOTO 3</v>
      </c>
      <c r="N9" s="199" t="str">
        <f>HYPERLINK(CONCATENATE("http://www.spr.depen.pr.gov.br/centralvagas/exibirFoto.jpg?numProntuario=",$E9,"&amp;idImagem=4"),"FOTO 4")</f>
        <v>FOTO 4</v>
      </c>
      <c r="O9" s="199" t="str">
        <f>HYPERLINK(CONCATENATE("http://www.spr.depen.pr.gov.br/centralvagas/exibirFoto.jpg?numProntuario=",$E9,"&amp;idImagem=5"),"FOTO 5")</f>
        <v>FOTO 5</v>
      </c>
      <c r="P9" s="199" t="str">
        <f>HYPERLINK(CONCATENATE("http://www.spr.depen.pr.gov.br/centralvagas/exibirFoto.jpg?numProntuario=",$E9,"&amp;idImagem=6"),"FOTO 6")</f>
        <v>FOTO 6</v>
      </c>
    </row>
    <row r="10" spans="1:16" ht="14.1" customHeight="1" thickTop="1" thickBot="1">
      <c r="A10" s="148"/>
      <c r="B10" s="438"/>
      <c r="C10" s="214" t="s">
        <v>877</v>
      </c>
      <c r="D10" s="131" t="s">
        <v>2809</v>
      </c>
      <c r="E10" s="117">
        <v>150894</v>
      </c>
      <c r="F10" s="116"/>
      <c r="G10" s="119"/>
      <c r="H10" s="116"/>
      <c r="I10" s="119"/>
      <c r="J10" s="116"/>
      <c r="K10" s="199" t="str">
        <f>HYPERLINK(CONCATENATE("http://www.spr.depen.pr.gov.br/centralvagas/exibirFoto.jpg?numProntuario=",$E10,"&amp;idImagem=1"),"FOTO 1")</f>
        <v>FOTO 1</v>
      </c>
      <c r="L10" s="199" t="str">
        <f>HYPERLINK(CONCATENATE("http://www.spr.depen.pr.gov.br/centralvagas/exibirFoto.jpg?numProntuario=",$E10,"&amp;idImagem=2"),"FOTO 2")</f>
        <v>FOTO 2</v>
      </c>
      <c r="M10" s="199" t="str">
        <f>HYPERLINK(CONCATENATE("http://www.spr.depen.pr.gov.br/centralvagas/exibirFoto.jpg?numProntuario=",$E10,"&amp;idImagem=3"),"FOTO 3")</f>
        <v>FOTO 3</v>
      </c>
      <c r="N10" s="199" t="str">
        <f>HYPERLINK(CONCATENATE("http://www.spr.depen.pr.gov.br/centralvagas/exibirFoto.jpg?numProntuario=",$E10,"&amp;idImagem=4"),"FOTO 4")</f>
        <v>FOTO 4</v>
      </c>
      <c r="O10" s="199" t="str">
        <f>HYPERLINK(CONCATENATE("http://www.spr.depen.pr.gov.br/centralvagas/exibirFoto.jpg?numProntuario=",$E10,"&amp;idImagem=5"),"FOTO 5")</f>
        <v>FOTO 5</v>
      </c>
      <c r="P10" s="199" t="str">
        <f>HYPERLINK(CONCATENATE("http://www.spr.depen.pr.gov.br/centralvagas/exibirFoto.jpg?numProntuario=",$E10,"&amp;idImagem=6"),"FOTO 6")</f>
        <v>FOTO 6</v>
      </c>
    </row>
    <row r="11" spans="1:16" ht="14.1" customHeight="1" thickTop="1" thickBot="1">
      <c r="A11" s="474"/>
      <c r="B11" s="475"/>
      <c r="C11" s="214" t="s">
        <v>2275</v>
      </c>
      <c r="D11" s="128" t="s">
        <v>3611</v>
      </c>
      <c r="E11" s="205">
        <v>446763</v>
      </c>
      <c r="F11" s="116"/>
      <c r="G11" s="119"/>
      <c r="H11" s="116"/>
      <c r="I11" s="119"/>
      <c r="J11" s="116"/>
      <c r="K11" s="199" t="str">
        <f>HYPERLINK(CONCATENATE("http://www.spr.depen.pr.gov.br/centralvagas/exibirFoto.jpg?numProntuario=",$E11,"&amp;idImagem=1"),"FOTO 1")</f>
        <v>FOTO 1</v>
      </c>
      <c r="L11" s="199" t="str">
        <f>HYPERLINK(CONCATENATE("http://www.spr.depen.pr.gov.br/centralvagas/exibirFoto.jpg?numProntuario=",$E11,"&amp;idImagem=2"),"FOTO 2")</f>
        <v>FOTO 2</v>
      </c>
      <c r="M11" s="199" t="str">
        <f>HYPERLINK(CONCATENATE("http://www.spr.depen.pr.gov.br/centralvagas/exibirFoto.jpg?numProntuario=",$E11,"&amp;idImagem=3"),"FOTO 3")</f>
        <v>FOTO 3</v>
      </c>
      <c r="N11" s="199" t="str">
        <f>HYPERLINK(CONCATENATE("http://www.spr.depen.pr.gov.br/centralvagas/exibirFoto.jpg?numProntuario=",$E11,"&amp;idImagem=4"),"FOTO 4")</f>
        <v>FOTO 4</v>
      </c>
      <c r="O11" s="199" t="str">
        <f>HYPERLINK(CONCATENATE("http://www.spr.depen.pr.gov.br/centralvagas/exibirFoto.jpg?numProntuario=",$E11,"&amp;idImagem=5"),"FOTO 5")</f>
        <v>FOTO 5</v>
      </c>
      <c r="P11" s="199" t="str">
        <f>HYPERLINK(CONCATENATE("http://www.spr.depen.pr.gov.br/centralvagas/exibirFoto.jpg?numProntuario=",$E11,"&amp;idImagem=6"),"FOTO 6")</f>
        <v>FOTO 6</v>
      </c>
    </row>
    <row r="12" spans="1:16" ht="14.1" customHeight="1" thickTop="1" thickBot="1">
      <c r="A12" s="116"/>
      <c r="B12" s="245"/>
      <c r="C12" s="116" t="s">
        <v>2275</v>
      </c>
      <c r="D12" s="130" t="s">
        <v>2813</v>
      </c>
      <c r="E12" s="117"/>
      <c r="F12" s="116"/>
      <c r="G12" s="119"/>
      <c r="H12" s="116"/>
      <c r="I12" s="119"/>
      <c r="J12" s="116"/>
      <c r="K12" s="199" t="str">
        <f>HYPERLINK(CONCATENATE("http://www.spr.depen.pr.gov.br/centralvagas/exibirFoto.jpg?numProntuario=",$E12,"&amp;idImagem=1"),"FOTO 1")</f>
        <v>FOTO 1</v>
      </c>
      <c r="L12" s="199" t="str">
        <f>HYPERLINK(CONCATENATE("http://www.spr.depen.pr.gov.br/centralvagas/exibirFoto.jpg?numProntuario=",$E12,"&amp;idImagem=2"),"FOTO 2")</f>
        <v>FOTO 2</v>
      </c>
      <c r="M12" s="199" t="str">
        <f>HYPERLINK(CONCATENATE("http://www.spr.depen.pr.gov.br/centralvagas/exibirFoto.jpg?numProntuario=",$E12,"&amp;idImagem=3"),"FOTO 3")</f>
        <v>FOTO 3</v>
      </c>
      <c r="N12" s="199" t="str">
        <f>HYPERLINK(CONCATENATE("http://www.spr.depen.pr.gov.br/centralvagas/exibirFoto.jpg?numProntuario=",$E12,"&amp;idImagem=4"),"FOTO 4")</f>
        <v>FOTO 4</v>
      </c>
      <c r="O12" s="199" t="str">
        <f>HYPERLINK(CONCATENATE("http://www.spr.depen.pr.gov.br/centralvagas/exibirFoto.jpg?numProntuario=",$E12,"&amp;idImagem=5"),"FOTO 5")</f>
        <v>FOTO 5</v>
      </c>
      <c r="P12" s="199" t="str">
        <f>HYPERLINK(CONCATENATE("http://www.spr.depen.pr.gov.br/centralvagas/exibirFoto.jpg?numProntuario=",$E12,"&amp;idImagem=6"),"FOTO 6")</f>
        <v>FOTO 6</v>
      </c>
    </row>
    <row r="13" spans="1:16" ht="14.1" customHeight="1" thickTop="1" thickBot="1">
      <c r="A13" s="116"/>
      <c r="B13" s="317"/>
      <c r="C13" s="118" t="s">
        <v>2275</v>
      </c>
      <c r="D13" s="122" t="s">
        <v>1604</v>
      </c>
      <c r="E13" s="117">
        <v>101759</v>
      </c>
      <c r="F13" s="116"/>
      <c r="G13" s="119"/>
      <c r="H13" s="116"/>
      <c r="I13" s="119"/>
      <c r="J13" s="116"/>
      <c r="K13" s="199" t="str">
        <f>HYPERLINK(CONCATENATE("http://www.spr.depen.pr.gov.br/centralvagas/exibirFoto.jpg?numProntuario=",$E13,"&amp;idImagem=1"),"FOTO 1")</f>
        <v>FOTO 1</v>
      </c>
      <c r="L13" s="199" t="str">
        <f>HYPERLINK(CONCATENATE("http://www.spr.depen.pr.gov.br/centralvagas/exibirFoto.jpg?numProntuario=",$E13,"&amp;idImagem=2"),"FOTO 2")</f>
        <v>FOTO 2</v>
      </c>
      <c r="M13" s="199" t="str">
        <f>HYPERLINK(CONCATENATE("http://www.spr.depen.pr.gov.br/centralvagas/exibirFoto.jpg?numProntuario=",$E13,"&amp;idImagem=3"),"FOTO 3")</f>
        <v>FOTO 3</v>
      </c>
      <c r="N13" s="199" t="str">
        <f>HYPERLINK(CONCATENATE("http://www.spr.depen.pr.gov.br/centralvagas/exibirFoto.jpg?numProntuario=",$E13,"&amp;idImagem=4"),"FOTO 4")</f>
        <v>FOTO 4</v>
      </c>
      <c r="O13" s="199" t="str">
        <f>HYPERLINK(CONCATENATE("http://www.spr.depen.pr.gov.br/centralvagas/exibirFoto.jpg?numProntuario=",$E13,"&amp;idImagem=5"),"FOTO 5")</f>
        <v>FOTO 5</v>
      </c>
      <c r="P13" s="199" t="str">
        <f>HYPERLINK(CONCATENATE("http://www.spr.depen.pr.gov.br/centralvagas/exibirFoto.jpg?numProntuario=",$E13,"&amp;idImagem=6"),"FOTO 6")</f>
        <v>FOTO 6</v>
      </c>
    </row>
    <row r="14" spans="1:16" ht="14.1" customHeight="1" thickTop="1" thickBot="1">
      <c r="A14" s="120"/>
      <c r="B14" s="143"/>
      <c r="C14" s="118" t="s">
        <v>2275</v>
      </c>
      <c r="D14" s="131" t="s">
        <v>2122</v>
      </c>
      <c r="E14" s="117">
        <v>111652</v>
      </c>
      <c r="F14" s="116"/>
      <c r="G14" s="119"/>
      <c r="H14" s="116"/>
      <c r="I14" s="119"/>
      <c r="J14" s="116"/>
      <c r="K14" s="199" t="str">
        <f>HYPERLINK(CONCATENATE("http://www.spr.depen.pr.gov.br/centralvagas/exibirFoto.jpg?numProntuario=",$E14,"&amp;idImagem=1"),"FOTO 1")</f>
        <v>FOTO 1</v>
      </c>
      <c r="L14" s="199" t="str">
        <f>HYPERLINK(CONCATENATE("http://www.spr.depen.pr.gov.br/centralvagas/exibirFoto.jpg?numProntuario=",$E14,"&amp;idImagem=2"),"FOTO 2")</f>
        <v>FOTO 2</v>
      </c>
      <c r="M14" s="199" t="str">
        <f>HYPERLINK(CONCATENATE("http://www.spr.depen.pr.gov.br/centralvagas/exibirFoto.jpg?numProntuario=",$E14,"&amp;idImagem=3"),"FOTO 3")</f>
        <v>FOTO 3</v>
      </c>
      <c r="N14" s="199" t="str">
        <f>HYPERLINK(CONCATENATE("http://www.spr.depen.pr.gov.br/centralvagas/exibirFoto.jpg?numProntuario=",$E14,"&amp;idImagem=4"),"FOTO 4")</f>
        <v>FOTO 4</v>
      </c>
      <c r="O14" s="199" t="str">
        <f>HYPERLINK(CONCATENATE("http://www.spr.depen.pr.gov.br/centralvagas/exibirFoto.jpg?numProntuario=",$E14,"&amp;idImagem=5"),"FOTO 5")</f>
        <v>FOTO 5</v>
      </c>
      <c r="P14" s="199" t="str">
        <f>HYPERLINK(CONCATENATE("http://www.spr.depen.pr.gov.br/centralvagas/exibirFoto.jpg?numProntuario=",$E14,"&amp;idImagem=6"),"FOTO 6")</f>
        <v>FOTO 6</v>
      </c>
    </row>
    <row r="15" spans="1:16" ht="14.1" customHeight="1" thickTop="1" thickBot="1">
      <c r="A15" s="123"/>
      <c r="B15" s="245"/>
      <c r="C15" s="116" t="s">
        <v>2275</v>
      </c>
      <c r="D15" s="131" t="s">
        <v>2757</v>
      </c>
      <c r="E15" s="117">
        <v>170941</v>
      </c>
      <c r="F15" s="116"/>
      <c r="G15" s="119"/>
      <c r="H15" s="116"/>
      <c r="I15" s="119"/>
      <c r="J15" s="116"/>
      <c r="K15" s="199" t="str">
        <f>HYPERLINK(CONCATENATE("http://www.spr.depen.pr.gov.br/centralvagas/exibirFoto.jpg?numProntuario=",$E15,"&amp;idImagem=1"),"FOTO 1")</f>
        <v>FOTO 1</v>
      </c>
      <c r="L15" s="199" t="str">
        <f>HYPERLINK(CONCATENATE("http://www.spr.depen.pr.gov.br/centralvagas/exibirFoto.jpg?numProntuario=",$E15,"&amp;idImagem=2"),"FOTO 2")</f>
        <v>FOTO 2</v>
      </c>
      <c r="M15" s="199" t="str">
        <f>HYPERLINK(CONCATENATE("http://www.spr.depen.pr.gov.br/centralvagas/exibirFoto.jpg?numProntuario=",$E15,"&amp;idImagem=3"),"FOTO 3")</f>
        <v>FOTO 3</v>
      </c>
      <c r="N15" s="199" t="str">
        <f>HYPERLINK(CONCATENATE("http://www.spr.depen.pr.gov.br/centralvagas/exibirFoto.jpg?numProntuario=",$E15,"&amp;idImagem=4"),"FOTO 4")</f>
        <v>FOTO 4</v>
      </c>
      <c r="O15" s="199" t="str">
        <f>HYPERLINK(CONCATENATE("http://www.spr.depen.pr.gov.br/centralvagas/exibirFoto.jpg?numProntuario=",$E15,"&amp;idImagem=5"),"FOTO 5")</f>
        <v>FOTO 5</v>
      </c>
      <c r="P15" s="199" t="str">
        <f>HYPERLINK(CONCATENATE("http://www.spr.depen.pr.gov.br/centralvagas/exibirFoto.jpg?numProntuario=",$E15,"&amp;idImagem=6"),"FOTO 6")</f>
        <v>FOTO 6</v>
      </c>
    </row>
    <row r="16" spans="1:16" s="111" customFormat="1" ht="14.1" customHeight="1" thickTop="1" thickBot="1">
      <c r="A16" s="118" t="s">
        <v>1228</v>
      </c>
      <c r="B16" s="229"/>
      <c r="C16" s="118" t="s">
        <v>63</v>
      </c>
      <c r="D16" s="122" t="s">
        <v>2574</v>
      </c>
      <c r="E16" s="144">
        <v>138959</v>
      </c>
      <c r="F16" s="116"/>
      <c r="G16" s="119"/>
      <c r="H16" s="116"/>
      <c r="I16" s="119"/>
      <c r="J16" s="116"/>
      <c r="K16" s="199" t="str">
        <f>HYPERLINK(CONCATENATE("http://www.spr.depen.pr.gov.br/centralvagas/exibirFoto.jpg?numProntuario=",$E16,"&amp;idImagem=1"),"FOTO 1")</f>
        <v>FOTO 1</v>
      </c>
      <c r="L16" s="199" t="str">
        <f>HYPERLINK(CONCATENATE("http://www.spr.depen.pr.gov.br/centralvagas/exibirFoto.jpg?numProntuario=",$E16,"&amp;idImagem=2"),"FOTO 2")</f>
        <v>FOTO 2</v>
      </c>
      <c r="M16" s="199" t="str">
        <f>HYPERLINK(CONCATENATE("http://www.spr.depen.pr.gov.br/centralvagas/exibirFoto.jpg?numProntuario=",$E16,"&amp;idImagem=3"),"FOTO 3")</f>
        <v>FOTO 3</v>
      </c>
      <c r="N16" s="199" t="str">
        <f>HYPERLINK(CONCATENATE("http://www.spr.depen.pr.gov.br/centralvagas/exibirFoto.jpg?numProntuario=",$E16,"&amp;idImagem=4"),"FOTO 4")</f>
        <v>FOTO 4</v>
      </c>
      <c r="O16" s="199" t="str">
        <f>HYPERLINK(CONCATENATE("http://www.spr.depen.pr.gov.br/centralvagas/exibirFoto.jpg?numProntuario=",$E16,"&amp;idImagem=5"),"FOTO 5")</f>
        <v>FOTO 5</v>
      </c>
      <c r="P16" s="199" t="str">
        <f>HYPERLINK(CONCATENATE("http://www.spr.depen.pr.gov.br/centralvagas/exibirFoto.jpg?numProntuario=",$E16,"&amp;idImagem=6"),"FOTO 6")</f>
        <v>FOTO 6</v>
      </c>
    </row>
    <row r="17" spans="1:16" s="111" customFormat="1" ht="14.1" customHeight="1" thickTop="1" thickBot="1">
      <c r="A17" s="118" t="s">
        <v>3534</v>
      </c>
      <c r="B17" s="229"/>
      <c r="C17" s="118" t="s">
        <v>63</v>
      </c>
      <c r="D17" s="122" t="s">
        <v>2019</v>
      </c>
      <c r="E17" s="144">
        <v>63778</v>
      </c>
      <c r="F17" s="116"/>
      <c r="G17" s="119"/>
      <c r="H17" s="116"/>
      <c r="I17" s="119"/>
      <c r="J17" s="116"/>
      <c r="K17" s="199" t="str">
        <f>HYPERLINK(CONCATENATE("http://www.spr.depen.pr.gov.br/centralvagas/exibirFoto.jpg?numProntuario=",$E17,"&amp;idImagem=1"),"FOTO 1")</f>
        <v>FOTO 1</v>
      </c>
      <c r="L17" s="199" t="str">
        <f>HYPERLINK(CONCATENATE("http://www.spr.depen.pr.gov.br/centralvagas/exibirFoto.jpg?numProntuario=",$E17,"&amp;idImagem=2"),"FOTO 2")</f>
        <v>FOTO 2</v>
      </c>
      <c r="M17" s="199" t="str">
        <f>HYPERLINK(CONCATENATE("http://www.spr.depen.pr.gov.br/centralvagas/exibirFoto.jpg?numProntuario=",$E17,"&amp;idImagem=3"),"FOTO 3")</f>
        <v>FOTO 3</v>
      </c>
      <c r="N17" s="199" t="str">
        <f>HYPERLINK(CONCATENATE("http://www.spr.depen.pr.gov.br/centralvagas/exibirFoto.jpg?numProntuario=",$E17,"&amp;idImagem=4"),"FOTO 4")</f>
        <v>FOTO 4</v>
      </c>
      <c r="O17" s="199" t="str">
        <f>HYPERLINK(CONCATENATE("http://www.spr.depen.pr.gov.br/centralvagas/exibirFoto.jpg?numProntuario=",$E17,"&amp;idImagem=5"),"FOTO 5")</f>
        <v>FOTO 5</v>
      </c>
      <c r="P17" s="199" t="str">
        <f>HYPERLINK(CONCATENATE("http://www.spr.depen.pr.gov.br/centralvagas/exibirFoto.jpg?numProntuario=",$E17,"&amp;idImagem=6"),"FOTO 6")</f>
        <v>FOTO 6</v>
      </c>
    </row>
    <row r="18" spans="1:16" ht="14.1" customHeight="1" thickTop="1" thickBot="1">
      <c r="A18" s="118" t="s">
        <v>3477</v>
      </c>
      <c r="B18" s="229"/>
      <c r="C18" s="118" t="s">
        <v>63</v>
      </c>
      <c r="D18" s="122" t="s">
        <v>2515</v>
      </c>
      <c r="E18" s="144">
        <v>63589</v>
      </c>
      <c r="F18" s="116"/>
      <c r="G18" s="119"/>
      <c r="H18" s="116"/>
      <c r="I18" s="119"/>
      <c r="J18" s="116"/>
      <c r="K18" s="199" t="str">
        <f>HYPERLINK(CONCATENATE("http://www.spr.depen.pr.gov.br/centralvagas/exibirFoto.jpg?numProntuario=",$E18,"&amp;idImagem=1"),"FOTO 1")</f>
        <v>FOTO 1</v>
      </c>
      <c r="L18" s="199" t="str">
        <f>HYPERLINK(CONCATENATE("http://www.spr.depen.pr.gov.br/centralvagas/exibirFoto.jpg?numProntuario=",$E18,"&amp;idImagem=2"),"FOTO 2")</f>
        <v>FOTO 2</v>
      </c>
      <c r="M18" s="199" t="str">
        <f>HYPERLINK(CONCATENATE("http://www.spr.depen.pr.gov.br/centralvagas/exibirFoto.jpg?numProntuario=",$E18,"&amp;idImagem=3"),"FOTO 3")</f>
        <v>FOTO 3</v>
      </c>
      <c r="N18" s="199" t="str">
        <f>HYPERLINK(CONCATENATE("http://www.spr.depen.pr.gov.br/centralvagas/exibirFoto.jpg?numProntuario=",$E18,"&amp;idImagem=4"),"FOTO 4")</f>
        <v>FOTO 4</v>
      </c>
      <c r="O18" s="199" t="str">
        <f>HYPERLINK(CONCATENATE("http://www.spr.depen.pr.gov.br/centralvagas/exibirFoto.jpg?numProntuario=",$E18,"&amp;idImagem=5"),"FOTO 5")</f>
        <v>FOTO 5</v>
      </c>
      <c r="P18" s="199" t="str">
        <f>HYPERLINK(CONCATENATE("http://www.spr.depen.pr.gov.br/centralvagas/exibirFoto.jpg?numProntuario=",$E18,"&amp;idImagem=6"),"FOTO 6")</f>
        <v>FOTO 6</v>
      </c>
    </row>
    <row r="19" spans="1:16" ht="14.1" customHeight="1" thickTop="1" thickBot="1">
      <c r="A19" s="118" t="s">
        <v>3534</v>
      </c>
      <c r="B19" s="229"/>
      <c r="C19" s="118" t="s">
        <v>63</v>
      </c>
      <c r="D19" s="122" t="s">
        <v>23</v>
      </c>
      <c r="E19" s="144">
        <v>63840</v>
      </c>
      <c r="F19" s="133"/>
      <c r="G19" s="119"/>
      <c r="H19" s="116"/>
      <c r="I19" s="119"/>
      <c r="J19" s="116"/>
      <c r="K19" s="199" t="str">
        <f>HYPERLINK(CONCATENATE("http://www.spr.depen.pr.gov.br/centralvagas/exibirFoto.jpg?numProntuario=",$E19,"&amp;idImagem=1"),"FOTO 1")</f>
        <v>FOTO 1</v>
      </c>
      <c r="L19" s="199" t="str">
        <f>HYPERLINK(CONCATENATE("http://www.spr.depen.pr.gov.br/centralvagas/exibirFoto.jpg?numProntuario=",$E19,"&amp;idImagem=2"),"FOTO 2")</f>
        <v>FOTO 2</v>
      </c>
      <c r="M19" s="199" t="str">
        <f>HYPERLINK(CONCATENATE("http://www.spr.depen.pr.gov.br/centralvagas/exibirFoto.jpg?numProntuario=",$E19,"&amp;idImagem=3"),"FOTO 3")</f>
        <v>FOTO 3</v>
      </c>
      <c r="N19" s="199" t="str">
        <f>HYPERLINK(CONCATENATE("http://www.spr.depen.pr.gov.br/centralvagas/exibirFoto.jpg?numProntuario=",$E19,"&amp;idImagem=4"),"FOTO 4")</f>
        <v>FOTO 4</v>
      </c>
      <c r="O19" s="199" t="str">
        <f>HYPERLINK(CONCATENATE("http://www.spr.depen.pr.gov.br/centralvagas/exibirFoto.jpg?numProntuario=",$E19,"&amp;idImagem=5"),"FOTO 5")</f>
        <v>FOTO 5</v>
      </c>
      <c r="P19" s="199" t="str">
        <f>HYPERLINK(CONCATENATE("http://www.spr.depen.pr.gov.br/centralvagas/exibirFoto.jpg?numProntuario=",$E19,"&amp;idImagem=6"),"FOTO 6")</f>
        <v>FOTO 6</v>
      </c>
    </row>
    <row r="20" spans="1:16" ht="14.1" customHeight="1" thickTop="1" thickBot="1">
      <c r="A20" s="563" t="s">
        <v>3477</v>
      </c>
      <c r="B20" s="568" t="s">
        <v>3658</v>
      </c>
      <c r="C20" s="563" t="s">
        <v>63</v>
      </c>
      <c r="D20" s="564" t="s">
        <v>2368</v>
      </c>
      <c r="E20" s="565">
        <v>157536</v>
      </c>
      <c r="F20" s="123"/>
      <c r="G20" s="119"/>
      <c r="H20" s="116"/>
      <c r="I20" s="119"/>
      <c r="J20" s="116"/>
      <c r="K20" s="199" t="str">
        <f>HYPERLINK(CONCATENATE("http://www.spr.depen.pr.gov.br/centralvagas/exibirFoto.jpg?numProntuario=",$E20,"&amp;idImagem=1"),"FOTO 1")</f>
        <v>FOTO 1</v>
      </c>
      <c r="L20" s="199" t="str">
        <f>HYPERLINK(CONCATENATE("http://www.spr.depen.pr.gov.br/centralvagas/exibirFoto.jpg?numProntuario=",$E20,"&amp;idImagem=2"),"FOTO 2")</f>
        <v>FOTO 2</v>
      </c>
      <c r="M20" s="199" t="str">
        <f>HYPERLINK(CONCATENATE("http://www.spr.depen.pr.gov.br/centralvagas/exibirFoto.jpg?numProntuario=",$E20,"&amp;idImagem=3"),"FOTO 3")</f>
        <v>FOTO 3</v>
      </c>
      <c r="N20" s="199" t="str">
        <f>HYPERLINK(CONCATENATE("http://www.spr.depen.pr.gov.br/centralvagas/exibirFoto.jpg?numProntuario=",$E20,"&amp;idImagem=4"),"FOTO 4")</f>
        <v>FOTO 4</v>
      </c>
      <c r="O20" s="199" t="str">
        <f>HYPERLINK(CONCATENATE("http://www.spr.depen.pr.gov.br/centralvagas/exibirFoto.jpg?numProntuario=",$E20,"&amp;idImagem=5"),"FOTO 5")</f>
        <v>FOTO 5</v>
      </c>
      <c r="P20" s="199" t="str">
        <f>HYPERLINK(CONCATENATE("http://www.spr.depen.pr.gov.br/centralvagas/exibirFoto.jpg?numProntuario=",$E20,"&amp;idImagem=6"),"FOTO 6")</f>
        <v>FOTO 6</v>
      </c>
    </row>
    <row r="21" spans="1:16" ht="14.1" customHeight="1" thickTop="1" thickBot="1">
      <c r="A21" s="152" t="s">
        <v>1228</v>
      </c>
      <c r="B21" s="200"/>
      <c r="C21" s="118" t="s">
        <v>102</v>
      </c>
      <c r="D21" s="130" t="s">
        <v>2460</v>
      </c>
      <c r="E21" s="466">
        <v>161712</v>
      </c>
      <c r="F21" s="133"/>
      <c r="G21" s="119"/>
      <c r="H21" s="116"/>
      <c r="I21" s="119"/>
      <c r="J21" s="116"/>
      <c r="K21" s="199" t="str">
        <f>HYPERLINK(CONCATENATE("http://www.spr.depen.pr.gov.br/centralvagas/exibirFoto.jpg?numProntuario=",$E21,"&amp;idImagem=1"),"FOTO 1")</f>
        <v>FOTO 1</v>
      </c>
      <c r="L21" s="199" t="str">
        <f>HYPERLINK(CONCATENATE("http://www.spr.depen.pr.gov.br/centralvagas/exibirFoto.jpg?numProntuario=",$E21,"&amp;idImagem=2"),"FOTO 2")</f>
        <v>FOTO 2</v>
      </c>
      <c r="M21" s="199" t="str">
        <f>HYPERLINK(CONCATENATE("http://www.spr.depen.pr.gov.br/centralvagas/exibirFoto.jpg?numProntuario=",$E21,"&amp;idImagem=3"),"FOTO 3")</f>
        <v>FOTO 3</v>
      </c>
      <c r="N21" s="199" t="str">
        <f>HYPERLINK(CONCATENATE("http://www.spr.depen.pr.gov.br/centralvagas/exibirFoto.jpg?numProntuario=",$E21,"&amp;idImagem=4"),"FOTO 4")</f>
        <v>FOTO 4</v>
      </c>
      <c r="O21" s="199" t="str">
        <f>HYPERLINK(CONCATENATE("http://www.spr.depen.pr.gov.br/centralvagas/exibirFoto.jpg?numProntuario=",$E21,"&amp;idImagem=5"),"FOTO 5")</f>
        <v>FOTO 5</v>
      </c>
      <c r="P21" s="199" t="str">
        <f>HYPERLINK(CONCATENATE("http://www.spr.depen.pr.gov.br/centralvagas/exibirFoto.jpg?numProntuario=",$E21,"&amp;idImagem=6"),"FOTO 6")</f>
        <v>FOTO 6</v>
      </c>
    </row>
    <row r="22" spans="1:16" ht="14.1" customHeight="1" thickTop="1" thickBot="1">
      <c r="A22" s="465" t="s">
        <v>1228</v>
      </c>
      <c r="B22" s="322"/>
      <c r="C22" s="116" t="s">
        <v>102</v>
      </c>
      <c r="D22" s="122" t="s">
        <v>756</v>
      </c>
      <c r="E22" s="117">
        <v>10623</v>
      </c>
      <c r="F22" s="116"/>
      <c r="G22" s="119"/>
      <c r="H22" s="116"/>
      <c r="I22" s="119"/>
      <c r="J22" s="132"/>
      <c r="K22" s="199" t="str">
        <f>HYPERLINK(CONCATENATE("http://www.spr.depen.pr.gov.br/centralvagas/exibirFoto.jpg?numProntuario=",$E22,"&amp;idImagem=1"),"FOTO 1")</f>
        <v>FOTO 1</v>
      </c>
      <c r="L22" s="199" t="str">
        <f>HYPERLINK(CONCATENATE("http://www.spr.depen.pr.gov.br/centralvagas/exibirFoto.jpg?numProntuario=",$E22,"&amp;idImagem=2"),"FOTO 2")</f>
        <v>FOTO 2</v>
      </c>
      <c r="M22" s="199" t="str">
        <f>HYPERLINK(CONCATENATE("http://www.spr.depen.pr.gov.br/centralvagas/exibirFoto.jpg?numProntuario=",$E22,"&amp;idImagem=3"),"FOTO 3")</f>
        <v>FOTO 3</v>
      </c>
      <c r="N22" s="199" t="str">
        <f>HYPERLINK(CONCATENATE("http://www.spr.depen.pr.gov.br/centralvagas/exibirFoto.jpg?numProntuario=",$E22,"&amp;idImagem=4"),"FOTO 4")</f>
        <v>FOTO 4</v>
      </c>
      <c r="O22" s="199" t="str">
        <f>HYPERLINK(CONCATENATE("http://www.spr.depen.pr.gov.br/centralvagas/exibirFoto.jpg?numProntuario=",$E22,"&amp;idImagem=5"),"FOTO 5")</f>
        <v>FOTO 5</v>
      </c>
      <c r="P22" s="199" t="str">
        <f>HYPERLINK(CONCATENATE("http://www.spr.depen.pr.gov.br/centralvagas/exibirFoto.jpg?numProntuario=",$E22,"&amp;idImagem=6"),"FOTO 6")</f>
        <v>FOTO 6</v>
      </c>
    </row>
    <row r="23" spans="1:16" ht="14.1" customHeight="1" thickTop="1" thickBot="1">
      <c r="A23" s="152" t="s">
        <v>1228</v>
      </c>
      <c r="B23" s="147"/>
      <c r="C23" s="116" t="s">
        <v>102</v>
      </c>
      <c r="D23" s="130" t="s">
        <v>2182</v>
      </c>
      <c r="E23" s="117">
        <v>142745</v>
      </c>
      <c r="F23" s="116"/>
      <c r="G23" s="119"/>
      <c r="H23" s="116"/>
      <c r="I23" s="119"/>
      <c r="J23" s="116"/>
      <c r="K23" s="199" t="str">
        <f>HYPERLINK(CONCATENATE("http://www.spr.depen.pr.gov.br/centralvagas/exibirFoto.jpg?numProntuario=",$E23,"&amp;idImagem=1"),"FOTO 1")</f>
        <v>FOTO 1</v>
      </c>
      <c r="L23" s="199" t="str">
        <f>HYPERLINK(CONCATENATE("http://www.spr.depen.pr.gov.br/centralvagas/exibirFoto.jpg?numProntuario=",$E23,"&amp;idImagem=2"),"FOTO 2")</f>
        <v>FOTO 2</v>
      </c>
      <c r="M23" s="199" t="str">
        <f>HYPERLINK(CONCATENATE("http://www.spr.depen.pr.gov.br/centralvagas/exibirFoto.jpg?numProntuario=",$E23,"&amp;idImagem=3"),"FOTO 3")</f>
        <v>FOTO 3</v>
      </c>
      <c r="N23" s="199" t="str">
        <f>HYPERLINK(CONCATENATE("http://www.spr.depen.pr.gov.br/centralvagas/exibirFoto.jpg?numProntuario=",$E23,"&amp;idImagem=4"),"FOTO 4")</f>
        <v>FOTO 4</v>
      </c>
      <c r="O23" s="199" t="str">
        <f>HYPERLINK(CONCATENATE("http://www.spr.depen.pr.gov.br/centralvagas/exibirFoto.jpg?numProntuario=",$E23,"&amp;idImagem=5"),"FOTO 5")</f>
        <v>FOTO 5</v>
      </c>
      <c r="P23" s="199" t="str">
        <f>HYPERLINK(CONCATENATE("http://www.spr.depen.pr.gov.br/centralvagas/exibirFoto.jpg?numProntuario=",$E23,"&amp;idImagem=6"),"FOTO 6")</f>
        <v>FOTO 6</v>
      </c>
    </row>
    <row r="24" spans="1:16" ht="14.1" customHeight="1" thickTop="1" thickBot="1">
      <c r="A24" s="152" t="s">
        <v>1228</v>
      </c>
      <c r="B24" s="147"/>
      <c r="C24" s="116" t="s">
        <v>102</v>
      </c>
      <c r="D24" s="130" t="s">
        <v>673</v>
      </c>
      <c r="E24" s="117">
        <v>27157</v>
      </c>
      <c r="F24" s="116"/>
      <c r="G24" s="119"/>
      <c r="H24" s="116"/>
      <c r="I24" s="119"/>
      <c r="J24" s="116"/>
      <c r="K24" s="199" t="str">
        <f>HYPERLINK(CONCATENATE("http://www.spr.depen.pr.gov.br/centralvagas/exibirFoto.jpg?numProntuario=",$E24,"&amp;idImagem=1"),"FOTO 1")</f>
        <v>FOTO 1</v>
      </c>
      <c r="L24" s="199" t="str">
        <f>HYPERLINK(CONCATENATE("http://www.spr.depen.pr.gov.br/centralvagas/exibirFoto.jpg?numProntuario=",$E24,"&amp;idImagem=2"),"FOTO 2")</f>
        <v>FOTO 2</v>
      </c>
      <c r="M24" s="199" t="str">
        <f>HYPERLINK(CONCATENATE("http://www.spr.depen.pr.gov.br/centralvagas/exibirFoto.jpg?numProntuario=",$E24,"&amp;idImagem=3"),"FOTO 3")</f>
        <v>FOTO 3</v>
      </c>
      <c r="N24" s="199" t="str">
        <f>HYPERLINK(CONCATENATE("http://www.spr.depen.pr.gov.br/centralvagas/exibirFoto.jpg?numProntuario=",$E24,"&amp;idImagem=4"),"FOTO 4")</f>
        <v>FOTO 4</v>
      </c>
      <c r="O24" s="199" t="str">
        <f>HYPERLINK(CONCATENATE("http://www.spr.depen.pr.gov.br/centralvagas/exibirFoto.jpg?numProntuario=",$E24,"&amp;idImagem=5"),"FOTO 5")</f>
        <v>FOTO 5</v>
      </c>
      <c r="P24" s="199" t="str">
        <f>HYPERLINK(CONCATENATE("http://www.spr.depen.pr.gov.br/centralvagas/exibirFoto.jpg?numProntuario=",$E24,"&amp;idImagem=6"),"FOTO 6")</f>
        <v>FOTO 6</v>
      </c>
    </row>
    <row r="25" spans="1:16" ht="14.1" customHeight="1" thickTop="1" thickBot="1">
      <c r="A25" s="152" t="s">
        <v>1228</v>
      </c>
      <c r="B25" s="317"/>
      <c r="C25" s="116" t="s">
        <v>704</v>
      </c>
      <c r="D25" s="129" t="s">
        <v>2523</v>
      </c>
      <c r="E25" s="117">
        <v>141164</v>
      </c>
      <c r="F25" s="116"/>
      <c r="G25" s="119"/>
      <c r="H25" s="116"/>
      <c r="I25" s="119"/>
      <c r="J25" s="116"/>
      <c r="K25" s="199" t="str">
        <f>HYPERLINK(CONCATENATE("http://www.spr.depen.pr.gov.br/centralvagas/exibirFoto.jpg?numProntuario=",$E25,"&amp;idImagem=1"),"FOTO 1")</f>
        <v>FOTO 1</v>
      </c>
      <c r="L25" s="199" t="str">
        <f>HYPERLINK(CONCATENATE("http://www.spr.depen.pr.gov.br/centralvagas/exibirFoto.jpg?numProntuario=",$E25,"&amp;idImagem=2"),"FOTO 2")</f>
        <v>FOTO 2</v>
      </c>
      <c r="M25" s="199" t="str">
        <f>HYPERLINK(CONCATENATE("http://www.spr.depen.pr.gov.br/centralvagas/exibirFoto.jpg?numProntuario=",$E25,"&amp;idImagem=3"),"FOTO 3")</f>
        <v>FOTO 3</v>
      </c>
      <c r="N25" s="199" t="str">
        <f>HYPERLINK(CONCATENATE("http://www.spr.depen.pr.gov.br/centralvagas/exibirFoto.jpg?numProntuario=",$E25,"&amp;idImagem=4"),"FOTO 4")</f>
        <v>FOTO 4</v>
      </c>
      <c r="O25" s="199" t="str">
        <f>HYPERLINK(CONCATENATE("http://www.spr.depen.pr.gov.br/centralvagas/exibirFoto.jpg?numProntuario=",$E25,"&amp;idImagem=5"),"FOTO 5")</f>
        <v>FOTO 5</v>
      </c>
      <c r="P25" s="199" t="str">
        <f>HYPERLINK(CONCATENATE("http://www.spr.depen.pr.gov.br/centralvagas/exibirFoto.jpg?numProntuario=",$E25,"&amp;idImagem=6"),"FOTO 6")</f>
        <v>FOTO 6</v>
      </c>
    </row>
    <row r="26" spans="1:16" ht="14.1" customHeight="1" thickTop="1" thickBot="1">
      <c r="A26" s="152" t="s">
        <v>1228</v>
      </c>
      <c r="B26" s="127"/>
      <c r="C26" s="116" t="s">
        <v>704</v>
      </c>
      <c r="D26" s="130" t="s">
        <v>2378</v>
      </c>
      <c r="E26" s="466">
        <v>125405</v>
      </c>
      <c r="F26" s="116"/>
      <c r="G26" s="119"/>
      <c r="H26" s="116"/>
      <c r="I26" s="119"/>
      <c r="J26" s="132"/>
      <c r="K26" s="199" t="str">
        <f>HYPERLINK(CONCATENATE("http://www.spr.depen.pr.gov.br/centralvagas/exibirFoto.jpg?numProntuario=",$E26,"&amp;idImagem=1"),"FOTO 1")</f>
        <v>FOTO 1</v>
      </c>
      <c r="L26" s="199" t="str">
        <f>HYPERLINK(CONCATENATE("http://www.spr.depen.pr.gov.br/centralvagas/exibirFoto.jpg?numProntuario=",$E26,"&amp;idImagem=2"),"FOTO 2")</f>
        <v>FOTO 2</v>
      </c>
      <c r="M26" s="199" t="str">
        <f>HYPERLINK(CONCATENATE("http://www.spr.depen.pr.gov.br/centralvagas/exibirFoto.jpg?numProntuario=",$E26,"&amp;idImagem=3"),"FOTO 3")</f>
        <v>FOTO 3</v>
      </c>
      <c r="N26" s="199" t="str">
        <f>HYPERLINK(CONCATENATE("http://www.spr.depen.pr.gov.br/centralvagas/exibirFoto.jpg?numProntuario=",$E26,"&amp;idImagem=4"),"FOTO 4")</f>
        <v>FOTO 4</v>
      </c>
      <c r="O26" s="199" t="str">
        <f>HYPERLINK(CONCATENATE("http://www.spr.depen.pr.gov.br/centralvagas/exibirFoto.jpg?numProntuario=",$E26,"&amp;idImagem=5"),"FOTO 5")</f>
        <v>FOTO 5</v>
      </c>
      <c r="P26" s="199" t="str">
        <f>HYPERLINK(CONCATENATE("http://www.spr.depen.pr.gov.br/centralvagas/exibirFoto.jpg?numProntuario=",$E26,"&amp;idImagem=6"),"FOTO 6")</f>
        <v>FOTO 6</v>
      </c>
    </row>
    <row r="27" spans="1:16" ht="14.1" customHeight="1" thickTop="1" thickBot="1">
      <c r="A27" s="152" t="s">
        <v>1228</v>
      </c>
      <c r="B27" s="127"/>
      <c r="C27" s="118" t="s">
        <v>704</v>
      </c>
      <c r="D27" s="122" t="s">
        <v>1515</v>
      </c>
      <c r="E27" s="117">
        <v>63757</v>
      </c>
      <c r="F27" s="243"/>
      <c r="G27" s="244"/>
      <c r="H27" s="116"/>
      <c r="I27" s="119"/>
      <c r="J27" s="132"/>
      <c r="K27" s="199" t="str">
        <f>HYPERLINK(CONCATENATE("http://www.spr.depen.pr.gov.br/centralvagas/exibirFoto.jpg?numProntuario=",$E27,"&amp;idImagem=1"),"FOTO 1")</f>
        <v>FOTO 1</v>
      </c>
      <c r="L27" s="199" t="str">
        <f>HYPERLINK(CONCATENATE("http://www.spr.depen.pr.gov.br/centralvagas/exibirFoto.jpg?numProntuario=",$E27,"&amp;idImagem=2"),"FOTO 2")</f>
        <v>FOTO 2</v>
      </c>
      <c r="M27" s="199" t="str">
        <f>HYPERLINK(CONCATENATE("http://www.spr.depen.pr.gov.br/centralvagas/exibirFoto.jpg?numProntuario=",$E27,"&amp;idImagem=3"),"FOTO 3")</f>
        <v>FOTO 3</v>
      </c>
      <c r="N27" s="199" t="str">
        <f>HYPERLINK(CONCATENATE("http://www.spr.depen.pr.gov.br/centralvagas/exibirFoto.jpg?numProntuario=",$E27,"&amp;idImagem=4"),"FOTO 4")</f>
        <v>FOTO 4</v>
      </c>
      <c r="O27" s="199" t="str">
        <f>HYPERLINK(CONCATENATE("http://www.spr.depen.pr.gov.br/centralvagas/exibirFoto.jpg?numProntuario=",$E27,"&amp;idImagem=5"),"FOTO 5")</f>
        <v>FOTO 5</v>
      </c>
      <c r="P27" s="199" t="str">
        <f>HYPERLINK(CONCATENATE("http://www.spr.depen.pr.gov.br/centralvagas/exibirFoto.jpg?numProntuario=",$E27,"&amp;idImagem=6"),"FOTO 6")</f>
        <v>FOTO 6</v>
      </c>
    </row>
    <row r="28" spans="1:16" ht="14.1" customHeight="1" thickTop="1" thickBot="1">
      <c r="A28" s="465" t="s">
        <v>1228</v>
      </c>
      <c r="B28" s="143"/>
      <c r="C28" s="118" t="s">
        <v>704</v>
      </c>
      <c r="D28" s="122" t="s">
        <v>3599</v>
      </c>
      <c r="E28" s="117">
        <v>63918</v>
      </c>
      <c r="F28" s="116"/>
      <c r="G28" s="119"/>
      <c r="H28" s="116"/>
      <c r="I28" s="119"/>
      <c r="J28" s="132"/>
      <c r="K28" s="199" t="str">
        <f>HYPERLINK(CONCATENATE("http://www.spr.depen.pr.gov.br/centralvagas/exibirFoto.jpg?numProntuario=",$E28,"&amp;idImagem=1"),"FOTO 1")</f>
        <v>FOTO 1</v>
      </c>
      <c r="L28" s="199" t="str">
        <f>HYPERLINK(CONCATENATE("http://www.spr.depen.pr.gov.br/centralvagas/exibirFoto.jpg?numProntuario=",$E28,"&amp;idImagem=2"),"FOTO 2")</f>
        <v>FOTO 2</v>
      </c>
      <c r="M28" s="199" t="str">
        <f>HYPERLINK(CONCATENATE("http://www.spr.depen.pr.gov.br/centralvagas/exibirFoto.jpg?numProntuario=",$E28,"&amp;idImagem=3"),"FOTO 3")</f>
        <v>FOTO 3</v>
      </c>
      <c r="N28" s="199" t="str">
        <f>HYPERLINK(CONCATENATE("http://www.spr.depen.pr.gov.br/centralvagas/exibirFoto.jpg?numProntuario=",$E28,"&amp;idImagem=4"),"FOTO 4")</f>
        <v>FOTO 4</v>
      </c>
      <c r="O28" s="199" t="str">
        <f>HYPERLINK(CONCATENATE("http://www.spr.depen.pr.gov.br/centralvagas/exibirFoto.jpg?numProntuario=",$E28,"&amp;idImagem=5"),"FOTO 5")</f>
        <v>FOTO 5</v>
      </c>
      <c r="P28" s="199" t="str">
        <f>HYPERLINK(CONCATENATE("http://www.spr.depen.pr.gov.br/centralvagas/exibirFoto.jpg?numProntuario=",$E28,"&amp;idImagem=6"),"FOTO 6")</f>
        <v>FOTO 6</v>
      </c>
    </row>
    <row r="29" spans="1:16" ht="14.1" customHeight="1" thickTop="1" thickBot="1">
      <c r="A29" s="465" t="s">
        <v>1228</v>
      </c>
      <c r="B29" s="229"/>
      <c r="C29" s="116" t="s">
        <v>704</v>
      </c>
      <c r="D29" s="130" t="s">
        <v>968</v>
      </c>
      <c r="E29" s="117">
        <v>45092</v>
      </c>
      <c r="F29" s="243"/>
      <c r="G29" s="244"/>
      <c r="H29" s="116"/>
      <c r="I29" s="119"/>
      <c r="J29" s="116"/>
      <c r="K29" s="199" t="str">
        <f>HYPERLINK(CONCATENATE("http://www.spr.depen.pr.gov.br/centralvagas/exibirFoto.jpg?numProntuario=",$E29,"&amp;idImagem=1"),"FOTO 1")</f>
        <v>FOTO 1</v>
      </c>
      <c r="L29" s="199" t="str">
        <f>HYPERLINK(CONCATENATE("http://www.spr.depen.pr.gov.br/centralvagas/exibirFoto.jpg?numProntuario=",$E29,"&amp;idImagem=2"),"FOTO 2")</f>
        <v>FOTO 2</v>
      </c>
      <c r="M29" s="199" t="str">
        <f>HYPERLINK(CONCATENATE("http://www.spr.depen.pr.gov.br/centralvagas/exibirFoto.jpg?numProntuario=",$E29,"&amp;idImagem=3"),"FOTO 3")</f>
        <v>FOTO 3</v>
      </c>
      <c r="N29" s="199" t="str">
        <f>HYPERLINK(CONCATENATE("http://www.spr.depen.pr.gov.br/centralvagas/exibirFoto.jpg?numProntuario=",$E29,"&amp;idImagem=4"),"FOTO 4")</f>
        <v>FOTO 4</v>
      </c>
      <c r="O29" s="199" t="str">
        <f>HYPERLINK(CONCATENATE("http://www.spr.depen.pr.gov.br/centralvagas/exibirFoto.jpg?numProntuario=",$E29,"&amp;idImagem=5"),"FOTO 5")</f>
        <v>FOTO 5</v>
      </c>
      <c r="P29" s="199" t="str">
        <f>HYPERLINK(CONCATENATE("http://www.spr.depen.pr.gov.br/centralvagas/exibirFoto.jpg?numProntuario=",$E29,"&amp;idImagem=6"),"FOTO 6")</f>
        <v>FOTO 6</v>
      </c>
    </row>
    <row r="30" spans="1:16" ht="14.1" customHeight="1" thickTop="1" thickBot="1">
      <c r="A30" s="152"/>
      <c r="B30" s="254"/>
      <c r="C30" s="118" t="s">
        <v>85</v>
      </c>
      <c r="D30" s="122" t="s">
        <v>3408</v>
      </c>
      <c r="E30" s="117">
        <v>19904</v>
      </c>
      <c r="F30" s="116"/>
      <c r="G30" s="119"/>
      <c r="H30" s="116"/>
      <c r="I30" s="119"/>
      <c r="J30" s="116"/>
      <c r="K30" s="199" t="str">
        <f>HYPERLINK(CONCATENATE("http://www.spr.depen.pr.gov.br/centralvagas/exibirFoto.jpg?numProntuario=",$E30,"&amp;idImagem=1"),"FOTO 1")</f>
        <v>FOTO 1</v>
      </c>
      <c r="L30" s="199" t="str">
        <f>HYPERLINK(CONCATENATE("http://www.spr.depen.pr.gov.br/centralvagas/exibirFoto.jpg?numProntuario=",$E30,"&amp;idImagem=2"),"FOTO 2")</f>
        <v>FOTO 2</v>
      </c>
      <c r="M30" s="199" t="str">
        <f>HYPERLINK(CONCATENATE("http://www.spr.depen.pr.gov.br/centralvagas/exibirFoto.jpg?numProntuario=",$E30,"&amp;idImagem=3"),"FOTO 3")</f>
        <v>FOTO 3</v>
      </c>
      <c r="N30" s="199" t="str">
        <f>HYPERLINK(CONCATENATE("http://www.spr.depen.pr.gov.br/centralvagas/exibirFoto.jpg?numProntuario=",$E30,"&amp;idImagem=4"),"FOTO 4")</f>
        <v>FOTO 4</v>
      </c>
      <c r="O30" s="199" t="str">
        <f>HYPERLINK(CONCATENATE("http://www.spr.depen.pr.gov.br/centralvagas/exibirFoto.jpg?numProntuario=",$E30,"&amp;idImagem=5"),"FOTO 5")</f>
        <v>FOTO 5</v>
      </c>
      <c r="P30" s="199" t="str">
        <f>HYPERLINK(CONCATENATE("http://www.spr.depen.pr.gov.br/centralvagas/exibirFoto.jpg?numProntuario=",$E30,"&amp;idImagem=6"),"FOTO 6")</f>
        <v>FOTO 6</v>
      </c>
    </row>
    <row r="31" spans="1:16" ht="14.1" customHeight="1" thickTop="1" thickBot="1">
      <c r="A31" s="118"/>
      <c r="B31" s="416"/>
      <c r="C31" s="214" t="s">
        <v>85</v>
      </c>
      <c r="D31" s="122" t="s">
        <v>2345</v>
      </c>
      <c r="E31" s="144">
        <v>108263</v>
      </c>
      <c r="F31" s="116"/>
      <c r="G31" s="119"/>
      <c r="H31" s="116"/>
      <c r="I31" s="119"/>
      <c r="J31" s="116"/>
      <c r="K31" s="199" t="str">
        <f>HYPERLINK(CONCATENATE("http://www.spr.depen.pr.gov.br/centralvagas/exibirFoto.jpg?numProntuario=",$E31,"&amp;idImagem=1"),"FOTO 1")</f>
        <v>FOTO 1</v>
      </c>
      <c r="L31" s="199" t="str">
        <f>HYPERLINK(CONCATENATE("http://www.spr.depen.pr.gov.br/centralvagas/exibirFoto.jpg?numProntuario=",$E31,"&amp;idImagem=2"),"FOTO 2")</f>
        <v>FOTO 2</v>
      </c>
      <c r="M31" s="199" t="str">
        <f>HYPERLINK(CONCATENATE("http://www.spr.depen.pr.gov.br/centralvagas/exibirFoto.jpg?numProntuario=",$E31,"&amp;idImagem=3"),"FOTO 3")</f>
        <v>FOTO 3</v>
      </c>
      <c r="N31" s="199" t="str">
        <f>HYPERLINK(CONCATENATE("http://www.spr.depen.pr.gov.br/centralvagas/exibirFoto.jpg?numProntuario=",$E31,"&amp;idImagem=4"),"FOTO 4")</f>
        <v>FOTO 4</v>
      </c>
      <c r="O31" s="199" t="str">
        <f>HYPERLINK(CONCATENATE("http://www.spr.depen.pr.gov.br/centralvagas/exibirFoto.jpg?numProntuario=",$E31,"&amp;idImagem=5"),"FOTO 5")</f>
        <v>FOTO 5</v>
      </c>
      <c r="P31" s="199" t="str">
        <f>HYPERLINK(CONCATENATE("http://www.spr.depen.pr.gov.br/centralvagas/exibirFoto.jpg?numProntuario=",$E31,"&amp;idImagem=6"),"FOTO 6")</f>
        <v>FOTO 6</v>
      </c>
    </row>
    <row r="32" spans="1:16" ht="14.1" customHeight="1" thickTop="1" thickBot="1">
      <c r="A32" s="134"/>
      <c r="B32" s="319"/>
      <c r="C32" s="116" t="s">
        <v>85</v>
      </c>
      <c r="D32" s="129" t="s">
        <v>3393</v>
      </c>
      <c r="E32" s="117">
        <v>149662</v>
      </c>
      <c r="F32" s="116"/>
      <c r="G32" s="119"/>
      <c r="H32" s="116"/>
      <c r="I32" s="119"/>
      <c r="J32" s="116"/>
      <c r="K32" s="199" t="str">
        <f>HYPERLINK(CONCATENATE("http://www.spr.depen.pr.gov.br/centralvagas/exibirFoto.jpg?numProntuario=",$E32,"&amp;idImagem=1"),"FOTO 1")</f>
        <v>FOTO 1</v>
      </c>
      <c r="L32" s="199" t="str">
        <f>HYPERLINK(CONCATENATE("http://www.spr.depen.pr.gov.br/centralvagas/exibirFoto.jpg?numProntuario=",$E32,"&amp;idImagem=2"),"FOTO 2")</f>
        <v>FOTO 2</v>
      </c>
      <c r="M32" s="199" t="str">
        <f>HYPERLINK(CONCATENATE("http://www.spr.depen.pr.gov.br/centralvagas/exibirFoto.jpg?numProntuario=",$E32,"&amp;idImagem=3"),"FOTO 3")</f>
        <v>FOTO 3</v>
      </c>
      <c r="N32" s="199" t="str">
        <f>HYPERLINK(CONCATENATE("http://www.spr.depen.pr.gov.br/centralvagas/exibirFoto.jpg?numProntuario=",$E32,"&amp;idImagem=4"),"FOTO 4")</f>
        <v>FOTO 4</v>
      </c>
      <c r="O32" s="199" t="str">
        <f>HYPERLINK(CONCATENATE("http://www.spr.depen.pr.gov.br/centralvagas/exibirFoto.jpg?numProntuario=",$E32,"&amp;idImagem=5"),"FOTO 5")</f>
        <v>FOTO 5</v>
      </c>
      <c r="P32" s="199" t="str">
        <f>HYPERLINK(CONCATENATE("http://www.spr.depen.pr.gov.br/centralvagas/exibirFoto.jpg?numProntuario=",$E32,"&amp;idImagem=6"),"FOTO 6")</f>
        <v>FOTO 6</v>
      </c>
    </row>
    <row r="33" spans="1:16" ht="14.1" customHeight="1" thickTop="1" thickBot="1">
      <c r="A33" s="134"/>
      <c r="B33" s="319"/>
      <c r="C33" s="116" t="s">
        <v>85</v>
      </c>
      <c r="D33" s="129" t="s">
        <v>1244</v>
      </c>
      <c r="E33" s="117">
        <v>55925</v>
      </c>
      <c r="F33" s="116"/>
      <c r="G33" s="119"/>
      <c r="H33" s="116"/>
      <c r="I33" s="119"/>
      <c r="J33" s="116"/>
      <c r="K33" s="199" t="str">
        <f>HYPERLINK(CONCATENATE("http://www.spr.depen.pr.gov.br/centralvagas/exibirFoto.jpg?numProntuario=",$E33,"&amp;idImagem=1"),"FOTO 1")</f>
        <v>FOTO 1</v>
      </c>
      <c r="L33" s="199" t="str">
        <f>HYPERLINK(CONCATENATE("http://www.spr.depen.pr.gov.br/centralvagas/exibirFoto.jpg?numProntuario=",$E33,"&amp;idImagem=2"),"FOTO 2")</f>
        <v>FOTO 2</v>
      </c>
      <c r="M33" s="199" t="str">
        <f>HYPERLINK(CONCATENATE("http://www.spr.depen.pr.gov.br/centralvagas/exibirFoto.jpg?numProntuario=",$E33,"&amp;idImagem=3"),"FOTO 3")</f>
        <v>FOTO 3</v>
      </c>
      <c r="N33" s="199" t="str">
        <f>HYPERLINK(CONCATENATE("http://www.spr.depen.pr.gov.br/centralvagas/exibirFoto.jpg?numProntuario=",$E33,"&amp;idImagem=4"),"FOTO 4")</f>
        <v>FOTO 4</v>
      </c>
      <c r="O33" s="199" t="str">
        <f>HYPERLINK(CONCATENATE("http://www.spr.depen.pr.gov.br/centralvagas/exibirFoto.jpg?numProntuario=",$E33,"&amp;idImagem=5"),"FOTO 5")</f>
        <v>FOTO 5</v>
      </c>
      <c r="P33" s="199" t="str">
        <f>HYPERLINK(CONCATENATE("http://www.spr.depen.pr.gov.br/centralvagas/exibirFoto.jpg?numProntuario=",$E33,"&amp;idImagem=6"),"FOTO 6")</f>
        <v>FOTO 6</v>
      </c>
    </row>
    <row r="34" spans="1:16" ht="14.1" customHeight="1" thickTop="1" thickBot="1">
      <c r="A34" s="134"/>
      <c r="B34" s="319"/>
      <c r="C34" s="116" t="s">
        <v>85</v>
      </c>
      <c r="D34" s="129" t="s">
        <v>3394</v>
      </c>
      <c r="E34" s="117">
        <v>27032</v>
      </c>
      <c r="F34" s="116"/>
      <c r="G34" s="119"/>
      <c r="H34" s="116"/>
      <c r="I34" s="119"/>
      <c r="J34" s="116"/>
      <c r="K34" s="199" t="str">
        <f>HYPERLINK(CONCATENATE("http://www.spr.depen.pr.gov.br/centralvagas/exibirFoto.jpg?numProntuario=",$E34,"&amp;idImagem=1"),"FOTO 1")</f>
        <v>FOTO 1</v>
      </c>
      <c r="L34" s="199" t="str">
        <f>HYPERLINK(CONCATENATE("http://www.spr.depen.pr.gov.br/centralvagas/exibirFoto.jpg?numProntuario=",$E34,"&amp;idImagem=2"),"FOTO 2")</f>
        <v>FOTO 2</v>
      </c>
      <c r="M34" s="199" t="str">
        <f>HYPERLINK(CONCATENATE("http://www.spr.depen.pr.gov.br/centralvagas/exibirFoto.jpg?numProntuario=",$E34,"&amp;idImagem=3"),"FOTO 3")</f>
        <v>FOTO 3</v>
      </c>
      <c r="N34" s="199" t="str">
        <f>HYPERLINK(CONCATENATE("http://www.spr.depen.pr.gov.br/centralvagas/exibirFoto.jpg?numProntuario=",$E34,"&amp;idImagem=4"),"FOTO 4")</f>
        <v>FOTO 4</v>
      </c>
      <c r="O34" s="199" t="str">
        <f>HYPERLINK(CONCATENATE("http://www.spr.depen.pr.gov.br/centralvagas/exibirFoto.jpg?numProntuario=",$E34,"&amp;idImagem=5"),"FOTO 5")</f>
        <v>FOTO 5</v>
      </c>
      <c r="P34" s="199" t="str">
        <f>HYPERLINK(CONCATENATE("http://www.spr.depen.pr.gov.br/centralvagas/exibirFoto.jpg?numProntuario=",$E34,"&amp;idImagem=6"),"FOTO 6")</f>
        <v>FOTO 6</v>
      </c>
    </row>
    <row r="35" spans="1:16" ht="14.1" customHeight="1" thickTop="1" thickBot="1">
      <c r="A35" s="118"/>
      <c r="B35" s="229" t="s">
        <v>9</v>
      </c>
      <c r="C35" s="126" t="s">
        <v>873</v>
      </c>
      <c r="D35" s="141" t="s">
        <v>2412</v>
      </c>
      <c r="E35" s="117">
        <v>54407</v>
      </c>
      <c r="F35" s="116"/>
      <c r="G35" s="119"/>
      <c r="H35" s="116"/>
      <c r="I35" s="119"/>
      <c r="J35" s="132"/>
      <c r="K35" s="199" t="str">
        <f>HYPERLINK(CONCATENATE("http://www.spr.depen.pr.gov.br/centralvagas/exibirFoto.jpg?numProntuario=",$E35,"&amp;idImagem=1"),"FOTO 1")</f>
        <v>FOTO 1</v>
      </c>
      <c r="L35" s="199" t="str">
        <f>HYPERLINK(CONCATENATE("http://www.spr.depen.pr.gov.br/centralvagas/exibirFoto.jpg?numProntuario=",$E35,"&amp;idImagem=2"),"FOTO 2")</f>
        <v>FOTO 2</v>
      </c>
      <c r="M35" s="199" t="str">
        <f>HYPERLINK(CONCATENATE("http://www.spr.depen.pr.gov.br/centralvagas/exibirFoto.jpg?numProntuario=",$E35,"&amp;idImagem=3"),"FOTO 3")</f>
        <v>FOTO 3</v>
      </c>
      <c r="N35" s="199" t="str">
        <f>HYPERLINK(CONCATENATE("http://www.spr.depen.pr.gov.br/centralvagas/exibirFoto.jpg?numProntuario=",$E35,"&amp;idImagem=4"),"FOTO 4")</f>
        <v>FOTO 4</v>
      </c>
      <c r="O35" s="199" t="str">
        <f>HYPERLINK(CONCATENATE("http://www.spr.depen.pr.gov.br/centralvagas/exibirFoto.jpg?numProntuario=",$E35,"&amp;idImagem=5"),"FOTO 5")</f>
        <v>FOTO 5</v>
      </c>
      <c r="P35" s="199" t="str">
        <f>HYPERLINK(CONCATENATE("http://www.spr.depen.pr.gov.br/centralvagas/exibirFoto.jpg?numProntuario=",$E35,"&amp;idImagem=6"),"FOTO 6")</f>
        <v>FOTO 6</v>
      </c>
    </row>
    <row r="36" spans="1:16" ht="14.1" customHeight="1" thickTop="1" thickBot="1">
      <c r="A36" s="123"/>
      <c r="B36" s="228"/>
      <c r="C36" s="116" t="s">
        <v>873</v>
      </c>
      <c r="D36" s="122" t="s">
        <v>2419</v>
      </c>
      <c r="E36" s="117">
        <v>63092</v>
      </c>
      <c r="F36" s="116"/>
      <c r="G36" s="119"/>
      <c r="H36" s="116"/>
      <c r="I36" s="119"/>
      <c r="J36" s="116"/>
      <c r="K36" s="199" t="str">
        <f>HYPERLINK(CONCATENATE("http://www.spr.depen.pr.gov.br/centralvagas/exibirFoto.jpg?numProntuario=",$E36,"&amp;idImagem=1"),"FOTO 1")</f>
        <v>FOTO 1</v>
      </c>
      <c r="L36" s="199" t="str">
        <f>HYPERLINK(CONCATENATE("http://www.spr.depen.pr.gov.br/centralvagas/exibirFoto.jpg?numProntuario=",$E36,"&amp;idImagem=2"),"FOTO 2")</f>
        <v>FOTO 2</v>
      </c>
      <c r="M36" s="199" t="str">
        <f>HYPERLINK(CONCATENATE("http://www.spr.depen.pr.gov.br/centralvagas/exibirFoto.jpg?numProntuario=",$E36,"&amp;idImagem=3"),"FOTO 3")</f>
        <v>FOTO 3</v>
      </c>
      <c r="N36" s="199" t="str">
        <f>HYPERLINK(CONCATENATE("http://www.spr.depen.pr.gov.br/centralvagas/exibirFoto.jpg?numProntuario=",$E36,"&amp;idImagem=4"),"FOTO 4")</f>
        <v>FOTO 4</v>
      </c>
      <c r="O36" s="199" t="str">
        <f>HYPERLINK(CONCATENATE("http://www.spr.depen.pr.gov.br/centralvagas/exibirFoto.jpg?numProntuario=",$E36,"&amp;idImagem=5"),"FOTO 5")</f>
        <v>FOTO 5</v>
      </c>
      <c r="P36" s="199" t="str">
        <f>HYPERLINK(CONCATENATE("http://www.spr.depen.pr.gov.br/centralvagas/exibirFoto.jpg?numProntuario=",$E36,"&amp;idImagem=6"),"FOTO 6")</f>
        <v>FOTO 6</v>
      </c>
    </row>
    <row r="37" spans="1:16" ht="14.1" customHeight="1" thickTop="1" thickBot="1">
      <c r="A37" s="116"/>
      <c r="B37" s="245"/>
      <c r="C37" s="126" t="s">
        <v>873</v>
      </c>
      <c r="D37" s="122" t="s">
        <v>3379</v>
      </c>
      <c r="E37" s="117">
        <v>143332</v>
      </c>
      <c r="F37" s="116"/>
      <c r="G37" s="119"/>
      <c r="H37" s="116"/>
      <c r="I37" s="119"/>
      <c r="J37" s="116"/>
      <c r="K37" s="199" t="str">
        <f>HYPERLINK(CONCATENATE("http://www.spr.depen.pr.gov.br/centralvagas/exibirFoto.jpg?numProntuario=",$E37,"&amp;idImagem=1"),"FOTO 1")</f>
        <v>FOTO 1</v>
      </c>
      <c r="L37" s="199" t="str">
        <f>HYPERLINK(CONCATENATE("http://www.spr.depen.pr.gov.br/centralvagas/exibirFoto.jpg?numProntuario=",$E37,"&amp;idImagem=2"),"FOTO 2")</f>
        <v>FOTO 2</v>
      </c>
      <c r="M37" s="199" t="str">
        <f>HYPERLINK(CONCATENATE("http://www.spr.depen.pr.gov.br/centralvagas/exibirFoto.jpg?numProntuario=",$E37,"&amp;idImagem=3"),"FOTO 3")</f>
        <v>FOTO 3</v>
      </c>
      <c r="N37" s="199" t="str">
        <f>HYPERLINK(CONCATENATE("http://www.spr.depen.pr.gov.br/centralvagas/exibirFoto.jpg?numProntuario=",$E37,"&amp;idImagem=4"),"FOTO 4")</f>
        <v>FOTO 4</v>
      </c>
      <c r="O37" s="199" t="str">
        <f>HYPERLINK(CONCATENATE("http://www.spr.depen.pr.gov.br/centralvagas/exibirFoto.jpg?numProntuario=",$E37,"&amp;idImagem=5"),"FOTO 5")</f>
        <v>FOTO 5</v>
      </c>
      <c r="P37" s="199" t="str">
        <f>HYPERLINK(CONCATENATE("http://www.spr.depen.pr.gov.br/centralvagas/exibirFoto.jpg?numProntuario=",$E37,"&amp;idImagem=6"),"FOTO 6")</f>
        <v>FOTO 6</v>
      </c>
    </row>
    <row r="38" spans="1:16" ht="14.1" customHeight="1" thickTop="1" thickBot="1">
      <c r="A38" s="370" t="s">
        <v>1524</v>
      </c>
      <c r="B38" s="254"/>
      <c r="C38" s="139" t="s">
        <v>873</v>
      </c>
      <c r="D38" s="252" t="s">
        <v>3650</v>
      </c>
      <c r="E38" s="567">
        <v>63029</v>
      </c>
      <c r="F38" s="116"/>
      <c r="G38" s="119"/>
      <c r="H38" s="116"/>
      <c r="I38" s="119"/>
      <c r="J38" s="116"/>
      <c r="K38" s="199"/>
      <c r="L38" s="199"/>
      <c r="M38" s="199"/>
      <c r="N38" s="199"/>
      <c r="O38" s="199"/>
      <c r="P38" s="199"/>
    </row>
    <row r="39" spans="1:16" ht="14.1" customHeight="1" thickTop="1" thickBot="1">
      <c r="A39" s="151"/>
      <c r="B39" s="228"/>
      <c r="C39" s="116" t="s">
        <v>873</v>
      </c>
      <c r="D39" s="122" t="s">
        <v>2646</v>
      </c>
      <c r="E39" s="117">
        <v>134440</v>
      </c>
      <c r="F39" s="116"/>
      <c r="G39" s="119"/>
      <c r="H39" s="116"/>
      <c r="I39" s="119"/>
      <c r="J39" s="116"/>
      <c r="K39" s="199" t="str">
        <f>HYPERLINK(CONCATENATE("http://www.spr.depen.pr.gov.br/centralvagas/exibirFoto.jpg?numProntuario=",$E39,"&amp;idImagem=1"),"FOTO 1")</f>
        <v>FOTO 1</v>
      </c>
      <c r="L39" s="199" t="str">
        <f>HYPERLINK(CONCATENATE("http://www.spr.depen.pr.gov.br/centralvagas/exibirFoto.jpg?numProntuario=",$E39,"&amp;idImagem=2"),"FOTO 2")</f>
        <v>FOTO 2</v>
      </c>
      <c r="M39" s="199" t="str">
        <f>HYPERLINK(CONCATENATE("http://www.spr.depen.pr.gov.br/centralvagas/exibirFoto.jpg?numProntuario=",$E39,"&amp;idImagem=3"),"FOTO 3")</f>
        <v>FOTO 3</v>
      </c>
      <c r="N39" s="199" t="str">
        <f>HYPERLINK(CONCATENATE("http://www.spr.depen.pr.gov.br/centralvagas/exibirFoto.jpg?numProntuario=",$E39,"&amp;idImagem=4"),"FOTO 4")</f>
        <v>FOTO 4</v>
      </c>
      <c r="O39" s="199" t="str">
        <f>HYPERLINK(CONCATENATE("http://www.spr.depen.pr.gov.br/centralvagas/exibirFoto.jpg?numProntuario=",$E39,"&amp;idImagem=5"),"FOTO 5")</f>
        <v>FOTO 5</v>
      </c>
      <c r="P39" s="199" t="str">
        <f>HYPERLINK(CONCATENATE("http://www.spr.depen.pr.gov.br/centralvagas/exibirFoto.jpg?numProntuario=",$E39,"&amp;idImagem=6"),"FOTO 6")</f>
        <v>FOTO 6</v>
      </c>
    </row>
    <row r="40" spans="1:16" ht="14.1" customHeight="1" thickTop="1" thickBot="1">
      <c r="A40" s="602"/>
      <c r="B40" s="419"/>
      <c r="C40" s="214" t="s">
        <v>676</v>
      </c>
      <c r="D40" s="128" t="s">
        <v>3446</v>
      </c>
      <c r="E40" s="144">
        <v>161672</v>
      </c>
      <c r="F40" s="116"/>
      <c r="G40" s="119"/>
      <c r="H40" s="116"/>
      <c r="I40" s="119"/>
      <c r="J40" s="116"/>
      <c r="K40" s="199" t="str">
        <f>HYPERLINK(CONCATENATE("http://www.spr.depen.pr.gov.br/centralvagas/exibirFoto.jpg?numProntuario=",$E40,"&amp;idImagem=1"),"FOTO 1")</f>
        <v>FOTO 1</v>
      </c>
      <c r="L40" s="199" t="str">
        <f>HYPERLINK(CONCATENATE("http://www.spr.depen.pr.gov.br/centralvagas/exibirFoto.jpg?numProntuario=",$E40,"&amp;idImagem=2"),"FOTO 2")</f>
        <v>FOTO 2</v>
      </c>
      <c r="M40" s="199" t="str">
        <f>HYPERLINK(CONCATENATE("http://www.spr.depen.pr.gov.br/centralvagas/exibirFoto.jpg?numProntuario=",$E40,"&amp;idImagem=3"),"FOTO 3")</f>
        <v>FOTO 3</v>
      </c>
      <c r="N40" s="199" t="str">
        <f>HYPERLINK(CONCATENATE("http://www.spr.depen.pr.gov.br/centralvagas/exibirFoto.jpg?numProntuario=",$E40,"&amp;idImagem=4"),"FOTO 4")</f>
        <v>FOTO 4</v>
      </c>
      <c r="O40" s="199" t="str">
        <f>HYPERLINK(CONCATENATE("http://www.spr.depen.pr.gov.br/centralvagas/exibirFoto.jpg?numProntuario=",$E40,"&amp;idImagem=5"),"FOTO 5")</f>
        <v>FOTO 5</v>
      </c>
      <c r="P40" s="199" t="str">
        <f>HYPERLINK(CONCATENATE("http://www.spr.depen.pr.gov.br/centralvagas/exibirFoto.jpg?numProntuario=",$E40,"&amp;idImagem=6"),"FOTO 6")</f>
        <v>FOTO 6</v>
      </c>
    </row>
    <row r="41" spans="1:16" ht="14.1" customHeight="1" thickTop="1" thickBot="1">
      <c r="A41" s="602"/>
      <c r="B41" s="419"/>
      <c r="C41" s="118" t="s">
        <v>676</v>
      </c>
      <c r="D41" s="122" t="s">
        <v>1643</v>
      </c>
      <c r="E41" s="144">
        <v>51017</v>
      </c>
      <c r="F41" s="116"/>
      <c r="G41" s="119"/>
      <c r="H41" s="116"/>
      <c r="I41" s="119"/>
      <c r="J41" s="132"/>
      <c r="K41" s="199" t="str">
        <f>HYPERLINK(CONCATENATE("http://www.spr.depen.pr.gov.br/centralvagas/exibirFoto.jpg?numProntuario=",$E41,"&amp;idImagem=1"),"FOTO 1")</f>
        <v>FOTO 1</v>
      </c>
      <c r="L41" s="199" t="str">
        <f>HYPERLINK(CONCATENATE("http://www.spr.depen.pr.gov.br/centralvagas/exibirFoto.jpg?numProntuario=",$E41,"&amp;idImagem=2"),"FOTO 2")</f>
        <v>FOTO 2</v>
      </c>
      <c r="M41" s="199" t="str">
        <f>HYPERLINK(CONCATENATE("http://www.spr.depen.pr.gov.br/centralvagas/exibirFoto.jpg?numProntuario=",$E41,"&amp;idImagem=3"),"FOTO 3")</f>
        <v>FOTO 3</v>
      </c>
      <c r="N41" s="199" t="str">
        <f>HYPERLINK(CONCATENATE("http://www.spr.depen.pr.gov.br/centralvagas/exibirFoto.jpg?numProntuario=",$E41,"&amp;idImagem=4"),"FOTO 4")</f>
        <v>FOTO 4</v>
      </c>
      <c r="O41" s="199" t="str">
        <f>HYPERLINK(CONCATENATE("http://www.spr.depen.pr.gov.br/centralvagas/exibirFoto.jpg?numProntuario=",$E41,"&amp;idImagem=5"),"FOTO 5")</f>
        <v>FOTO 5</v>
      </c>
      <c r="P41" s="199" t="str">
        <f>HYPERLINK(CONCATENATE("http://www.spr.depen.pr.gov.br/centralvagas/exibirFoto.jpg?numProntuario=",$E41,"&amp;idImagem=6"),"FOTO 6")</f>
        <v>FOTO 6</v>
      </c>
    </row>
    <row r="42" spans="1:16" ht="14.1" customHeight="1" thickTop="1" thickBot="1">
      <c r="A42" s="602"/>
      <c r="B42" s="419"/>
      <c r="C42" s="214" t="s">
        <v>676</v>
      </c>
      <c r="D42" s="128" t="s">
        <v>3600</v>
      </c>
      <c r="E42" s="144">
        <v>157390</v>
      </c>
      <c r="F42" s="116"/>
      <c r="G42" s="119"/>
      <c r="H42" s="116"/>
      <c r="I42" s="119"/>
      <c r="J42" s="116"/>
      <c r="K42" s="199" t="str">
        <f>HYPERLINK(CONCATENATE("http://www.spr.depen.pr.gov.br/centralvagas/exibirFoto.jpg?numProntuario=",$E42,"&amp;idImagem=1"),"FOTO 1")</f>
        <v>FOTO 1</v>
      </c>
      <c r="L42" s="199" t="str">
        <f>HYPERLINK(CONCATENATE("http://www.spr.depen.pr.gov.br/centralvagas/exibirFoto.jpg?numProntuario=",$E42,"&amp;idImagem=2"),"FOTO 2")</f>
        <v>FOTO 2</v>
      </c>
      <c r="M42" s="199" t="str">
        <f>HYPERLINK(CONCATENATE("http://www.spr.depen.pr.gov.br/centralvagas/exibirFoto.jpg?numProntuario=",$E42,"&amp;idImagem=3"),"FOTO 3")</f>
        <v>FOTO 3</v>
      </c>
      <c r="N42" s="199" t="str">
        <f>HYPERLINK(CONCATENATE("http://www.spr.depen.pr.gov.br/centralvagas/exibirFoto.jpg?numProntuario=",$E42,"&amp;idImagem=4"),"FOTO 4")</f>
        <v>FOTO 4</v>
      </c>
      <c r="O42" s="199" t="str">
        <f>HYPERLINK(CONCATENATE("http://www.spr.depen.pr.gov.br/centralvagas/exibirFoto.jpg?numProntuario=",$E42,"&amp;idImagem=5"),"FOTO 5")</f>
        <v>FOTO 5</v>
      </c>
      <c r="P42" s="199" t="str">
        <f>HYPERLINK(CONCATENATE("http://www.spr.depen.pr.gov.br/centralvagas/exibirFoto.jpg?numProntuario=",$E42,"&amp;idImagem=6"),"FOTO 6")</f>
        <v>FOTO 6</v>
      </c>
    </row>
    <row r="43" spans="1:16" ht="14.1" customHeight="1" thickTop="1" thickBot="1">
      <c r="A43" s="602"/>
      <c r="B43" s="254"/>
      <c r="C43" s="118" t="s">
        <v>676</v>
      </c>
      <c r="D43" s="122" t="s">
        <v>2109</v>
      </c>
      <c r="E43" s="144">
        <v>27184</v>
      </c>
      <c r="F43" s="116"/>
      <c r="G43" s="119"/>
      <c r="H43" s="116"/>
      <c r="I43" s="119"/>
      <c r="J43" s="132"/>
      <c r="K43" s="199" t="str">
        <f>HYPERLINK(CONCATENATE("http://www.spr.depen.pr.gov.br/centralvagas/exibirFoto.jpg?numProntuario=",$E43,"&amp;idImagem=1"),"FOTO 1")</f>
        <v>FOTO 1</v>
      </c>
      <c r="L43" s="199" t="str">
        <f>HYPERLINK(CONCATENATE("http://www.spr.depen.pr.gov.br/centralvagas/exibirFoto.jpg?numProntuario=",$E43,"&amp;idImagem=2"),"FOTO 2")</f>
        <v>FOTO 2</v>
      </c>
      <c r="M43" s="199" t="str">
        <f>HYPERLINK(CONCATENATE("http://www.spr.depen.pr.gov.br/centralvagas/exibirFoto.jpg?numProntuario=",$E43,"&amp;idImagem=3"),"FOTO 3")</f>
        <v>FOTO 3</v>
      </c>
      <c r="N43" s="199" t="str">
        <f>HYPERLINK(CONCATENATE("http://www.spr.depen.pr.gov.br/centralvagas/exibirFoto.jpg?numProntuario=",$E43,"&amp;idImagem=4"),"FOTO 4")</f>
        <v>FOTO 4</v>
      </c>
      <c r="O43" s="199" t="str">
        <f>HYPERLINK(CONCATENATE("http://www.spr.depen.pr.gov.br/centralvagas/exibirFoto.jpg?numProntuario=",$E43,"&amp;idImagem=5"),"FOTO 5")</f>
        <v>FOTO 5</v>
      </c>
      <c r="P43" s="199" t="str">
        <f>HYPERLINK(CONCATENATE("http://www.spr.depen.pr.gov.br/centralvagas/exibirFoto.jpg?numProntuario=",$E43,"&amp;idImagem=6"),"FOTO 6")</f>
        <v>FOTO 6</v>
      </c>
    </row>
    <row r="44" spans="1:16" ht="14.1" customHeight="1" thickTop="1" thickBot="1">
      <c r="A44" s="132"/>
      <c r="B44" s="320"/>
      <c r="C44" s="116" t="s">
        <v>1080</v>
      </c>
      <c r="D44" s="131" t="s">
        <v>3524</v>
      </c>
      <c r="E44" s="117"/>
      <c r="F44" s="116"/>
      <c r="G44" s="119"/>
      <c r="H44" s="116"/>
      <c r="I44" s="119"/>
      <c r="J44" s="116"/>
      <c r="K44" s="199" t="str">
        <f>HYPERLINK(CONCATENATE("http://www.spr.depen.pr.gov.br/centralvagas/exibirFoto.jpg?numProntuario=",$E44,"&amp;idImagem=1"),"FOTO 1")</f>
        <v>FOTO 1</v>
      </c>
      <c r="L44" s="199" t="str">
        <f>HYPERLINK(CONCATENATE("http://www.spr.depen.pr.gov.br/centralvagas/exibirFoto.jpg?numProntuario=",$E44,"&amp;idImagem=2"),"FOTO 2")</f>
        <v>FOTO 2</v>
      </c>
      <c r="M44" s="199" t="str">
        <f>HYPERLINK(CONCATENATE("http://www.spr.depen.pr.gov.br/centralvagas/exibirFoto.jpg?numProntuario=",$E44,"&amp;idImagem=3"),"FOTO 3")</f>
        <v>FOTO 3</v>
      </c>
      <c r="N44" s="199" t="str">
        <f>HYPERLINK(CONCATENATE("http://www.spr.depen.pr.gov.br/centralvagas/exibirFoto.jpg?numProntuario=",$E44,"&amp;idImagem=4"),"FOTO 4")</f>
        <v>FOTO 4</v>
      </c>
      <c r="O44" s="199" t="str">
        <f>HYPERLINK(CONCATENATE("http://www.spr.depen.pr.gov.br/centralvagas/exibirFoto.jpg?numProntuario=",$E44,"&amp;idImagem=5"),"FOTO 5")</f>
        <v>FOTO 5</v>
      </c>
      <c r="P44" s="199" t="str">
        <f>HYPERLINK(CONCATENATE("http://www.spr.depen.pr.gov.br/centralvagas/exibirFoto.jpg?numProntuario=",$E44,"&amp;idImagem=6"),"FOTO 6")</f>
        <v>FOTO 6</v>
      </c>
    </row>
    <row r="45" spans="1:16" ht="14.1" customHeight="1" thickTop="1" thickBot="1">
      <c r="A45" s="132"/>
      <c r="B45" s="320"/>
      <c r="C45" s="116" t="s">
        <v>1080</v>
      </c>
      <c r="D45" s="131" t="s">
        <v>3522</v>
      </c>
      <c r="E45" s="117"/>
      <c r="F45" s="116"/>
      <c r="G45" s="119"/>
      <c r="H45" s="116"/>
      <c r="I45" s="119"/>
      <c r="J45" s="116"/>
      <c r="K45" s="199" t="str">
        <f>HYPERLINK(CONCATENATE("http://www.spr.depen.pr.gov.br/centralvagas/exibirFoto.jpg?numProntuario=",$E45,"&amp;idImagem=1"),"FOTO 1")</f>
        <v>FOTO 1</v>
      </c>
      <c r="L45" s="199" t="str">
        <f>HYPERLINK(CONCATENATE("http://www.spr.depen.pr.gov.br/centralvagas/exibirFoto.jpg?numProntuario=",$E45,"&amp;idImagem=2"),"FOTO 2")</f>
        <v>FOTO 2</v>
      </c>
      <c r="M45" s="199" t="str">
        <f>HYPERLINK(CONCATENATE("http://www.spr.depen.pr.gov.br/centralvagas/exibirFoto.jpg?numProntuario=",$E45,"&amp;idImagem=3"),"FOTO 3")</f>
        <v>FOTO 3</v>
      </c>
      <c r="N45" s="199" t="str">
        <f>HYPERLINK(CONCATENATE("http://www.spr.depen.pr.gov.br/centralvagas/exibirFoto.jpg?numProntuario=",$E45,"&amp;idImagem=4"),"FOTO 4")</f>
        <v>FOTO 4</v>
      </c>
      <c r="O45" s="199" t="str">
        <f>HYPERLINK(CONCATENATE("http://www.spr.depen.pr.gov.br/centralvagas/exibirFoto.jpg?numProntuario=",$E45,"&amp;idImagem=5"),"FOTO 5")</f>
        <v>FOTO 5</v>
      </c>
      <c r="P45" s="199" t="str">
        <f>HYPERLINK(CONCATENATE("http://www.spr.depen.pr.gov.br/centralvagas/exibirFoto.jpg?numProntuario=",$E45,"&amp;idImagem=6"),"FOTO 6")</f>
        <v>FOTO 6</v>
      </c>
    </row>
    <row r="46" spans="1:16" ht="14.1" customHeight="1" thickTop="1" thickBot="1">
      <c r="A46" s="145"/>
      <c r="B46" s="147"/>
      <c r="C46" s="116" t="s">
        <v>1080</v>
      </c>
      <c r="D46" s="371" t="s">
        <v>3515</v>
      </c>
      <c r="E46" s="117">
        <v>101900</v>
      </c>
      <c r="F46" s="116"/>
      <c r="G46" s="119"/>
      <c r="H46" s="116"/>
      <c r="I46" s="119"/>
      <c r="J46" s="116"/>
      <c r="K46" s="199" t="str">
        <f>HYPERLINK(CONCATENATE("http://www.spr.depen.pr.gov.br/centralvagas/exibirFoto.jpg?numProntuario=",$E46,"&amp;idImagem=1"),"FOTO 1")</f>
        <v>FOTO 1</v>
      </c>
      <c r="L46" s="199" t="str">
        <f>HYPERLINK(CONCATENATE("http://www.spr.depen.pr.gov.br/centralvagas/exibirFoto.jpg?numProntuario=",$E46,"&amp;idImagem=2"),"FOTO 2")</f>
        <v>FOTO 2</v>
      </c>
      <c r="M46" s="199" t="str">
        <f>HYPERLINK(CONCATENATE("http://www.spr.depen.pr.gov.br/centralvagas/exibirFoto.jpg?numProntuario=",$E46,"&amp;idImagem=3"),"FOTO 3")</f>
        <v>FOTO 3</v>
      </c>
      <c r="N46" s="199" t="str">
        <f>HYPERLINK(CONCATENATE("http://www.spr.depen.pr.gov.br/centralvagas/exibirFoto.jpg?numProntuario=",$E46,"&amp;idImagem=4"),"FOTO 4")</f>
        <v>FOTO 4</v>
      </c>
      <c r="O46" s="199" t="str">
        <f>HYPERLINK(CONCATENATE("http://www.spr.depen.pr.gov.br/centralvagas/exibirFoto.jpg?numProntuario=",$E46,"&amp;idImagem=5"),"FOTO 5")</f>
        <v>FOTO 5</v>
      </c>
      <c r="P46" s="199" t="str">
        <f>HYPERLINK(CONCATENATE("http://www.spr.depen.pr.gov.br/centralvagas/exibirFoto.jpg?numProntuario=",$E46,"&amp;idImagem=6"),"FOTO 6")</f>
        <v>FOTO 6</v>
      </c>
    </row>
    <row r="47" spans="1:16" ht="14.1" customHeight="1" thickTop="1" thickBot="1">
      <c r="A47" s="145"/>
      <c r="B47" s="147"/>
      <c r="C47" s="116" t="s">
        <v>1080</v>
      </c>
      <c r="D47" s="371" t="s">
        <v>3516</v>
      </c>
      <c r="E47" s="116"/>
      <c r="F47" s="145"/>
      <c r="G47" s="162"/>
      <c r="H47" s="116"/>
      <c r="I47" s="162"/>
      <c r="J47" s="116"/>
      <c r="K47" s="199" t="str">
        <f>HYPERLINK(CONCATENATE("http://www.spr.depen.pr.gov.br/centralvagas/exibirFoto.jpg?numProntuario=",$E47,"&amp;idImagem=1"),"FOTO 1")</f>
        <v>FOTO 1</v>
      </c>
      <c r="L47" s="199" t="str">
        <f>HYPERLINK(CONCATENATE("http://www.spr.depen.pr.gov.br/centralvagas/exibirFoto.jpg?numProntuario=",$E47,"&amp;idImagem=2"),"FOTO 2")</f>
        <v>FOTO 2</v>
      </c>
      <c r="M47" s="199" t="str">
        <f>HYPERLINK(CONCATENATE("http://www.spr.depen.pr.gov.br/centralvagas/exibirFoto.jpg?numProntuario=",$E47,"&amp;idImagem=3"),"FOTO 3")</f>
        <v>FOTO 3</v>
      </c>
      <c r="N47" s="199" t="str">
        <f>HYPERLINK(CONCATENATE("http://www.spr.depen.pr.gov.br/centralvagas/exibirFoto.jpg?numProntuario=",$E47,"&amp;idImagem=4"),"FOTO 4")</f>
        <v>FOTO 4</v>
      </c>
      <c r="O47" s="199" t="str">
        <f>HYPERLINK(CONCATENATE("http://www.spr.depen.pr.gov.br/centralvagas/exibirFoto.jpg?numProntuario=",$E47,"&amp;idImagem=5"),"FOTO 5")</f>
        <v>FOTO 5</v>
      </c>
      <c r="P47" s="199" t="str">
        <f>HYPERLINK(CONCATENATE("http://www.spr.depen.pr.gov.br/centralvagas/exibirFoto.jpg?numProntuario=",$E47,"&amp;idImagem=6"),"FOTO 6")</f>
        <v>FOTO 6</v>
      </c>
    </row>
    <row r="48" spans="1:16" ht="14.1" customHeight="1" thickTop="1" thickBot="1">
      <c r="A48" s="329"/>
      <c r="B48" s="245"/>
      <c r="C48" s="116" t="s">
        <v>2721</v>
      </c>
      <c r="D48" s="131" t="s">
        <v>3561</v>
      </c>
      <c r="E48" s="325">
        <v>497521</v>
      </c>
      <c r="F48" s="145"/>
      <c r="G48" s="162"/>
      <c r="H48" s="116"/>
      <c r="I48" s="162"/>
      <c r="J48" s="116"/>
      <c r="K48" s="199" t="str">
        <f>HYPERLINK(CONCATENATE("http://www.spr.depen.pr.gov.br/centralvagas/exibirFoto.jpg?numProntuario=",$E48,"&amp;idImagem=1"),"FOTO 1")</f>
        <v>FOTO 1</v>
      </c>
      <c r="L48" s="199" t="str">
        <f>HYPERLINK(CONCATENATE("http://www.spr.depen.pr.gov.br/centralvagas/exibirFoto.jpg?numProntuario=",$E48,"&amp;idImagem=2"),"FOTO 2")</f>
        <v>FOTO 2</v>
      </c>
      <c r="M48" s="199" t="str">
        <f>HYPERLINK(CONCATENATE("http://www.spr.depen.pr.gov.br/centralvagas/exibirFoto.jpg?numProntuario=",$E48,"&amp;idImagem=3"),"FOTO 3")</f>
        <v>FOTO 3</v>
      </c>
      <c r="N48" s="199" t="str">
        <f>HYPERLINK(CONCATENATE("http://www.spr.depen.pr.gov.br/centralvagas/exibirFoto.jpg?numProntuario=",$E48,"&amp;idImagem=4"),"FOTO 4")</f>
        <v>FOTO 4</v>
      </c>
      <c r="O48" s="199" t="str">
        <f>HYPERLINK(CONCATENATE("http://www.spr.depen.pr.gov.br/centralvagas/exibirFoto.jpg?numProntuario=",$E48,"&amp;idImagem=5"),"FOTO 5")</f>
        <v>FOTO 5</v>
      </c>
      <c r="P48" s="199" t="str">
        <f>HYPERLINK(CONCATENATE("http://www.spr.depen.pr.gov.br/centralvagas/exibirFoto.jpg?numProntuario=",$E48,"&amp;idImagem=6"),"FOTO 6")</f>
        <v>FOTO 6</v>
      </c>
    </row>
    <row r="49" spans="1:16" ht="14.1" customHeight="1" thickTop="1" thickBot="1">
      <c r="A49" s="329"/>
      <c r="B49" s="245"/>
      <c r="C49" s="116" t="s">
        <v>2721</v>
      </c>
      <c r="D49" s="131" t="s">
        <v>3562</v>
      </c>
      <c r="E49" s="325">
        <v>102061</v>
      </c>
      <c r="F49" s="145"/>
      <c r="G49" s="162"/>
      <c r="H49" s="116"/>
      <c r="I49" s="162"/>
      <c r="J49" s="116"/>
      <c r="K49" s="199" t="str">
        <f>HYPERLINK(CONCATENATE("http://www.spr.depen.pr.gov.br/centralvagas/exibirFoto.jpg?numProntuario=",$E49,"&amp;idImagem=1"),"FOTO 1")</f>
        <v>FOTO 1</v>
      </c>
      <c r="L49" s="199" t="str">
        <f>HYPERLINK(CONCATENATE("http://www.spr.depen.pr.gov.br/centralvagas/exibirFoto.jpg?numProntuario=",$E49,"&amp;idImagem=2"),"FOTO 2")</f>
        <v>FOTO 2</v>
      </c>
      <c r="M49" s="199" t="str">
        <f>HYPERLINK(CONCATENATE("http://www.spr.depen.pr.gov.br/centralvagas/exibirFoto.jpg?numProntuario=",$E49,"&amp;idImagem=3"),"FOTO 3")</f>
        <v>FOTO 3</v>
      </c>
      <c r="N49" s="199" t="str">
        <f>HYPERLINK(CONCATENATE("http://www.spr.depen.pr.gov.br/centralvagas/exibirFoto.jpg?numProntuario=",$E49,"&amp;idImagem=4"),"FOTO 4")</f>
        <v>FOTO 4</v>
      </c>
      <c r="O49" s="199" t="str">
        <f>HYPERLINK(CONCATENATE("http://www.spr.depen.pr.gov.br/centralvagas/exibirFoto.jpg?numProntuario=",$E49,"&amp;idImagem=5"),"FOTO 5")</f>
        <v>FOTO 5</v>
      </c>
      <c r="P49" s="199" t="str">
        <f>HYPERLINK(CONCATENATE("http://www.spr.depen.pr.gov.br/centralvagas/exibirFoto.jpg?numProntuario=",$E49,"&amp;idImagem=6"),"FOTO 6")</f>
        <v>FOTO 6</v>
      </c>
    </row>
    <row r="50" spans="1:16" ht="14.1" customHeight="1" thickTop="1" thickBot="1">
      <c r="A50" s="329"/>
      <c r="B50" s="245"/>
      <c r="C50" s="116" t="s">
        <v>2721</v>
      </c>
      <c r="D50" s="131" t="s">
        <v>2502</v>
      </c>
      <c r="E50" s="117">
        <v>122855</v>
      </c>
      <c r="F50" s="116"/>
      <c r="G50" s="119"/>
      <c r="H50" s="116"/>
      <c r="I50" s="119"/>
      <c r="J50" s="116"/>
      <c r="K50" s="199" t="str">
        <f>HYPERLINK(CONCATENATE("http://www.spr.depen.pr.gov.br/centralvagas/exibirFoto.jpg?numProntuario=",$E50,"&amp;idImagem=1"),"FOTO 1")</f>
        <v>FOTO 1</v>
      </c>
      <c r="L50" s="199" t="str">
        <f>HYPERLINK(CONCATENATE("http://www.spr.depen.pr.gov.br/centralvagas/exibirFoto.jpg?numProntuario=",$E50,"&amp;idImagem=2"),"FOTO 2")</f>
        <v>FOTO 2</v>
      </c>
      <c r="M50" s="199" t="str">
        <f>HYPERLINK(CONCATENATE("http://www.spr.depen.pr.gov.br/centralvagas/exibirFoto.jpg?numProntuario=",$E50,"&amp;idImagem=3"),"FOTO 3")</f>
        <v>FOTO 3</v>
      </c>
      <c r="N50" s="199" t="str">
        <f>HYPERLINK(CONCATENATE("http://www.spr.depen.pr.gov.br/centralvagas/exibirFoto.jpg?numProntuario=",$E50,"&amp;idImagem=4"),"FOTO 4")</f>
        <v>FOTO 4</v>
      </c>
      <c r="O50" s="199" t="str">
        <f>HYPERLINK(CONCATENATE("http://www.spr.depen.pr.gov.br/centralvagas/exibirFoto.jpg?numProntuario=",$E50,"&amp;idImagem=5"),"FOTO 5")</f>
        <v>FOTO 5</v>
      </c>
      <c r="P50" s="199" t="str">
        <f>HYPERLINK(CONCATENATE("http://www.spr.depen.pr.gov.br/centralvagas/exibirFoto.jpg?numProntuario=",$E50,"&amp;idImagem=6"),"FOTO 6")</f>
        <v>FOTO 6</v>
      </c>
    </row>
    <row r="51" spans="1:16" ht="14.1" customHeight="1" thickTop="1" thickBot="1">
      <c r="A51" s="329"/>
      <c r="B51" s="245"/>
      <c r="C51" s="116" t="s">
        <v>2721</v>
      </c>
      <c r="D51" s="131" t="s">
        <v>3564</v>
      </c>
      <c r="E51" s="117">
        <v>159352</v>
      </c>
      <c r="F51" s="116"/>
      <c r="G51" s="119"/>
      <c r="H51" s="116"/>
      <c r="I51" s="119"/>
      <c r="J51" s="116"/>
      <c r="K51" s="199" t="str">
        <f>HYPERLINK(CONCATENATE("http://www.spr.depen.pr.gov.br/centralvagas/exibirFoto.jpg?numProntuario=",$E51,"&amp;idImagem=1"),"FOTO 1")</f>
        <v>FOTO 1</v>
      </c>
      <c r="L51" s="199" t="str">
        <f>HYPERLINK(CONCATENATE("http://www.spr.depen.pr.gov.br/centralvagas/exibirFoto.jpg?numProntuario=",$E51,"&amp;idImagem=2"),"FOTO 2")</f>
        <v>FOTO 2</v>
      </c>
      <c r="M51" s="199" t="str">
        <f>HYPERLINK(CONCATENATE("http://www.spr.depen.pr.gov.br/centralvagas/exibirFoto.jpg?numProntuario=",$E51,"&amp;idImagem=3"),"FOTO 3")</f>
        <v>FOTO 3</v>
      </c>
      <c r="N51" s="199" t="str">
        <f>HYPERLINK(CONCATENATE("http://www.spr.depen.pr.gov.br/centralvagas/exibirFoto.jpg?numProntuario=",$E51,"&amp;idImagem=4"),"FOTO 4")</f>
        <v>FOTO 4</v>
      </c>
      <c r="O51" s="199" t="str">
        <f>HYPERLINK(CONCATENATE("http://www.spr.depen.pr.gov.br/centralvagas/exibirFoto.jpg?numProntuario=",$E51,"&amp;idImagem=5"),"FOTO 5")</f>
        <v>FOTO 5</v>
      </c>
      <c r="P51" s="199" t="str">
        <f>HYPERLINK(CONCATENATE("http://www.spr.depen.pr.gov.br/centralvagas/exibirFoto.jpg?numProntuario=",$E51,"&amp;idImagem=6"),"FOTO 6")</f>
        <v>FOTO 6</v>
      </c>
    </row>
    <row r="52" spans="1:16" ht="14.1" customHeight="1" thickTop="1" thickBot="1">
      <c r="A52" s="207"/>
      <c r="B52" s="319"/>
      <c r="C52" s="116" t="s">
        <v>2752</v>
      </c>
      <c r="D52" s="122" t="s">
        <v>2843</v>
      </c>
      <c r="E52" s="117">
        <v>121105</v>
      </c>
      <c r="F52" s="116"/>
      <c r="G52" s="119"/>
      <c r="H52" s="116"/>
      <c r="I52" s="119"/>
      <c r="J52" s="116"/>
      <c r="K52" s="199" t="str">
        <f>HYPERLINK(CONCATENATE("http://www.spr.depen.pr.gov.br/centralvagas/exibirFoto.jpg?numProntuario=",$E52,"&amp;idImagem=1"),"FOTO 1")</f>
        <v>FOTO 1</v>
      </c>
      <c r="L52" s="199" t="str">
        <f>HYPERLINK(CONCATENATE("http://www.spr.depen.pr.gov.br/centralvagas/exibirFoto.jpg?numProntuario=",$E52,"&amp;idImagem=2"),"FOTO 2")</f>
        <v>FOTO 2</v>
      </c>
      <c r="M52" s="199" t="str">
        <f>HYPERLINK(CONCATENATE("http://www.spr.depen.pr.gov.br/centralvagas/exibirFoto.jpg?numProntuario=",$E52,"&amp;idImagem=3"),"FOTO 3")</f>
        <v>FOTO 3</v>
      </c>
      <c r="N52" s="199" t="str">
        <f>HYPERLINK(CONCATENATE("http://www.spr.depen.pr.gov.br/centralvagas/exibirFoto.jpg?numProntuario=",$E52,"&amp;idImagem=4"),"FOTO 4")</f>
        <v>FOTO 4</v>
      </c>
      <c r="O52" s="199" t="str">
        <f>HYPERLINK(CONCATENATE("http://www.spr.depen.pr.gov.br/centralvagas/exibirFoto.jpg?numProntuario=",$E52,"&amp;idImagem=5"),"FOTO 5")</f>
        <v>FOTO 5</v>
      </c>
      <c r="P52" s="199" t="str">
        <f>HYPERLINK(CONCATENATE("http://www.spr.depen.pr.gov.br/centralvagas/exibirFoto.jpg?numProntuario=",$E52,"&amp;idImagem=6"),"FOTO 6")</f>
        <v>FOTO 6</v>
      </c>
    </row>
    <row r="53" spans="1:16" ht="14.1" customHeight="1" thickTop="1" thickBot="1">
      <c r="A53" s="368"/>
      <c r="B53" s="369"/>
      <c r="C53" s="116" t="s">
        <v>2752</v>
      </c>
      <c r="D53" s="131" t="s">
        <v>3539</v>
      </c>
      <c r="E53" s="117">
        <v>663126</v>
      </c>
      <c r="F53" s="145"/>
      <c r="G53" s="119"/>
      <c r="H53" s="116"/>
      <c r="I53" s="162"/>
      <c r="J53" s="116"/>
      <c r="K53" s="199" t="str">
        <f>HYPERLINK(CONCATENATE("http://www.spr.depen.pr.gov.br/centralvagas/exibirFoto.jpg?numProntuario=",$E53,"&amp;idImagem=1"),"FOTO 1")</f>
        <v>FOTO 1</v>
      </c>
      <c r="L53" s="199" t="str">
        <f>HYPERLINK(CONCATENATE("http://www.spr.depen.pr.gov.br/centralvagas/exibirFoto.jpg?numProntuario=",$E53,"&amp;idImagem=2"),"FOTO 2")</f>
        <v>FOTO 2</v>
      </c>
      <c r="M53" s="199" t="str">
        <f>HYPERLINK(CONCATENATE("http://www.spr.depen.pr.gov.br/centralvagas/exibirFoto.jpg?numProntuario=",$E53,"&amp;idImagem=3"),"FOTO 3")</f>
        <v>FOTO 3</v>
      </c>
      <c r="N53" s="199" t="str">
        <f>HYPERLINK(CONCATENATE("http://www.spr.depen.pr.gov.br/centralvagas/exibirFoto.jpg?numProntuario=",$E53,"&amp;idImagem=4"),"FOTO 4")</f>
        <v>FOTO 4</v>
      </c>
      <c r="O53" s="199" t="str">
        <f>HYPERLINK(CONCATENATE("http://www.spr.depen.pr.gov.br/centralvagas/exibirFoto.jpg?numProntuario=",$E53,"&amp;idImagem=5"),"FOTO 5")</f>
        <v>FOTO 5</v>
      </c>
      <c r="P53" s="199" t="str">
        <f>HYPERLINK(CONCATENATE("http://www.spr.depen.pr.gov.br/centralvagas/exibirFoto.jpg?numProntuario=",$E53,"&amp;idImagem=6"),"FOTO 6")</f>
        <v>FOTO 6</v>
      </c>
    </row>
    <row r="54" spans="1:16" ht="14.1" customHeight="1" thickTop="1" thickBot="1">
      <c r="A54" s="368"/>
      <c r="B54" s="369"/>
      <c r="C54" s="116" t="s">
        <v>2752</v>
      </c>
      <c r="D54" s="131" t="s">
        <v>3541</v>
      </c>
      <c r="E54" s="117">
        <v>465043</v>
      </c>
      <c r="F54" s="145"/>
      <c r="G54" s="119"/>
      <c r="H54" s="116"/>
      <c r="I54" s="162"/>
      <c r="J54" s="116"/>
      <c r="K54" s="199" t="str">
        <f>HYPERLINK(CONCATENATE("http://www.spr.depen.pr.gov.br/centralvagas/exibirFoto.jpg?numProntuario=",$E54,"&amp;idImagem=1"),"FOTO 1")</f>
        <v>FOTO 1</v>
      </c>
      <c r="L54" s="199" t="str">
        <f>HYPERLINK(CONCATENATE("http://www.spr.depen.pr.gov.br/centralvagas/exibirFoto.jpg?numProntuario=",$E54,"&amp;idImagem=2"),"FOTO 2")</f>
        <v>FOTO 2</v>
      </c>
      <c r="M54" s="199" t="str">
        <f>HYPERLINK(CONCATENATE("http://www.spr.depen.pr.gov.br/centralvagas/exibirFoto.jpg?numProntuario=",$E54,"&amp;idImagem=3"),"FOTO 3")</f>
        <v>FOTO 3</v>
      </c>
      <c r="N54" s="199" t="str">
        <f>HYPERLINK(CONCATENATE("http://www.spr.depen.pr.gov.br/centralvagas/exibirFoto.jpg?numProntuario=",$E54,"&amp;idImagem=4"),"FOTO 4")</f>
        <v>FOTO 4</v>
      </c>
      <c r="O54" s="199" t="str">
        <f>HYPERLINK(CONCATENATE("http://www.spr.depen.pr.gov.br/centralvagas/exibirFoto.jpg?numProntuario=",$E54,"&amp;idImagem=5"),"FOTO 5")</f>
        <v>FOTO 5</v>
      </c>
      <c r="P54" s="199" t="str">
        <f>HYPERLINK(CONCATENATE("http://www.spr.depen.pr.gov.br/centralvagas/exibirFoto.jpg?numProntuario=",$E54,"&amp;idImagem=6"),"FOTO 6")</f>
        <v>FOTO 6</v>
      </c>
    </row>
    <row r="55" spans="1:16" ht="14.1" customHeight="1" thickTop="1" thickBot="1">
      <c r="A55" s="368"/>
      <c r="B55" s="369"/>
      <c r="C55" s="116" t="s">
        <v>2752</v>
      </c>
      <c r="D55" s="131" t="s">
        <v>3540</v>
      </c>
      <c r="E55" s="117">
        <v>495629</v>
      </c>
      <c r="F55" s="145"/>
      <c r="G55" s="119"/>
      <c r="H55" s="116"/>
      <c r="I55" s="162"/>
      <c r="J55" s="116"/>
      <c r="K55" s="199" t="str">
        <f>HYPERLINK(CONCATENATE("http://www.spr.depen.pr.gov.br/centralvagas/exibirFoto.jpg?numProntuario=",$E55,"&amp;idImagem=1"),"FOTO 1")</f>
        <v>FOTO 1</v>
      </c>
      <c r="L55" s="199" t="str">
        <f>HYPERLINK(CONCATENATE("http://www.spr.depen.pr.gov.br/centralvagas/exibirFoto.jpg?numProntuario=",$E55,"&amp;idImagem=2"),"FOTO 2")</f>
        <v>FOTO 2</v>
      </c>
      <c r="M55" s="199" t="str">
        <f>HYPERLINK(CONCATENATE("http://www.spr.depen.pr.gov.br/centralvagas/exibirFoto.jpg?numProntuario=",$E55,"&amp;idImagem=3"),"FOTO 3")</f>
        <v>FOTO 3</v>
      </c>
      <c r="N55" s="199" t="str">
        <f>HYPERLINK(CONCATENATE("http://www.spr.depen.pr.gov.br/centralvagas/exibirFoto.jpg?numProntuario=",$E55,"&amp;idImagem=4"),"FOTO 4")</f>
        <v>FOTO 4</v>
      </c>
      <c r="O55" s="199" t="str">
        <f>HYPERLINK(CONCATENATE("http://www.spr.depen.pr.gov.br/centralvagas/exibirFoto.jpg?numProntuario=",$E55,"&amp;idImagem=5"),"FOTO 5")</f>
        <v>FOTO 5</v>
      </c>
      <c r="P55" s="199" t="str">
        <f>HYPERLINK(CONCATENATE("http://www.spr.depen.pr.gov.br/centralvagas/exibirFoto.jpg?numProntuario=",$E55,"&amp;idImagem=6"),"FOTO 6")</f>
        <v>FOTO 6</v>
      </c>
    </row>
    <row r="56" spans="1:16" ht="14.1" customHeight="1" thickTop="1" thickBot="1">
      <c r="A56" s="368"/>
      <c r="B56" s="369"/>
      <c r="C56" s="116" t="s">
        <v>2752</v>
      </c>
      <c r="D56" s="131" t="s">
        <v>3538</v>
      </c>
      <c r="E56" s="117">
        <v>465051</v>
      </c>
      <c r="F56" s="145"/>
      <c r="G56" s="119"/>
      <c r="H56" s="116"/>
      <c r="I56" s="162"/>
      <c r="J56" s="116"/>
      <c r="K56" s="199" t="str">
        <f>HYPERLINK(CONCATENATE("http://www.spr.depen.pr.gov.br/centralvagas/exibirFoto.jpg?numProntuario=",$E56,"&amp;idImagem=1"),"FOTO 1")</f>
        <v>FOTO 1</v>
      </c>
      <c r="L56" s="199" t="str">
        <f>HYPERLINK(CONCATENATE("http://www.spr.depen.pr.gov.br/centralvagas/exibirFoto.jpg?numProntuario=",$E56,"&amp;idImagem=2"),"FOTO 2")</f>
        <v>FOTO 2</v>
      </c>
      <c r="M56" s="199" t="str">
        <f>HYPERLINK(CONCATENATE("http://www.spr.depen.pr.gov.br/centralvagas/exibirFoto.jpg?numProntuario=",$E56,"&amp;idImagem=3"),"FOTO 3")</f>
        <v>FOTO 3</v>
      </c>
      <c r="N56" s="199" t="str">
        <f>HYPERLINK(CONCATENATE("http://www.spr.depen.pr.gov.br/centralvagas/exibirFoto.jpg?numProntuario=",$E56,"&amp;idImagem=4"),"FOTO 4")</f>
        <v>FOTO 4</v>
      </c>
      <c r="O56" s="199" t="str">
        <f>HYPERLINK(CONCATENATE("http://www.spr.depen.pr.gov.br/centralvagas/exibirFoto.jpg?numProntuario=",$E56,"&amp;idImagem=5"),"FOTO 5")</f>
        <v>FOTO 5</v>
      </c>
      <c r="P56" s="199" t="str">
        <f>HYPERLINK(CONCATENATE("http://www.spr.depen.pr.gov.br/centralvagas/exibirFoto.jpg?numProntuario=",$E56,"&amp;idImagem=6"),"FOTO 6")</f>
        <v>FOTO 6</v>
      </c>
    </row>
    <row r="57" spans="1:16" ht="14.1" customHeight="1" thickTop="1" thickBot="1">
      <c r="A57" s="368"/>
      <c r="B57" s="369"/>
      <c r="C57" s="116" t="s">
        <v>2752</v>
      </c>
      <c r="D57" s="131" t="s">
        <v>3537</v>
      </c>
      <c r="E57" s="117"/>
      <c r="F57" s="116"/>
      <c r="G57" s="119"/>
      <c r="H57" s="116"/>
      <c r="I57" s="119"/>
      <c r="J57" s="116"/>
      <c r="K57" s="199" t="str">
        <f>HYPERLINK(CONCATENATE("http://www.spr.depen.pr.gov.br/centralvagas/exibirFoto.jpg?numProntuario=",$E57,"&amp;idImagem=1"),"FOTO 1")</f>
        <v>FOTO 1</v>
      </c>
      <c r="L57" s="199" t="str">
        <f>HYPERLINK(CONCATENATE("http://www.spr.depen.pr.gov.br/centralvagas/exibirFoto.jpg?numProntuario=",$E57,"&amp;idImagem=2"),"FOTO 2")</f>
        <v>FOTO 2</v>
      </c>
      <c r="M57" s="199" t="str">
        <f>HYPERLINK(CONCATENATE("http://www.spr.depen.pr.gov.br/centralvagas/exibirFoto.jpg?numProntuario=",$E57,"&amp;idImagem=3"),"FOTO 3")</f>
        <v>FOTO 3</v>
      </c>
      <c r="N57" s="199" t="str">
        <f>HYPERLINK(CONCATENATE("http://www.spr.depen.pr.gov.br/centralvagas/exibirFoto.jpg?numProntuario=",$E57,"&amp;idImagem=4"),"FOTO 4")</f>
        <v>FOTO 4</v>
      </c>
      <c r="O57" s="199" t="str">
        <f>HYPERLINK(CONCATENATE("http://www.spr.depen.pr.gov.br/centralvagas/exibirFoto.jpg?numProntuario=",$E57,"&amp;idImagem=5"),"FOTO 5")</f>
        <v>FOTO 5</v>
      </c>
      <c r="P57" s="199" t="str">
        <f>HYPERLINK(CONCATENATE("http://www.spr.depen.pr.gov.br/centralvagas/exibirFoto.jpg?numProntuario=",$E57,"&amp;idImagem=6"),"FOTO 6")</f>
        <v>FOTO 6</v>
      </c>
    </row>
    <row r="58" spans="1:16" ht="14.1" customHeight="1" thickTop="1" thickBot="1">
      <c r="A58" s="390"/>
      <c r="B58" s="391"/>
      <c r="C58" s="126" t="s">
        <v>105</v>
      </c>
      <c r="D58" s="141" t="s">
        <v>3545</v>
      </c>
      <c r="E58" s="117">
        <v>100093</v>
      </c>
      <c r="F58" s="116"/>
      <c r="G58" s="119"/>
      <c r="H58" s="116"/>
      <c r="I58" s="119"/>
      <c r="J58" s="116"/>
      <c r="K58" s="199" t="str">
        <f>HYPERLINK(CONCATENATE("http://www.spr.depen.pr.gov.br/centralvagas/exibirFoto.jpg?numProntuario=",$E58,"&amp;idImagem=1"),"FOTO 1")</f>
        <v>FOTO 1</v>
      </c>
      <c r="L58" s="199" t="str">
        <f>HYPERLINK(CONCATENATE("http://www.spr.depen.pr.gov.br/centralvagas/exibirFoto.jpg?numProntuario=",$E58,"&amp;idImagem=2"),"FOTO 2")</f>
        <v>FOTO 2</v>
      </c>
      <c r="M58" s="199" t="str">
        <f>HYPERLINK(CONCATENATE("http://www.spr.depen.pr.gov.br/centralvagas/exibirFoto.jpg?numProntuario=",$E58,"&amp;idImagem=3"),"FOTO 3")</f>
        <v>FOTO 3</v>
      </c>
      <c r="N58" s="199" t="str">
        <f>HYPERLINK(CONCATENATE("http://www.spr.depen.pr.gov.br/centralvagas/exibirFoto.jpg?numProntuario=",$E58,"&amp;idImagem=4"),"FOTO 4")</f>
        <v>FOTO 4</v>
      </c>
      <c r="O58" s="199" t="str">
        <f>HYPERLINK(CONCATENATE("http://www.spr.depen.pr.gov.br/centralvagas/exibirFoto.jpg?numProntuario=",$E58,"&amp;idImagem=5"),"FOTO 5")</f>
        <v>FOTO 5</v>
      </c>
      <c r="P58" s="199" t="str">
        <f>HYPERLINK(CONCATENATE("http://www.spr.depen.pr.gov.br/centralvagas/exibirFoto.jpg?numProntuario=",$E58,"&amp;idImagem=6"),"FOTO 6")</f>
        <v>FOTO 6</v>
      </c>
    </row>
    <row r="59" spans="1:16" ht="14.1" customHeight="1" thickTop="1" thickBot="1">
      <c r="A59" s="145"/>
      <c r="B59" s="424"/>
      <c r="C59" s="118" t="s">
        <v>105</v>
      </c>
      <c r="D59" s="122" t="s">
        <v>3473</v>
      </c>
      <c r="E59" s="117">
        <v>135102</v>
      </c>
      <c r="F59" s="116"/>
      <c r="G59" s="119"/>
      <c r="H59" s="116"/>
      <c r="I59" s="119"/>
      <c r="J59" s="116"/>
      <c r="K59" s="199" t="str">
        <f>HYPERLINK(CONCATENATE("http://www.spr.depen.pr.gov.br/centralvagas/exibirFoto.jpg?numProntuario=",$E59,"&amp;idImagem=1"),"FOTO 1")</f>
        <v>FOTO 1</v>
      </c>
      <c r="L59" s="199" t="str">
        <f>HYPERLINK(CONCATENATE("http://www.spr.depen.pr.gov.br/centralvagas/exibirFoto.jpg?numProntuario=",$E59,"&amp;idImagem=2"),"FOTO 2")</f>
        <v>FOTO 2</v>
      </c>
      <c r="M59" s="199" t="str">
        <f>HYPERLINK(CONCATENATE("http://www.spr.depen.pr.gov.br/centralvagas/exibirFoto.jpg?numProntuario=",$E59,"&amp;idImagem=3"),"FOTO 3")</f>
        <v>FOTO 3</v>
      </c>
      <c r="N59" s="199" t="str">
        <f>HYPERLINK(CONCATENATE("http://www.spr.depen.pr.gov.br/centralvagas/exibirFoto.jpg?numProntuario=",$E59,"&amp;idImagem=4"),"FOTO 4")</f>
        <v>FOTO 4</v>
      </c>
      <c r="O59" s="199" t="str">
        <f>HYPERLINK(CONCATENATE("http://www.spr.depen.pr.gov.br/centralvagas/exibirFoto.jpg?numProntuario=",$E59,"&amp;idImagem=5"),"FOTO 5")</f>
        <v>FOTO 5</v>
      </c>
      <c r="P59" s="199" t="str">
        <f>HYPERLINK(CONCATENATE("http://www.spr.depen.pr.gov.br/centralvagas/exibirFoto.jpg?numProntuario=",$E59,"&amp;idImagem=6"),"FOTO 6")</f>
        <v>FOTO 6</v>
      </c>
    </row>
    <row r="60" spans="1:16" ht="14.1" customHeight="1" thickTop="1" thickBot="1">
      <c r="A60" s="571"/>
      <c r="B60" s="127"/>
      <c r="C60" s="118" t="s">
        <v>105</v>
      </c>
      <c r="D60" s="130" t="s">
        <v>3637</v>
      </c>
      <c r="E60" s="117">
        <v>9288</v>
      </c>
      <c r="F60" s="116"/>
      <c r="G60" s="119"/>
      <c r="H60" s="116"/>
      <c r="I60" s="119"/>
      <c r="J60" s="116"/>
      <c r="K60" s="199" t="str">
        <f>HYPERLINK(CONCATENATE("http://www.spr.depen.pr.gov.br/centralvagas/exibirFoto.jpg?numProntuario=",$E60,"&amp;idImagem=1"),"FOTO 1")</f>
        <v>FOTO 1</v>
      </c>
      <c r="L60" s="199" t="str">
        <f>HYPERLINK(CONCATENATE("http://www.spr.depen.pr.gov.br/centralvagas/exibirFoto.jpg?numProntuario=",$E60,"&amp;idImagem=2"),"FOTO 2")</f>
        <v>FOTO 2</v>
      </c>
      <c r="M60" s="199" t="str">
        <f>HYPERLINK(CONCATENATE("http://www.spr.depen.pr.gov.br/centralvagas/exibirFoto.jpg?numProntuario=",$E60,"&amp;idImagem=3"),"FOTO 3")</f>
        <v>FOTO 3</v>
      </c>
      <c r="N60" s="199" t="str">
        <f>HYPERLINK(CONCATENATE("http://www.spr.depen.pr.gov.br/centralvagas/exibirFoto.jpg?numProntuario=",$E60,"&amp;idImagem=4"),"FOTO 4")</f>
        <v>FOTO 4</v>
      </c>
      <c r="O60" s="199" t="str">
        <f>HYPERLINK(CONCATENATE("http://www.spr.depen.pr.gov.br/centralvagas/exibirFoto.jpg?numProntuario=",$E60,"&amp;idImagem=5"),"FOTO 5")</f>
        <v>FOTO 5</v>
      </c>
      <c r="P60" s="199" t="str">
        <f>HYPERLINK(CONCATENATE("http://www.spr.depen.pr.gov.br/centralvagas/exibirFoto.jpg?numProntuario=",$E60,"&amp;idImagem=6"),"FOTO 6")</f>
        <v>FOTO 6</v>
      </c>
    </row>
    <row r="61" spans="1:16" ht="14.1" customHeight="1" thickTop="1" thickBot="1">
      <c r="A61" s="116"/>
      <c r="B61" s="419"/>
      <c r="C61" s="118" t="s">
        <v>105</v>
      </c>
      <c r="D61" s="131" t="s">
        <v>1427</v>
      </c>
      <c r="E61" s="117">
        <v>63727</v>
      </c>
      <c r="F61" s="116"/>
      <c r="G61" s="119"/>
      <c r="H61" s="116"/>
      <c r="I61" s="119"/>
      <c r="J61" s="116"/>
      <c r="K61" s="199" t="str">
        <f>HYPERLINK(CONCATENATE("http://www.spr.depen.pr.gov.br/centralvagas/exibirFoto.jpg?numProntuario=",$E61,"&amp;idImagem=1"),"FOTO 1")</f>
        <v>FOTO 1</v>
      </c>
      <c r="L61" s="199" t="str">
        <f>HYPERLINK(CONCATENATE("http://www.spr.depen.pr.gov.br/centralvagas/exibirFoto.jpg?numProntuario=",$E61,"&amp;idImagem=2"),"FOTO 2")</f>
        <v>FOTO 2</v>
      </c>
      <c r="M61" s="199" t="str">
        <f>HYPERLINK(CONCATENATE("http://www.spr.depen.pr.gov.br/centralvagas/exibirFoto.jpg?numProntuario=",$E61,"&amp;idImagem=3"),"FOTO 3")</f>
        <v>FOTO 3</v>
      </c>
      <c r="N61" s="199" t="str">
        <f>HYPERLINK(CONCATENATE("http://www.spr.depen.pr.gov.br/centralvagas/exibirFoto.jpg?numProntuario=",$E61,"&amp;idImagem=4"),"FOTO 4")</f>
        <v>FOTO 4</v>
      </c>
      <c r="O61" s="199" t="str">
        <f>HYPERLINK(CONCATENATE("http://www.spr.depen.pr.gov.br/centralvagas/exibirFoto.jpg?numProntuario=",$E61,"&amp;idImagem=5"),"FOTO 5")</f>
        <v>FOTO 5</v>
      </c>
      <c r="P61" s="199" t="str">
        <f>HYPERLINK(CONCATENATE("http://www.spr.depen.pr.gov.br/centralvagas/exibirFoto.jpg?numProntuario=",$E61,"&amp;idImagem=6"),"FOTO 6")</f>
        <v>FOTO 6</v>
      </c>
    </row>
    <row r="62" spans="1:16" ht="14.1" customHeight="1" thickTop="1" thickBot="1">
      <c r="A62" s="116"/>
      <c r="B62" s="438"/>
      <c r="C62" s="118" t="s">
        <v>105</v>
      </c>
      <c r="D62" s="122" t="s">
        <v>3647</v>
      </c>
      <c r="E62" s="117">
        <v>63163</v>
      </c>
      <c r="F62" s="116"/>
      <c r="G62" s="119"/>
      <c r="H62" s="116"/>
      <c r="I62" s="119"/>
      <c r="J62" s="116"/>
      <c r="K62" s="199" t="str">
        <f>HYPERLINK(CONCATENATE("http://www.spr.depen.pr.gov.br/centralvagas/exibirFoto.jpg?numProntuario=",$E62,"&amp;idImagem=1"),"FOTO 1")</f>
        <v>FOTO 1</v>
      </c>
      <c r="L62" s="199" t="str">
        <f>HYPERLINK(CONCATENATE("http://www.spr.depen.pr.gov.br/centralvagas/exibirFoto.jpg?numProntuario=",$E62,"&amp;idImagem=2"),"FOTO 2")</f>
        <v>FOTO 2</v>
      </c>
      <c r="M62" s="199" t="str">
        <f>HYPERLINK(CONCATENATE("http://www.spr.depen.pr.gov.br/centralvagas/exibirFoto.jpg?numProntuario=",$E62,"&amp;idImagem=3"),"FOTO 3")</f>
        <v>FOTO 3</v>
      </c>
      <c r="N62" s="199" t="str">
        <f>HYPERLINK(CONCATENATE("http://www.spr.depen.pr.gov.br/centralvagas/exibirFoto.jpg?numProntuario=",$E62,"&amp;idImagem=4"),"FOTO 4")</f>
        <v>FOTO 4</v>
      </c>
      <c r="O62" s="199" t="str">
        <f>HYPERLINK(CONCATENATE("http://www.spr.depen.pr.gov.br/centralvagas/exibirFoto.jpg?numProntuario=",$E62,"&amp;idImagem=5"),"FOTO 5")</f>
        <v>FOTO 5</v>
      </c>
      <c r="P62" s="199" t="str">
        <f>HYPERLINK(CONCATENATE("http://www.spr.depen.pr.gov.br/centralvagas/exibirFoto.jpg?numProntuario=",$E62,"&amp;idImagem=6"),"FOTO 6")</f>
        <v>FOTO 6</v>
      </c>
    </row>
    <row r="63" spans="1:16" ht="14.1" customHeight="1" thickTop="1" thickBot="1">
      <c r="A63" s="118"/>
      <c r="B63" s="416"/>
      <c r="C63" s="118" t="s">
        <v>94</v>
      </c>
      <c r="D63" s="122" t="s">
        <v>3455</v>
      </c>
      <c r="E63" s="144">
        <v>63134</v>
      </c>
      <c r="F63" s="118"/>
      <c r="G63" s="118"/>
      <c r="H63" s="118"/>
      <c r="I63" s="118"/>
      <c r="J63" s="118"/>
      <c r="K63" s="199" t="str">
        <f>HYPERLINK(CONCATENATE("http://www.spr.depen.pr.gov.br/centralvagas/exibirFoto.jpg?numProntuario=",$E63,"&amp;idImagem=1"),"FOTO 1")</f>
        <v>FOTO 1</v>
      </c>
      <c r="L63" s="199" t="str">
        <f>HYPERLINK(CONCATENATE("http://www.spr.depen.pr.gov.br/centralvagas/exibirFoto.jpg?numProntuario=",$E63,"&amp;idImagem=2"),"FOTO 2")</f>
        <v>FOTO 2</v>
      </c>
      <c r="M63" s="199" t="str">
        <f>HYPERLINK(CONCATENATE("http://www.spr.depen.pr.gov.br/centralvagas/exibirFoto.jpg?numProntuario=",$E63,"&amp;idImagem=3"),"FOTO 3")</f>
        <v>FOTO 3</v>
      </c>
      <c r="N63" s="199" t="str">
        <f>HYPERLINK(CONCATENATE("http://www.spr.depen.pr.gov.br/centralvagas/exibirFoto.jpg?numProntuario=",$E63,"&amp;idImagem=4"),"FOTO 4")</f>
        <v>FOTO 4</v>
      </c>
      <c r="O63" s="199" t="str">
        <f>HYPERLINK(CONCATENATE("http://www.spr.depen.pr.gov.br/centralvagas/exibirFoto.jpg?numProntuario=",$E63,"&amp;idImagem=5"),"FOTO 5")</f>
        <v>FOTO 5</v>
      </c>
      <c r="P63" s="199" t="str">
        <f>HYPERLINK(CONCATENATE("http://www.spr.depen.pr.gov.br/centralvagas/exibirFoto.jpg?numProntuario=",$E63,"&amp;idImagem=6"),"FOTO 6")</f>
        <v>FOTO 6</v>
      </c>
    </row>
    <row r="64" spans="1:16" ht="14.1" customHeight="1" thickTop="1" thickBot="1">
      <c r="A64" s="336"/>
      <c r="B64" s="143"/>
      <c r="C64" s="116" t="s">
        <v>94</v>
      </c>
      <c r="D64" s="130" t="s">
        <v>2803</v>
      </c>
      <c r="E64" s="117">
        <v>103121</v>
      </c>
      <c r="F64" s="116"/>
      <c r="G64" s="119"/>
      <c r="H64" s="116"/>
      <c r="I64" s="119"/>
      <c r="J64" s="116"/>
      <c r="K64" s="199" t="str">
        <f>HYPERLINK(CONCATENATE("http://www.spr.depen.pr.gov.br/centralvagas/exibirFoto.jpg?numProntuario=",$E64,"&amp;idImagem=1"),"FOTO 1")</f>
        <v>FOTO 1</v>
      </c>
      <c r="L64" s="199" t="str">
        <f>HYPERLINK(CONCATENATE("http://www.spr.depen.pr.gov.br/centralvagas/exibirFoto.jpg?numProntuario=",$E64,"&amp;idImagem=2"),"FOTO 2")</f>
        <v>FOTO 2</v>
      </c>
      <c r="M64" s="199" t="str">
        <f>HYPERLINK(CONCATENATE("http://www.spr.depen.pr.gov.br/centralvagas/exibirFoto.jpg?numProntuario=",$E64,"&amp;idImagem=3"),"FOTO 3")</f>
        <v>FOTO 3</v>
      </c>
      <c r="N64" s="199" t="str">
        <f>HYPERLINK(CONCATENATE("http://www.spr.depen.pr.gov.br/centralvagas/exibirFoto.jpg?numProntuario=",$E64,"&amp;idImagem=4"),"FOTO 4")</f>
        <v>FOTO 4</v>
      </c>
      <c r="O64" s="199" t="str">
        <f>HYPERLINK(CONCATENATE("http://www.spr.depen.pr.gov.br/centralvagas/exibirFoto.jpg?numProntuario=",$E64,"&amp;idImagem=5"),"FOTO 5")</f>
        <v>FOTO 5</v>
      </c>
      <c r="P64" s="199" t="str">
        <f>HYPERLINK(CONCATENATE("http://www.spr.depen.pr.gov.br/centralvagas/exibirFoto.jpg?numProntuario=",$E64,"&amp;idImagem=6"),"FOTO 6")</f>
        <v>FOTO 6</v>
      </c>
    </row>
    <row r="65" spans="1:16" ht="14.1" customHeight="1" thickTop="1" thickBot="1">
      <c r="A65" s="116"/>
      <c r="B65" s="254"/>
      <c r="C65" s="126" t="s">
        <v>94</v>
      </c>
      <c r="D65" s="149" t="s">
        <v>3429</v>
      </c>
      <c r="E65" s="117">
        <v>147447</v>
      </c>
      <c r="F65" s="116"/>
      <c r="G65" s="119"/>
      <c r="H65" s="116"/>
      <c r="I65" s="119"/>
      <c r="J65" s="116"/>
      <c r="K65" s="199" t="str">
        <f>HYPERLINK(CONCATENATE("http://www.spr.depen.pr.gov.br/centralvagas/exibirFoto.jpg?numProntuario=",$E65,"&amp;idImagem=1"),"FOTO 1")</f>
        <v>FOTO 1</v>
      </c>
      <c r="L65" s="199" t="str">
        <f>HYPERLINK(CONCATENATE("http://www.spr.depen.pr.gov.br/centralvagas/exibirFoto.jpg?numProntuario=",$E65,"&amp;idImagem=2"),"FOTO 2")</f>
        <v>FOTO 2</v>
      </c>
      <c r="M65" s="199" t="str">
        <f>HYPERLINK(CONCATENATE("http://www.spr.depen.pr.gov.br/centralvagas/exibirFoto.jpg?numProntuario=",$E65,"&amp;idImagem=3"),"FOTO 3")</f>
        <v>FOTO 3</v>
      </c>
      <c r="N65" s="199" t="str">
        <f>HYPERLINK(CONCATENATE("http://www.spr.depen.pr.gov.br/centralvagas/exibirFoto.jpg?numProntuario=",$E65,"&amp;idImagem=4"),"FOTO 4")</f>
        <v>FOTO 4</v>
      </c>
      <c r="O65" s="199" t="str">
        <f>HYPERLINK(CONCATENATE("http://www.spr.depen.pr.gov.br/centralvagas/exibirFoto.jpg?numProntuario=",$E65,"&amp;idImagem=5"),"FOTO 5")</f>
        <v>FOTO 5</v>
      </c>
      <c r="P65" s="199" t="str">
        <f>HYPERLINK(CONCATENATE("http://www.spr.depen.pr.gov.br/centralvagas/exibirFoto.jpg?numProntuario=",$E65,"&amp;idImagem=6"),"FOTO 6")</f>
        <v>FOTO 6</v>
      </c>
    </row>
    <row r="66" spans="1:16" ht="14.1" customHeight="1" thickTop="1" thickBot="1">
      <c r="A66" s="148"/>
      <c r="B66" s="166"/>
      <c r="C66" s="116" t="s">
        <v>94</v>
      </c>
      <c r="D66" s="129" t="s">
        <v>3427</v>
      </c>
      <c r="E66" s="117">
        <v>149802</v>
      </c>
      <c r="F66" s="116"/>
      <c r="G66" s="119"/>
      <c r="H66" s="116"/>
      <c r="I66" s="119"/>
      <c r="J66" s="116"/>
      <c r="K66" s="199" t="str">
        <f>HYPERLINK(CONCATENATE("http://www.spr.depen.pr.gov.br/centralvagas/exibirFoto.jpg?numProntuario=",$E66,"&amp;idImagem=1"),"FOTO 1")</f>
        <v>FOTO 1</v>
      </c>
      <c r="L66" s="199" t="str">
        <f>HYPERLINK(CONCATENATE("http://www.spr.depen.pr.gov.br/centralvagas/exibirFoto.jpg?numProntuario=",$E66,"&amp;idImagem=2"),"FOTO 2")</f>
        <v>FOTO 2</v>
      </c>
      <c r="M66" s="199" t="str">
        <f>HYPERLINK(CONCATENATE("http://www.spr.depen.pr.gov.br/centralvagas/exibirFoto.jpg?numProntuario=",$E66,"&amp;idImagem=3"),"FOTO 3")</f>
        <v>FOTO 3</v>
      </c>
      <c r="N66" s="199" t="str">
        <f>HYPERLINK(CONCATENATE("http://www.spr.depen.pr.gov.br/centralvagas/exibirFoto.jpg?numProntuario=",$E66,"&amp;idImagem=4"),"FOTO 4")</f>
        <v>FOTO 4</v>
      </c>
      <c r="O66" s="199" t="str">
        <f>HYPERLINK(CONCATENATE("http://www.spr.depen.pr.gov.br/centralvagas/exibirFoto.jpg?numProntuario=",$E66,"&amp;idImagem=5"),"FOTO 5")</f>
        <v>FOTO 5</v>
      </c>
      <c r="P66" s="199" t="str">
        <f>HYPERLINK(CONCATENATE("http://www.spr.depen.pr.gov.br/centralvagas/exibirFoto.jpg?numProntuario=",$E66,"&amp;idImagem=6"),"FOTO 6")</f>
        <v>FOTO 6</v>
      </c>
    </row>
    <row r="67" spans="1:16" ht="14.1" customHeight="1" thickTop="1" thickBot="1">
      <c r="A67" s="116"/>
      <c r="B67" s="147"/>
      <c r="C67" s="116" t="s">
        <v>94</v>
      </c>
      <c r="D67" s="131" t="s">
        <v>3513</v>
      </c>
      <c r="E67" s="117">
        <v>124980</v>
      </c>
      <c r="F67" s="116"/>
      <c r="G67" s="119"/>
      <c r="H67" s="116"/>
      <c r="I67" s="119"/>
      <c r="J67" s="116"/>
      <c r="K67" s="199" t="str">
        <f>HYPERLINK(CONCATENATE("http://www.spr.depen.pr.gov.br/centralvagas/exibirFoto.jpg?numProntuario=",$E67,"&amp;idImagem=1"),"FOTO 1")</f>
        <v>FOTO 1</v>
      </c>
      <c r="L67" s="199" t="str">
        <f>HYPERLINK(CONCATENATE("http://www.spr.depen.pr.gov.br/centralvagas/exibirFoto.jpg?numProntuario=",$E67,"&amp;idImagem=2"),"FOTO 2")</f>
        <v>FOTO 2</v>
      </c>
      <c r="M67" s="199" t="str">
        <f>HYPERLINK(CONCATENATE("http://www.spr.depen.pr.gov.br/centralvagas/exibirFoto.jpg?numProntuario=",$E67,"&amp;idImagem=3"),"FOTO 3")</f>
        <v>FOTO 3</v>
      </c>
      <c r="N67" s="199" t="str">
        <f>HYPERLINK(CONCATENATE("http://www.spr.depen.pr.gov.br/centralvagas/exibirFoto.jpg?numProntuario=",$E67,"&amp;idImagem=4"),"FOTO 4")</f>
        <v>FOTO 4</v>
      </c>
      <c r="O67" s="199" t="str">
        <f>HYPERLINK(CONCATENATE("http://www.spr.depen.pr.gov.br/centralvagas/exibirFoto.jpg?numProntuario=",$E67,"&amp;idImagem=5"),"FOTO 5")</f>
        <v>FOTO 5</v>
      </c>
      <c r="P67" s="199" t="str">
        <f>HYPERLINK(CONCATENATE("http://www.spr.depen.pr.gov.br/centralvagas/exibirFoto.jpg?numProntuario=",$E67,"&amp;idImagem=6"),"FOTO 6")</f>
        <v>FOTO 6</v>
      </c>
    </row>
    <row r="68" spans="1:16" ht="14.1" customHeight="1" thickTop="1" thickBot="1">
      <c r="A68" s="362"/>
      <c r="B68" s="228"/>
      <c r="C68" s="118" t="s">
        <v>630</v>
      </c>
      <c r="D68" s="122" t="s">
        <v>3585</v>
      </c>
      <c r="E68" s="117">
        <v>27190</v>
      </c>
      <c r="F68" s="116"/>
      <c r="G68" s="119"/>
      <c r="H68" s="116"/>
      <c r="I68" s="119"/>
      <c r="J68" s="116"/>
      <c r="K68" s="199" t="str">
        <f>HYPERLINK(CONCATENATE("http://www.spr.depen.pr.gov.br/centralvagas/exibirFoto.jpg?numProntuario=",$E68,"&amp;idImagem=1"),"FOTO 1")</f>
        <v>FOTO 1</v>
      </c>
      <c r="L68" s="199" t="e">
        <f ca="1">K136(CONCATENATE("http://www.spr.depen.pr.gov.br/centralvagas/exibirFoto.jpg?numProntuario=",$E68,"&amp;idImagem=2"),"FOTO 2")</f>
        <v>#REF!</v>
      </c>
      <c r="M68" s="199" t="str">
        <f>HYPERLINK(CONCATENATE("http://www.spr.depen.pr.gov.br/centralvagas/exibirFoto.jpg?numProntuario=",$E68,"&amp;idImagem=3"),"FOTO 3")</f>
        <v>FOTO 3</v>
      </c>
      <c r="N68" s="199" t="str">
        <f>HYPERLINK(CONCATENATE("http://www.spr.depen.pr.gov.br/centralvagas/exibirFoto.jpg?numProntuario=",$E68,"&amp;idImagem=4"),"FOTO 4")</f>
        <v>FOTO 4</v>
      </c>
      <c r="O68" s="199" t="str">
        <f>HYPERLINK(CONCATENATE("http://www.spr.depen.pr.gov.br/centralvagas/exibirFoto.jpg?numProntuario=",$E68,"&amp;idImagem=5"),"FOTO 5")</f>
        <v>FOTO 5</v>
      </c>
      <c r="P68" s="199" t="str">
        <f>HYPERLINK(CONCATENATE("http://www.spr.depen.pr.gov.br/centralvagas/exibirFoto.jpg?numProntuario=",$E68,"&amp;idImagem=6"),"FOTO 6")</f>
        <v>FOTO 6</v>
      </c>
    </row>
    <row r="69" spans="1:16" ht="14.1" customHeight="1" thickTop="1" thickBot="1">
      <c r="A69" s="116"/>
      <c r="B69" s="319"/>
      <c r="C69" s="116" t="s">
        <v>630</v>
      </c>
      <c r="D69" s="129" t="s">
        <v>2786</v>
      </c>
      <c r="E69" s="117">
        <v>146029</v>
      </c>
      <c r="F69" s="116"/>
      <c r="G69" s="119"/>
      <c r="H69" s="116"/>
      <c r="I69" s="119"/>
      <c r="J69" s="116"/>
      <c r="K69" s="199" t="str">
        <f>HYPERLINK(CONCATENATE("http://www.spr.depen.pr.gov.br/centralvagas/exibirFoto.jpg?numProntuario=",$E69,"&amp;idImagem=1"),"FOTO 1")</f>
        <v>FOTO 1</v>
      </c>
      <c r="L69" s="199" t="str">
        <f>HYPERLINK(CONCATENATE("http://www.spr.depen.pr.gov.br/centralvagas/exibirFoto.jpg?numProntuario=",$E69,"&amp;idImagem=2"),"FOTO 2")</f>
        <v>FOTO 2</v>
      </c>
      <c r="M69" s="199" t="str">
        <f>HYPERLINK(CONCATENATE("http://www.spr.depen.pr.gov.br/centralvagas/exibirFoto.jpg?numProntuario=",$E69,"&amp;idImagem=3"),"FOTO 3")</f>
        <v>FOTO 3</v>
      </c>
      <c r="N69" s="199" t="str">
        <f>HYPERLINK(CONCATENATE("http://www.spr.depen.pr.gov.br/centralvagas/exibirFoto.jpg?numProntuario=",$E69,"&amp;idImagem=4"),"FOTO 4")</f>
        <v>FOTO 4</v>
      </c>
      <c r="O69" s="199" t="str">
        <f>HYPERLINK(CONCATENATE("http://www.spr.depen.pr.gov.br/centralvagas/exibirFoto.jpg?numProntuario=",$E69,"&amp;idImagem=5"),"FOTO 5")</f>
        <v>FOTO 5</v>
      </c>
      <c r="P69" s="199" t="str">
        <f>HYPERLINK(CONCATENATE("http://www.spr.depen.pr.gov.br/centralvagas/exibirFoto.jpg?numProntuario=",$E69,"&amp;idImagem=6"),"FOTO 6")</f>
        <v>FOTO 6</v>
      </c>
    </row>
    <row r="70" spans="1:16" ht="14.1" customHeight="1" thickTop="1" thickBot="1">
      <c r="A70" s="120"/>
      <c r="B70" s="419"/>
      <c r="C70" s="126" t="s">
        <v>630</v>
      </c>
      <c r="D70" s="158" t="s">
        <v>2459</v>
      </c>
      <c r="E70" s="117">
        <v>27255</v>
      </c>
      <c r="F70" s="116"/>
      <c r="G70" s="119"/>
      <c r="H70" s="116"/>
      <c r="I70" s="119"/>
      <c r="J70" s="132"/>
      <c r="K70" s="199" t="str">
        <f>HYPERLINK(CONCATENATE("http://www.spr.depen.pr.gov.br/centralvagas/exibirFoto.jpg?numProntuario=",$E70,"&amp;idImagem=1"),"FOTO 1")</f>
        <v>FOTO 1</v>
      </c>
      <c r="L70" s="199" t="str">
        <f>HYPERLINK(CONCATENATE("http://www.spr.depen.pr.gov.br/centralvagas/exibirFoto.jpg?numProntuario=",$E70,"&amp;idImagem=2"),"FOTO 2")</f>
        <v>FOTO 2</v>
      </c>
      <c r="M70" s="199" t="str">
        <f>HYPERLINK(CONCATENATE("http://www.spr.depen.pr.gov.br/centralvagas/exibirFoto.jpg?numProntuario=",$E70,"&amp;idImagem=3"),"FOTO 3")</f>
        <v>FOTO 3</v>
      </c>
      <c r="N70" s="199" t="str">
        <f>HYPERLINK(CONCATENATE("http://www.spr.depen.pr.gov.br/centralvagas/exibirFoto.jpg?numProntuario=",$E70,"&amp;idImagem=4"),"FOTO 4")</f>
        <v>FOTO 4</v>
      </c>
      <c r="O70" s="199" t="str">
        <f>HYPERLINK(CONCATENATE("http://www.spr.depen.pr.gov.br/centralvagas/exibirFoto.jpg?numProntuario=",$E70,"&amp;idImagem=5"),"FOTO 5")</f>
        <v>FOTO 5</v>
      </c>
      <c r="P70" s="199" t="str">
        <f>HYPERLINK(CONCATENATE("http://www.spr.depen.pr.gov.br/centralvagas/exibirFoto.jpg?numProntuario=",$E70,"&amp;idImagem=6"),"FOTO 6")</f>
        <v>FOTO 6</v>
      </c>
    </row>
    <row r="71" spans="1:16" ht="14.1" customHeight="1" thickTop="1" thickBot="1">
      <c r="A71" s="207"/>
      <c r="B71" s="317"/>
      <c r="C71" s="116" t="s">
        <v>630</v>
      </c>
      <c r="D71" s="129" t="s">
        <v>3377</v>
      </c>
      <c r="E71" s="117">
        <v>129979</v>
      </c>
      <c r="F71" s="116"/>
      <c r="G71" s="119"/>
      <c r="H71" s="116"/>
      <c r="I71" s="119"/>
      <c r="J71" s="116"/>
      <c r="K71" s="199" t="str">
        <f>HYPERLINK(CONCATENATE("http://www.spr.depen.pr.gov.br/centralvagas/exibirFoto.jpg?numProntuario=",$E71,"&amp;idImagem=1"),"FOTO 1")</f>
        <v>FOTO 1</v>
      </c>
      <c r="L71" s="199" t="str">
        <f>HYPERLINK(CONCATENATE("http://www.spr.depen.pr.gov.br/centralvagas/exibirFoto.jpg?numProntuario=",$E71,"&amp;idImagem=2"),"FOTO 2")</f>
        <v>FOTO 2</v>
      </c>
      <c r="M71" s="199" t="str">
        <f>HYPERLINK(CONCATENATE("http://www.spr.depen.pr.gov.br/centralvagas/exibirFoto.jpg?numProntuario=",$E71,"&amp;idImagem=3"),"FOTO 3")</f>
        <v>FOTO 3</v>
      </c>
      <c r="N71" s="199" t="str">
        <f>HYPERLINK(CONCATENATE("http://www.spr.depen.pr.gov.br/centralvagas/exibirFoto.jpg?numProntuario=",$E71,"&amp;idImagem=4"),"FOTO 4")</f>
        <v>FOTO 4</v>
      </c>
      <c r="O71" s="199" t="str">
        <f>HYPERLINK(CONCATENATE("http://www.spr.depen.pr.gov.br/centralvagas/exibirFoto.jpg?numProntuario=",$E71,"&amp;idImagem=5"),"FOTO 5")</f>
        <v>FOTO 5</v>
      </c>
      <c r="P71" s="199" t="str">
        <f>HYPERLINK(CONCATENATE("http://www.spr.depen.pr.gov.br/centralvagas/exibirFoto.jpg?numProntuario=",$E71,"&amp;idImagem=6"),"FOTO 6")</f>
        <v>FOTO 6</v>
      </c>
    </row>
    <row r="72" spans="1:16" ht="14.1" customHeight="1" thickTop="1" thickBot="1">
      <c r="A72" s="123"/>
      <c r="B72" s="166"/>
      <c r="C72" s="126" t="s">
        <v>2685</v>
      </c>
      <c r="D72" s="131" t="s">
        <v>3440</v>
      </c>
      <c r="E72" s="466">
        <v>157924</v>
      </c>
      <c r="F72" s="133"/>
      <c r="G72" s="119"/>
      <c r="H72" s="116"/>
      <c r="I72" s="119"/>
      <c r="J72" s="116"/>
      <c r="K72" s="199" t="str">
        <f>HYPERLINK(CONCATENATE("http://www.spr.depen.pr.gov.br/centralvagas/exibirFoto.jpg?numProntuario=",$E72,"&amp;idImagem=1"),"FOTO 1")</f>
        <v>FOTO 1</v>
      </c>
      <c r="L72" s="199" t="str">
        <f>HYPERLINK(CONCATENATE("http://www.spr.depen.pr.gov.br/centralvagas/exibirFoto.jpg?numProntuario=",$E72,"&amp;idImagem=2"),"FOTO 2")</f>
        <v>FOTO 2</v>
      </c>
      <c r="M72" s="199" t="str">
        <f>HYPERLINK(CONCATENATE("http://www.spr.depen.pr.gov.br/centralvagas/exibirFoto.jpg?numProntuario=",$E72,"&amp;idImagem=3"),"FOTO 3")</f>
        <v>FOTO 3</v>
      </c>
      <c r="N72" s="199" t="str">
        <f>HYPERLINK(CONCATENATE("http://www.spr.depen.pr.gov.br/centralvagas/exibirFoto.jpg?numProntuario=",$E72,"&amp;idImagem=4"),"FOTO 4")</f>
        <v>FOTO 4</v>
      </c>
      <c r="O72" s="199" t="str">
        <f>HYPERLINK(CONCATENATE("http://www.spr.depen.pr.gov.br/centralvagas/exibirFoto.jpg?numProntuario=",$E72,"&amp;idImagem=5"),"FOTO 5")</f>
        <v>FOTO 5</v>
      </c>
      <c r="P72" s="199" t="str">
        <f>HYPERLINK(CONCATENATE("http://www.spr.depen.pr.gov.br/centralvagas/exibirFoto.jpg?numProntuario=",$E72,"&amp;idImagem=6"),"FOTO 6")</f>
        <v>FOTO 6</v>
      </c>
    </row>
    <row r="73" spans="1:16" ht="14.1" customHeight="1" thickTop="1" thickBot="1">
      <c r="A73" s="331"/>
      <c r="B73" s="127"/>
      <c r="C73" s="118" t="s">
        <v>898</v>
      </c>
      <c r="D73" s="122" t="s">
        <v>3510</v>
      </c>
      <c r="E73" s="345">
        <v>101796</v>
      </c>
      <c r="F73" s="116"/>
      <c r="G73" s="119"/>
      <c r="H73" s="116"/>
      <c r="I73" s="119"/>
      <c r="J73" s="132"/>
      <c r="K73" s="199" t="str">
        <f>HYPERLINK(CONCATENATE("http://www.spr.depen.pr.gov.br/centralvagas/exibirFoto.jpg?numProntuario=",$E73,"&amp;idImagem=1"),"FOTO 1")</f>
        <v>FOTO 1</v>
      </c>
      <c r="L73" s="199" t="str">
        <f>HYPERLINK(CONCATENATE("http://www.spr.depen.pr.gov.br/centralvagas/exibirFoto.jpg?numProntuario=",$E73,"&amp;idImagem=2"),"FOTO 2")</f>
        <v>FOTO 2</v>
      </c>
      <c r="M73" s="199" t="str">
        <f>HYPERLINK(CONCATENATE("http://www.spr.depen.pr.gov.br/centralvagas/exibirFoto.jpg?numProntuario=",$E73,"&amp;idImagem=3"),"FOTO 3")</f>
        <v>FOTO 3</v>
      </c>
      <c r="N73" s="199" t="str">
        <f>HYPERLINK(CONCATENATE("http://www.spr.depen.pr.gov.br/centralvagas/exibirFoto.jpg?numProntuario=",$E73,"&amp;idImagem=4"),"FOTO 4")</f>
        <v>FOTO 4</v>
      </c>
      <c r="O73" s="199" t="str">
        <f>HYPERLINK(CONCATENATE("http://www.spr.depen.pr.gov.br/centralvagas/exibirFoto.jpg?numProntuario=",$E73,"&amp;idImagem=5"),"FOTO 5")</f>
        <v>FOTO 5</v>
      </c>
      <c r="P73" s="199" t="str">
        <f>HYPERLINK(CONCATENATE("http://www.spr.depen.pr.gov.br/centralvagas/exibirFoto.jpg?numProntuario=",$E73,"&amp;idImagem=6"),"FOTO 6")</f>
        <v>FOTO 6</v>
      </c>
    </row>
    <row r="74" spans="1:16" ht="14.1" customHeight="1" thickTop="1" thickBot="1">
      <c r="A74" s="120"/>
      <c r="B74" s="228"/>
      <c r="C74" s="126" t="s">
        <v>898</v>
      </c>
      <c r="D74" s="122" t="s">
        <v>1997</v>
      </c>
      <c r="E74" s="117">
        <v>134657</v>
      </c>
      <c r="F74" s="116"/>
      <c r="G74" s="119"/>
      <c r="H74" s="116"/>
      <c r="I74" s="119"/>
      <c r="J74" s="116"/>
      <c r="K74" s="199" t="str">
        <f>HYPERLINK(CONCATENATE("http://www.spr.depen.pr.gov.br/centralvagas/exibirFoto.jpg?numProntuario=",$E74,"&amp;idImagem=1"),"FOTO 1")</f>
        <v>FOTO 1</v>
      </c>
      <c r="L74" s="199" t="str">
        <f>HYPERLINK(CONCATENATE("http://www.spr.depen.pr.gov.br/centralvagas/exibirFoto.jpg?numProntuario=",$E74,"&amp;idImagem=2"),"FOTO 2")</f>
        <v>FOTO 2</v>
      </c>
      <c r="M74" s="199" t="str">
        <f>HYPERLINK(CONCATENATE("http://www.spr.depen.pr.gov.br/centralvagas/exibirFoto.jpg?numProntuario=",$E74,"&amp;idImagem=3"),"FOTO 3")</f>
        <v>FOTO 3</v>
      </c>
      <c r="N74" s="199" t="str">
        <f>HYPERLINK(CONCATENATE("http://www.spr.depen.pr.gov.br/centralvagas/exibirFoto.jpg?numProntuario=",$E74,"&amp;idImagem=4"),"FOTO 4")</f>
        <v>FOTO 4</v>
      </c>
      <c r="O74" s="199" t="str">
        <f>HYPERLINK(CONCATENATE("http://www.spr.depen.pr.gov.br/centralvagas/exibirFoto.jpg?numProntuario=",$E74,"&amp;idImagem=5"),"FOTO 5")</f>
        <v>FOTO 5</v>
      </c>
      <c r="P74" s="199" t="str">
        <f>HYPERLINK(CONCATENATE("http://www.spr.depen.pr.gov.br/centralvagas/exibirFoto.jpg?numProntuario=",$E74,"&amp;idImagem=6"),"FOTO 6")</f>
        <v>FOTO 6</v>
      </c>
    </row>
    <row r="75" spans="1:16" ht="14.1" customHeight="1" thickTop="1" thickBot="1">
      <c r="A75" s="123"/>
      <c r="B75" s="319"/>
      <c r="C75" s="116" t="s">
        <v>898</v>
      </c>
      <c r="D75" s="129" t="s">
        <v>2797</v>
      </c>
      <c r="E75" s="117">
        <v>125102</v>
      </c>
      <c r="F75" s="116"/>
      <c r="G75" s="119"/>
      <c r="H75" s="116"/>
      <c r="I75" s="119"/>
      <c r="J75" s="116"/>
      <c r="K75" s="199" t="str">
        <f>HYPERLINK(CONCATENATE("http://www.spr.depen.pr.gov.br/centralvagas/exibirFoto.jpg?numProntuario=",$E75,"&amp;idImagem=1"),"FOTO 1")</f>
        <v>FOTO 1</v>
      </c>
      <c r="L75" s="199" t="str">
        <f>HYPERLINK(CONCATENATE("http://www.spr.depen.pr.gov.br/centralvagas/exibirFoto.jpg?numProntuario=",$E75,"&amp;idImagem=2"),"FOTO 2")</f>
        <v>FOTO 2</v>
      </c>
      <c r="M75" s="199" t="str">
        <f>HYPERLINK(CONCATENATE("http://www.spr.depen.pr.gov.br/centralvagas/exibirFoto.jpg?numProntuario=",$E75,"&amp;idImagem=3"),"FOTO 3")</f>
        <v>FOTO 3</v>
      </c>
      <c r="N75" s="199" t="str">
        <f>HYPERLINK(CONCATENATE("http://www.spr.depen.pr.gov.br/centralvagas/exibirFoto.jpg?numProntuario=",$E75,"&amp;idImagem=4"),"FOTO 4")</f>
        <v>FOTO 4</v>
      </c>
      <c r="O75" s="199" t="str">
        <f>HYPERLINK(CONCATENATE("http://www.spr.depen.pr.gov.br/centralvagas/exibirFoto.jpg?numProntuario=",$E75,"&amp;idImagem=5"),"FOTO 5")</f>
        <v>FOTO 5</v>
      </c>
      <c r="P75" s="199" t="str">
        <f>HYPERLINK(CONCATENATE("http://www.spr.depen.pr.gov.br/centralvagas/exibirFoto.jpg?numProntuario=",$E75,"&amp;idImagem=6"),"FOTO 6")</f>
        <v>FOTO 6</v>
      </c>
    </row>
    <row r="76" spans="1:16" ht="14.1" customHeight="1" thickTop="1" thickBot="1">
      <c r="A76" s="134"/>
      <c r="B76" s="319"/>
      <c r="C76" s="116" t="s">
        <v>898</v>
      </c>
      <c r="D76" s="129" t="s">
        <v>2791</v>
      </c>
      <c r="E76" s="117">
        <v>155641</v>
      </c>
      <c r="F76" s="116"/>
      <c r="G76" s="119"/>
      <c r="H76" s="116"/>
      <c r="I76" s="119"/>
      <c r="J76" s="116"/>
      <c r="K76" s="199" t="str">
        <f>HYPERLINK(CONCATENATE("http://www.spr.depen.pr.gov.br/centralvagas/exibirFoto.jpg?numProntuario=",$E76,"&amp;idImagem=1"),"FOTO 1")</f>
        <v>FOTO 1</v>
      </c>
      <c r="L76" s="199" t="str">
        <f>HYPERLINK(CONCATENATE("http://www.spr.depen.pr.gov.br/centralvagas/exibirFoto.jpg?numProntuario=",$E76,"&amp;idImagem=2"),"FOTO 2")</f>
        <v>FOTO 2</v>
      </c>
      <c r="M76" s="199" t="str">
        <f>HYPERLINK(CONCATENATE("http://www.spr.depen.pr.gov.br/centralvagas/exibirFoto.jpg?numProntuario=",$E76,"&amp;idImagem=3"),"FOTO 3")</f>
        <v>FOTO 3</v>
      </c>
      <c r="N76" s="199" t="str">
        <f>HYPERLINK(CONCATENATE("http://www.spr.depen.pr.gov.br/centralvagas/exibirFoto.jpg?numProntuario=",$E76,"&amp;idImagem=4"),"FOTO 4")</f>
        <v>FOTO 4</v>
      </c>
      <c r="O76" s="199" t="str">
        <f>HYPERLINK(CONCATENATE("http://www.spr.depen.pr.gov.br/centralvagas/exibirFoto.jpg?numProntuario=",$E76,"&amp;idImagem=5"),"FOTO 5")</f>
        <v>FOTO 5</v>
      </c>
      <c r="P76" s="199" t="str">
        <f>HYPERLINK(CONCATENATE("http://www.spr.depen.pr.gov.br/centralvagas/exibirFoto.jpg?numProntuario=",$E76,"&amp;idImagem=6"),"FOTO 6")</f>
        <v>FOTO 6</v>
      </c>
    </row>
    <row r="77" spans="1:16" ht="14.1" customHeight="1" thickTop="1" thickBot="1">
      <c r="A77" s="123"/>
      <c r="B77" s="245"/>
      <c r="C77" s="118" t="s">
        <v>871</v>
      </c>
      <c r="D77" s="131" t="s">
        <v>3617</v>
      </c>
      <c r="E77" s="117">
        <v>118717</v>
      </c>
      <c r="F77" s="116"/>
      <c r="G77" s="119"/>
      <c r="H77" s="116"/>
      <c r="I77" s="119"/>
      <c r="J77" s="132"/>
      <c r="K77" s="199" t="str">
        <f>HYPERLINK(CONCATENATE("http://www.spr.depen.pr.gov.br/centralvagas/exibirFoto.jpg?numProntuario=",$E77,"&amp;idImagem=1"),"FOTO 1")</f>
        <v>FOTO 1</v>
      </c>
      <c r="L77" s="199" t="str">
        <f>HYPERLINK(CONCATENATE("http://www.spr.depen.pr.gov.br/centralvagas/exibirFoto.jpg?numProntuario=",$E77,"&amp;idImagem=2"),"FOTO 2")</f>
        <v>FOTO 2</v>
      </c>
      <c r="M77" s="199" t="str">
        <f>HYPERLINK(CONCATENATE("http://www.spr.depen.pr.gov.br/centralvagas/exibirFoto.jpg?numProntuario=",$E77,"&amp;idImagem=3"),"FOTO 3")</f>
        <v>FOTO 3</v>
      </c>
      <c r="N77" s="199" t="str">
        <f>HYPERLINK(CONCATENATE("http://www.spr.depen.pr.gov.br/centralvagas/exibirFoto.jpg?numProntuario=",$E77,"&amp;idImagem=4"),"FOTO 4")</f>
        <v>FOTO 4</v>
      </c>
      <c r="O77" s="199" t="str">
        <f>HYPERLINK(CONCATENATE("http://www.spr.depen.pr.gov.br/centralvagas/exibirFoto.jpg?numProntuario=",$E77,"&amp;idImagem=5"),"FOTO 5")</f>
        <v>FOTO 5</v>
      </c>
      <c r="P77" s="199" t="str">
        <f>HYPERLINK(CONCATENATE("http://www.spr.depen.pr.gov.br/centralvagas/exibirFoto.jpg?numProntuario=",$E77,"&amp;idImagem=6"),"FOTO 6")</f>
        <v>FOTO 6</v>
      </c>
    </row>
    <row r="78" spans="1:16" ht="14.1" customHeight="1" thickTop="1" thickBot="1">
      <c r="A78" s="370"/>
      <c r="B78" s="254"/>
      <c r="C78" s="118" t="s">
        <v>871</v>
      </c>
      <c r="D78" s="122" t="s">
        <v>3583</v>
      </c>
      <c r="E78" s="325">
        <v>63468</v>
      </c>
      <c r="F78" s="145"/>
      <c r="G78" s="162"/>
      <c r="H78" s="116"/>
      <c r="I78" s="162"/>
      <c r="J78" s="116"/>
      <c r="K78" s="199" t="str">
        <f>HYPERLINK(CONCATENATE("http://www.spr.depen.pr.gov.br/centralvagas/exibirFoto.jpg?numProntuario=",$E78,"&amp;idImagem=1"),"FOTO 1")</f>
        <v>FOTO 1</v>
      </c>
      <c r="L78" s="199" t="str">
        <f>HYPERLINK(CONCATENATE("http://www.spr.depen.pr.gov.br/centralvagas/exibirFoto.jpg?numProntuario=",$E78,"&amp;idImagem=2"),"FOTO 2")</f>
        <v>FOTO 2</v>
      </c>
      <c r="M78" s="199" t="str">
        <f>HYPERLINK(CONCATENATE("http://www.spr.depen.pr.gov.br/centralvagas/exibirFoto.jpg?numProntuario=",$E78,"&amp;idImagem=3"),"FOTO 3")</f>
        <v>FOTO 3</v>
      </c>
      <c r="N78" s="199" t="str">
        <f>HYPERLINK(CONCATENATE("http://www.spr.depen.pr.gov.br/centralvagas/exibirFoto.jpg?numProntuario=",$E78,"&amp;idImagem=4"),"FOTO 4")</f>
        <v>FOTO 4</v>
      </c>
      <c r="O78" s="199" t="str">
        <f>HYPERLINK(CONCATENATE("http://www.spr.depen.pr.gov.br/centralvagas/exibirFoto.jpg?numProntuario=",$E78,"&amp;idImagem=5"),"FOTO 5")</f>
        <v>FOTO 5</v>
      </c>
      <c r="P78" s="199" t="str">
        <f>HYPERLINK(CONCATENATE("http://www.spr.depen.pr.gov.br/centralvagas/exibirFoto.jpg?numProntuario=",$E78,"&amp;idImagem=6"),"FOTO 6")</f>
        <v>FOTO 6</v>
      </c>
    </row>
    <row r="79" spans="1:16" ht="14.1" customHeight="1" thickTop="1" thickBot="1">
      <c r="A79" s="145"/>
      <c r="B79" s="147"/>
      <c r="C79" s="118" t="s">
        <v>871</v>
      </c>
      <c r="D79" s="122" t="s">
        <v>1969</v>
      </c>
      <c r="E79" s="117">
        <v>134272</v>
      </c>
      <c r="F79" s="116"/>
      <c r="G79" s="119"/>
      <c r="H79" s="116"/>
      <c r="I79" s="119"/>
      <c r="J79" s="116"/>
      <c r="K79" s="199" t="str">
        <f>HYPERLINK(CONCATENATE("http://www.spr.depen.pr.gov.br/centralvagas/exibirFoto.jpg?numProntuario=",$E79,"&amp;idImagem=1"),"FOTO 1")</f>
        <v>FOTO 1</v>
      </c>
      <c r="L79" s="199" t="str">
        <f>HYPERLINK(CONCATENATE("http://www.spr.depen.pr.gov.br/centralvagas/exibirFoto.jpg?numProntuario=",$E79,"&amp;idImagem=2"),"FOTO 2")</f>
        <v>FOTO 2</v>
      </c>
      <c r="M79" s="199" t="str">
        <f>HYPERLINK(CONCATENATE("http://www.spr.depen.pr.gov.br/centralvagas/exibirFoto.jpg?numProntuario=",$E79,"&amp;idImagem=3"),"FOTO 3")</f>
        <v>FOTO 3</v>
      </c>
      <c r="N79" s="199" t="str">
        <f>HYPERLINK(CONCATENATE("http://www.spr.depen.pr.gov.br/centralvagas/exibirFoto.jpg?numProntuario=",$E79,"&amp;idImagem=4"),"FOTO 4")</f>
        <v>FOTO 4</v>
      </c>
      <c r="O79" s="199" t="str">
        <f>HYPERLINK(CONCATENATE("http://www.spr.depen.pr.gov.br/centralvagas/exibirFoto.jpg?numProntuario=",$E79,"&amp;idImagem=5"),"FOTO 5")</f>
        <v>FOTO 5</v>
      </c>
      <c r="P79" s="199" t="str">
        <f>HYPERLINK(CONCATENATE("http://www.spr.depen.pr.gov.br/centralvagas/exibirFoto.jpg?numProntuario=",$E79,"&amp;idImagem=6"),"FOTO 6")</f>
        <v>FOTO 6</v>
      </c>
    </row>
    <row r="80" spans="1:16" ht="14.1" customHeight="1" thickTop="1" thickBot="1">
      <c r="A80" s="123"/>
      <c r="B80" s="245"/>
      <c r="C80" s="118" t="s">
        <v>871</v>
      </c>
      <c r="D80" s="131" t="s">
        <v>1998</v>
      </c>
      <c r="E80" s="117">
        <v>27201</v>
      </c>
      <c r="F80" s="116"/>
      <c r="G80" s="119"/>
      <c r="H80" s="116"/>
      <c r="I80" s="119"/>
      <c r="J80" s="132"/>
      <c r="K80" s="199" t="str">
        <f>HYPERLINK(CONCATENATE("http://www.spr.depen.pr.gov.br/centralvagas/exibirFoto.jpg?numProntuario=",$E80,"&amp;idImagem=1"),"FOTO 1")</f>
        <v>FOTO 1</v>
      </c>
      <c r="L80" s="199" t="str">
        <f>HYPERLINK(CONCATENATE("http://www.spr.depen.pr.gov.br/centralvagas/exibirFoto.jpg?numProntuario=",$E80,"&amp;idImagem=2"),"FOTO 2")</f>
        <v>FOTO 2</v>
      </c>
      <c r="M80" s="199" t="str">
        <f>HYPERLINK(CONCATENATE("http://www.spr.depen.pr.gov.br/centralvagas/exibirFoto.jpg?numProntuario=",$E80,"&amp;idImagem=3"),"FOTO 3")</f>
        <v>FOTO 3</v>
      </c>
      <c r="N80" s="199" t="str">
        <f>HYPERLINK(CONCATENATE("http://www.spr.depen.pr.gov.br/centralvagas/exibirFoto.jpg?numProntuario=",$E80,"&amp;idImagem=4"),"FOTO 4")</f>
        <v>FOTO 4</v>
      </c>
      <c r="O80" s="199" t="str">
        <f>HYPERLINK(CONCATENATE("http://www.spr.depen.pr.gov.br/centralvagas/exibirFoto.jpg?numProntuario=",$E80,"&amp;idImagem=5"),"FOTO 5")</f>
        <v>FOTO 5</v>
      </c>
      <c r="P80" s="199" t="str">
        <f>HYPERLINK(CONCATENATE("http://www.spr.depen.pr.gov.br/centralvagas/exibirFoto.jpg?numProntuario=",$E80,"&amp;idImagem=6"),"FOTO 6")</f>
        <v>FOTO 6</v>
      </c>
    </row>
    <row r="81" spans="1:16" ht="14.1" customHeight="1" thickTop="1" thickBot="1">
      <c r="A81" s="116"/>
      <c r="B81" s="127"/>
      <c r="C81" s="118" t="s">
        <v>871</v>
      </c>
      <c r="D81" s="122" t="s">
        <v>122</v>
      </c>
      <c r="E81" s="345">
        <v>68147</v>
      </c>
      <c r="F81" s="116"/>
      <c r="G81" s="119"/>
      <c r="H81" s="116"/>
      <c r="I81" s="119"/>
      <c r="J81" s="132"/>
      <c r="K81" s="199" t="str">
        <f>HYPERLINK(CONCATENATE("http://www.spr.depen.pr.gov.br/centralvagas/exibirFoto.jpg?numProntuario=",$E81,"&amp;idImagem=1"),"FOTO 1")</f>
        <v>FOTO 1</v>
      </c>
      <c r="L81" s="199" t="str">
        <f>HYPERLINK(CONCATENATE("http://www.spr.depen.pr.gov.br/centralvagas/exibirFoto.jpg?numProntuario=",$E81,"&amp;idImagem=2"),"FOTO 2")</f>
        <v>FOTO 2</v>
      </c>
      <c r="M81" s="199" t="str">
        <f>HYPERLINK(CONCATENATE("http://www.spr.depen.pr.gov.br/centralvagas/exibirFoto.jpg?numProntuario=",$E81,"&amp;idImagem=3"),"FOTO 3")</f>
        <v>FOTO 3</v>
      </c>
      <c r="N81" s="199" t="str">
        <f>HYPERLINK(CONCATENATE("http://www.spr.depen.pr.gov.br/centralvagas/exibirFoto.jpg?numProntuario=",$E81,"&amp;idImagem=4"),"FOTO 4")</f>
        <v>FOTO 4</v>
      </c>
      <c r="O81" s="199" t="str">
        <f>HYPERLINK(CONCATENATE("http://www.spr.depen.pr.gov.br/centralvagas/exibirFoto.jpg?numProntuario=",$E81,"&amp;idImagem=5"),"FOTO 5")</f>
        <v>FOTO 5</v>
      </c>
      <c r="P81" s="199" t="str">
        <f>HYPERLINK(CONCATENATE("http://www.spr.depen.pr.gov.br/centralvagas/exibirFoto.jpg?numProntuario=",$E81,"&amp;idImagem=6"),"FOTO 6")</f>
        <v>FOTO 6</v>
      </c>
    </row>
    <row r="82" spans="1:16" ht="14.1" customHeight="1" thickTop="1" thickBot="1">
      <c r="A82" s="134"/>
      <c r="B82" s="229"/>
      <c r="C82" s="116" t="s">
        <v>109</v>
      </c>
      <c r="D82" s="131" t="s">
        <v>3507</v>
      </c>
      <c r="E82" s="117">
        <v>492241</v>
      </c>
      <c r="F82" s="116"/>
      <c r="G82" s="119"/>
      <c r="H82" s="116"/>
      <c r="I82" s="119"/>
      <c r="J82" s="132"/>
      <c r="K82" s="199" t="str">
        <f>HYPERLINK(CONCATENATE("http://www.spr.depen.pr.gov.br/centralvagas/exibirFoto.jpg?numProntuario=",$E82,"&amp;idImagem=1"),"FOTO 1")</f>
        <v>FOTO 1</v>
      </c>
      <c r="L82" s="199" t="str">
        <f>HYPERLINK(CONCATENATE("http://www.spr.depen.pr.gov.br/centralvagas/exibirFoto.jpg?numProntuario=",$E82,"&amp;idImagem=2"),"FOTO 2")</f>
        <v>FOTO 2</v>
      </c>
      <c r="M82" s="199" t="str">
        <f>HYPERLINK(CONCATENATE("http://www.spr.depen.pr.gov.br/centralvagas/exibirFoto.jpg?numProntuario=",$E82,"&amp;idImagem=3"),"FOTO 3")</f>
        <v>FOTO 3</v>
      </c>
      <c r="N82" s="199" t="str">
        <f>HYPERLINK(CONCATENATE("http://www.spr.depen.pr.gov.br/centralvagas/exibirFoto.jpg?numProntuario=",$E82,"&amp;idImagem=4"),"FOTO 4")</f>
        <v>FOTO 4</v>
      </c>
      <c r="O82" s="199" t="str">
        <f>HYPERLINK(CONCATENATE("http://www.spr.depen.pr.gov.br/centralvagas/exibirFoto.jpg?numProntuario=",$E82,"&amp;idImagem=5"),"FOTO 5")</f>
        <v>FOTO 5</v>
      </c>
      <c r="P82" s="199" t="str">
        <f>HYPERLINK(CONCATENATE("http://www.spr.depen.pr.gov.br/centralvagas/exibirFoto.jpg?numProntuario=",$E82,"&amp;idImagem=6"),"FOTO 6")</f>
        <v>FOTO 6</v>
      </c>
    </row>
    <row r="83" spans="1:16" ht="14.1" customHeight="1" thickTop="1" thickBot="1">
      <c r="A83" s="123"/>
      <c r="B83" s="127"/>
      <c r="C83" s="116" t="s">
        <v>109</v>
      </c>
      <c r="D83" s="122" t="s">
        <v>1978</v>
      </c>
      <c r="E83" s="117">
        <v>123595</v>
      </c>
      <c r="F83" s="116"/>
      <c r="G83" s="119"/>
      <c r="H83" s="116"/>
      <c r="I83" s="119"/>
      <c r="J83" s="132"/>
      <c r="K83" s="199" t="str">
        <f>HYPERLINK(CONCATENATE("http://www.spr.depen.pr.gov.br/centralvagas/exibirFoto.jpg?numProntuario=",$E83,"&amp;idImagem=1"),"FOTO 1")</f>
        <v>FOTO 1</v>
      </c>
      <c r="L83" s="199" t="str">
        <f>HYPERLINK(CONCATENATE("http://www.spr.depen.pr.gov.br/centralvagas/exibirFoto.jpg?numProntuario=",$E83,"&amp;idImagem=2"),"FOTO 2")</f>
        <v>FOTO 2</v>
      </c>
      <c r="M83" s="199" t="str">
        <f>HYPERLINK(CONCATENATE("http://www.spr.depen.pr.gov.br/centralvagas/exibirFoto.jpg?numProntuario=",$E83,"&amp;idImagem=3"),"FOTO 3")</f>
        <v>FOTO 3</v>
      </c>
      <c r="N83" s="199" t="str">
        <f>HYPERLINK(CONCATENATE("http://www.spr.depen.pr.gov.br/centralvagas/exibirFoto.jpg?numProntuario=",$E83,"&amp;idImagem=4"),"FOTO 4")</f>
        <v>FOTO 4</v>
      </c>
      <c r="O83" s="199" t="str">
        <f>HYPERLINK(CONCATENATE("http://www.spr.depen.pr.gov.br/centralvagas/exibirFoto.jpg?numProntuario=",$E83,"&amp;idImagem=5"),"FOTO 5")</f>
        <v>FOTO 5</v>
      </c>
      <c r="P83" s="199" t="str">
        <f>HYPERLINK(CONCATENATE("http://www.spr.depen.pr.gov.br/centralvagas/exibirFoto.jpg?numProntuario=",$E83,"&amp;idImagem=6"),"FOTO 6")</f>
        <v>FOTO 6</v>
      </c>
    </row>
    <row r="84" spans="1:16" ht="14.1" customHeight="1" thickTop="1" thickBot="1">
      <c r="A84" s="370"/>
      <c r="B84" s="254"/>
      <c r="C84" s="118" t="s">
        <v>109</v>
      </c>
      <c r="D84" s="122" t="s">
        <v>1616</v>
      </c>
      <c r="E84" s="325">
        <v>102455</v>
      </c>
      <c r="F84" s="145"/>
      <c r="G84" s="162"/>
      <c r="H84" s="116"/>
      <c r="I84" s="162"/>
      <c r="J84" s="116"/>
      <c r="K84" s="199" t="str">
        <f>HYPERLINK(CONCATENATE("http://www.spr.depen.pr.gov.br/centralvagas/exibirFoto.jpg?numProntuario=",$E84,"&amp;idImagem=1"),"FOTO 1")</f>
        <v>FOTO 1</v>
      </c>
      <c r="L84" s="199" t="str">
        <f>HYPERLINK(CONCATENATE("http://www.spr.depen.pr.gov.br/centralvagas/exibirFoto.jpg?numProntuario=",$E84,"&amp;idImagem=2"),"FOTO 2")</f>
        <v>FOTO 2</v>
      </c>
      <c r="M84" s="199" t="str">
        <f>HYPERLINK(CONCATENATE("http://www.spr.depen.pr.gov.br/centralvagas/exibirFoto.jpg?numProntuario=",$E84,"&amp;idImagem=3"),"FOTO 3")</f>
        <v>FOTO 3</v>
      </c>
      <c r="N84" s="199" t="str">
        <f>HYPERLINK(CONCATENATE("http://www.spr.depen.pr.gov.br/centralvagas/exibirFoto.jpg?numProntuario=",$E84,"&amp;idImagem=4"),"FOTO 4")</f>
        <v>FOTO 4</v>
      </c>
      <c r="O84" s="199" t="str">
        <f>HYPERLINK(CONCATENATE("http://www.spr.depen.pr.gov.br/centralvagas/exibirFoto.jpg?numProntuario=",$E84,"&amp;idImagem=5"),"FOTO 5")</f>
        <v>FOTO 5</v>
      </c>
      <c r="P84" s="199" t="str">
        <f>HYPERLINK(CONCATENATE("http://www.spr.depen.pr.gov.br/centralvagas/exibirFoto.jpg?numProntuario=",$E84,"&amp;idImagem=6"),"FOTO 6")</f>
        <v>FOTO 6</v>
      </c>
    </row>
    <row r="85" spans="1:16" ht="14.1" customHeight="1" thickTop="1" thickBot="1">
      <c r="A85" s="123"/>
      <c r="B85" s="143"/>
      <c r="C85" s="116" t="s">
        <v>109</v>
      </c>
      <c r="D85" s="131" t="s">
        <v>3488</v>
      </c>
      <c r="E85" s="117">
        <v>196178</v>
      </c>
      <c r="F85" s="116"/>
      <c r="G85" s="119"/>
      <c r="H85" s="116"/>
      <c r="I85" s="119"/>
      <c r="J85" s="132"/>
      <c r="K85" s="199" t="str">
        <f>HYPERLINK(CONCATENATE("http://www.spr.depen.pr.gov.br/centralvagas/exibirFoto.jpg?numProntuario=",$E85,"&amp;idImagem=1"),"FOTO 1")</f>
        <v>FOTO 1</v>
      </c>
      <c r="L85" s="199" t="str">
        <f>HYPERLINK(CONCATENATE("http://www.spr.depen.pr.gov.br/centralvagas/exibirFoto.jpg?numProntuario=",$E85,"&amp;idImagem=2"),"FOTO 2")</f>
        <v>FOTO 2</v>
      </c>
      <c r="M85" s="199" t="str">
        <f>HYPERLINK(CONCATENATE("http://www.spr.depen.pr.gov.br/centralvagas/exibirFoto.jpg?numProntuario=",$E85,"&amp;idImagem=3"),"FOTO 3")</f>
        <v>FOTO 3</v>
      </c>
      <c r="N85" s="199" t="str">
        <f>HYPERLINK(CONCATENATE("http://www.spr.depen.pr.gov.br/centralvagas/exibirFoto.jpg?numProntuario=",$E85,"&amp;idImagem=4"),"FOTO 4")</f>
        <v>FOTO 4</v>
      </c>
      <c r="O85" s="199" t="str">
        <f>HYPERLINK(CONCATENATE("http://www.spr.depen.pr.gov.br/centralvagas/exibirFoto.jpg?numProntuario=",$E85,"&amp;idImagem=5"),"FOTO 5")</f>
        <v>FOTO 5</v>
      </c>
      <c r="P85" s="199" t="str">
        <f>HYPERLINK(CONCATENATE("http://www.spr.depen.pr.gov.br/centralvagas/exibirFoto.jpg?numProntuario=",$E85,"&amp;idImagem=6"),"FOTO 6")</f>
        <v>FOTO 6</v>
      </c>
    </row>
    <row r="86" spans="1:16" ht="14.1" customHeight="1" thickTop="1" thickBot="1">
      <c r="A86" s="152"/>
      <c r="B86" s="229"/>
      <c r="C86" s="116" t="s">
        <v>109</v>
      </c>
      <c r="D86" s="131" t="s">
        <v>2552</v>
      </c>
      <c r="E86" s="117">
        <v>102653</v>
      </c>
      <c r="F86" s="243"/>
      <c r="G86" s="119"/>
      <c r="H86" s="116"/>
      <c r="I86" s="119"/>
      <c r="J86" s="132"/>
      <c r="K86" s="199" t="str">
        <f>HYPERLINK(CONCATENATE("http://www.spr.depen.pr.gov.br/centralvagas/exibirFoto.jpg?numProntuario=",$E86,"&amp;idImagem=1"),"FOTO 1")</f>
        <v>FOTO 1</v>
      </c>
      <c r="L86" s="199" t="str">
        <f>HYPERLINK(CONCATENATE("http://www.spr.depen.pr.gov.br/centralvagas/exibirFoto.jpg?numProntuario=",$E86,"&amp;idImagem=2"),"FOTO 2")</f>
        <v>FOTO 2</v>
      </c>
      <c r="M86" s="199" t="str">
        <f>HYPERLINK(CONCATENATE("http://www.spr.depen.pr.gov.br/centralvagas/exibirFoto.jpg?numProntuario=",$E86,"&amp;idImagem=3"),"FOTO 3")</f>
        <v>FOTO 3</v>
      </c>
      <c r="N86" s="199" t="str">
        <f>HYPERLINK(CONCATENATE("http://www.spr.depen.pr.gov.br/centralvagas/exibirFoto.jpg?numProntuario=",$E86,"&amp;idImagem=4"),"FOTO 4")</f>
        <v>FOTO 4</v>
      </c>
      <c r="O86" s="199" t="str">
        <f>HYPERLINK(CONCATENATE("http://www.spr.depen.pr.gov.br/centralvagas/exibirFoto.jpg?numProntuario=",$E86,"&amp;idImagem=5"),"FOTO 5")</f>
        <v>FOTO 5</v>
      </c>
      <c r="P86" s="199" t="str">
        <f>HYPERLINK(CONCATENATE("http://www.spr.depen.pr.gov.br/centralvagas/exibirFoto.jpg?numProntuario=",$E86,"&amp;idImagem=6"),"FOTO 6")</f>
        <v>FOTO 6</v>
      </c>
    </row>
    <row r="87" spans="1:16" ht="14.1" customHeight="1" thickTop="1" thickBot="1">
      <c r="A87" s="123" t="s">
        <v>3452</v>
      </c>
      <c r="B87" s="229"/>
      <c r="C87" s="423" t="s">
        <v>1511</v>
      </c>
      <c r="D87" s="128" t="s">
        <v>3628</v>
      </c>
      <c r="E87" s="117">
        <v>27048</v>
      </c>
      <c r="F87" s="116"/>
      <c r="G87" s="119"/>
      <c r="H87" s="116"/>
      <c r="I87" s="119"/>
      <c r="J87" s="116"/>
      <c r="K87" s="199" t="str">
        <f>HYPERLINK(CONCATENATE("http://www.spr.depen.pr.gov.br/centralvagas/exibirFoto.jpg?numProntuario=",$E87,"&amp;idImagem=1"),"FOTO 1")</f>
        <v>FOTO 1</v>
      </c>
      <c r="L87" s="199" t="str">
        <f>HYPERLINK(CONCATENATE("http://www.spr.depen.pr.gov.br/centralvagas/exibirFoto.jpg?numProntuario=",$E87,"&amp;idImagem=2"),"FOTO 2")</f>
        <v>FOTO 2</v>
      </c>
      <c r="M87" s="199" t="str">
        <f>HYPERLINK(CONCATENATE("http://www.spr.depen.pr.gov.br/centralvagas/exibirFoto.jpg?numProntuario=",$E87,"&amp;idImagem=3"),"FOTO 3")</f>
        <v>FOTO 3</v>
      </c>
      <c r="N87" s="199" t="str">
        <f>HYPERLINK(CONCATENATE("http://www.spr.depen.pr.gov.br/centralvagas/exibirFoto.jpg?numProntuario=",$E87,"&amp;idImagem=4"),"FOTO 4")</f>
        <v>FOTO 4</v>
      </c>
      <c r="O87" s="199" t="str">
        <f>HYPERLINK(CONCATENATE("http://www.spr.depen.pr.gov.br/centralvagas/exibirFoto.jpg?numProntuario=",$E87,"&amp;idImagem=5"),"FOTO 5")</f>
        <v>FOTO 5</v>
      </c>
      <c r="P87" s="199" t="str">
        <f>HYPERLINK(CONCATENATE("http://www.spr.depen.pr.gov.br/centralvagas/exibirFoto.jpg?numProntuario=",$E87,"&amp;idImagem=6"),"FOTO 6")</f>
        <v>FOTO 6</v>
      </c>
    </row>
    <row r="88" spans="1:16" ht="14.1" customHeight="1" thickTop="1" thickBot="1">
      <c r="A88" s="118"/>
      <c r="B88" s="147"/>
      <c r="C88" s="116" t="s">
        <v>1511</v>
      </c>
      <c r="D88" s="122" t="s">
        <v>2584</v>
      </c>
      <c r="E88" s="117">
        <v>163793</v>
      </c>
      <c r="F88" s="116"/>
      <c r="G88" s="119"/>
      <c r="H88" s="116"/>
      <c r="I88" s="119"/>
      <c r="J88" s="132"/>
      <c r="K88" s="199" t="str">
        <f>HYPERLINK(CONCATENATE("http://www.spr.depen.pr.gov.br/centralvagas/exibirFoto.jpg?numProntuario=",$E88,"&amp;idImagem=1"),"FOTO 1")</f>
        <v>FOTO 1</v>
      </c>
      <c r="L88" s="199" t="str">
        <f>HYPERLINK(CONCATENATE("http://www.spr.depen.pr.gov.br/centralvagas/exibirFoto.jpg?numProntuario=",$E88,"&amp;idImagem=2"),"FOTO 2")</f>
        <v>FOTO 2</v>
      </c>
      <c r="M88" s="199" t="str">
        <f>HYPERLINK(CONCATENATE("http://www.spr.depen.pr.gov.br/centralvagas/exibirFoto.jpg?numProntuario=",$E88,"&amp;idImagem=3"),"FOTO 3")</f>
        <v>FOTO 3</v>
      </c>
      <c r="N88" s="199" t="str">
        <f>HYPERLINK(CONCATENATE("http://www.spr.depen.pr.gov.br/centralvagas/exibirFoto.jpg?numProntuario=",$E88,"&amp;idImagem=4"),"FOTO 4")</f>
        <v>FOTO 4</v>
      </c>
      <c r="O88" s="199" t="str">
        <f>HYPERLINK(CONCATENATE("http://www.spr.depen.pr.gov.br/centralvagas/exibirFoto.jpg?numProntuario=",$E88,"&amp;idImagem=5"),"FOTO 5")</f>
        <v>FOTO 5</v>
      </c>
      <c r="P88" s="199" t="str">
        <f>HYPERLINK(CONCATENATE("http://www.spr.depen.pr.gov.br/centralvagas/exibirFoto.jpg?numProntuario=",$E88,"&amp;idImagem=6"),"FOTO 6")</f>
        <v>FOTO 6</v>
      </c>
    </row>
    <row r="89" spans="1:16" ht="14.1" customHeight="1" thickTop="1" thickBot="1">
      <c r="A89" s="123" t="s">
        <v>3452</v>
      </c>
      <c r="B89" s="200"/>
      <c r="C89" s="118" t="s">
        <v>1511</v>
      </c>
      <c r="D89" s="122" t="s">
        <v>2863</v>
      </c>
      <c r="E89" s="466">
        <v>125640</v>
      </c>
      <c r="F89" s="133"/>
      <c r="G89" s="119"/>
      <c r="H89" s="116"/>
      <c r="I89" s="119"/>
      <c r="J89" s="116"/>
      <c r="K89" s="199" t="str">
        <f>HYPERLINK(CONCATENATE("http://www.spr.depen.pr.gov.br/centralvagas/exibirFoto.jpg?numProntuario=",$E89,"&amp;idImagem=1"),"FOTO 1")</f>
        <v>FOTO 1</v>
      </c>
      <c r="L89" s="199" t="str">
        <f>HYPERLINK(CONCATENATE("http://www.spr.depen.pr.gov.br/centralvagas/exibirFoto.jpg?numProntuario=",$E89,"&amp;idImagem=2"),"FOTO 2")</f>
        <v>FOTO 2</v>
      </c>
      <c r="M89" s="199" t="str">
        <f>HYPERLINK(CONCATENATE("http://www.spr.depen.pr.gov.br/centralvagas/exibirFoto.jpg?numProntuario=",$E89,"&amp;idImagem=3"),"FOTO 3")</f>
        <v>FOTO 3</v>
      </c>
      <c r="N89" s="199" t="str">
        <f>HYPERLINK(CONCATENATE("http://www.spr.depen.pr.gov.br/centralvagas/exibirFoto.jpg?numProntuario=",$E89,"&amp;idImagem=4"),"FOTO 4")</f>
        <v>FOTO 4</v>
      </c>
      <c r="O89" s="199" t="str">
        <f>HYPERLINK(CONCATENATE("http://www.spr.depen.pr.gov.br/centralvagas/exibirFoto.jpg?numProntuario=",$E89,"&amp;idImagem=5"),"FOTO 5")</f>
        <v>FOTO 5</v>
      </c>
      <c r="P89" s="199" t="str">
        <f>HYPERLINK(CONCATENATE("http://www.spr.depen.pr.gov.br/centralvagas/exibirFoto.jpg?numProntuario=",$E89,"&amp;idImagem=6"),"FOTO 6")</f>
        <v>FOTO 6</v>
      </c>
    </row>
    <row r="90" spans="1:16" ht="14.1" customHeight="1" thickTop="1" thickBot="1">
      <c r="A90" s="123"/>
      <c r="B90" s="245"/>
      <c r="C90" s="118" t="s">
        <v>1511</v>
      </c>
      <c r="D90" s="131" t="s">
        <v>3367</v>
      </c>
      <c r="E90" s="117">
        <v>63553</v>
      </c>
      <c r="F90" s="116"/>
      <c r="G90" s="119"/>
      <c r="H90" s="116"/>
      <c r="I90" s="119"/>
      <c r="J90" s="132"/>
      <c r="K90" s="199" t="str">
        <f>HYPERLINK(CONCATENATE("http://www.spr.depen.pr.gov.br/centralvagas/exibirFoto.jpg?numProntuario=",$E90,"&amp;idImagem=1"),"FOTO 1")</f>
        <v>FOTO 1</v>
      </c>
      <c r="L90" s="199" t="str">
        <f>HYPERLINK(CONCATENATE("http://www.spr.depen.pr.gov.br/centralvagas/exibirFoto.jpg?numProntuario=",$E90,"&amp;idImagem=2"),"FOTO 2")</f>
        <v>FOTO 2</v>
      </c>
      <c r="M90" s="199" t="str">
        <f>HYPERLINK(CONCATENATE("http://www.spr.depen.pr.gov.br/centralvagas/exibirFoto.jpg?numProntuario=",$E90,"&amp;idImagem=3"),"FOTO 3")</f>
        <v>FOTO 3</v>
      </c>
      <c r="N90" s="199" t="str">
        <f>HYPERLINK(CONCATENATE("http://www.spr.depen.pr.gov.br/centralvagas/exibirFoto.jpg?numProntuario=",$E90,"&amp;idImagem=4"),"FOTO 4")</f>
        <v>FOTO 4</v>
      </c>
      <c r="O90" s="199" t="str">
        <f>HYPERLINK(CONCATENATE("http://www.spr.depen.pr.gov.br/centralvagas/exibirFoto.jpg?numProntuario=",$E90,"&amp;idImagem=5"),"FOTO 5")</f>
        <v>FOTO 5</v>
      </c>
      <c r="P90" s="199" t="str">
        <f>HYPERLINK(CONCATENATE("http://www.spr.depen.pr.gov.br/centralvagas/exibirFoto.jpg?numProntuario=",$E90,"&amp;idImagem=6"),"FOTO 6")</f>
        <v>FOTO 6</v>
      </c>
    </row>
    <row r="91" spans="1:16" ht="14.1" customHeight="1" thickTop="1" thickBot="1">
      <c r="A91" s="134"/>
      <c r="B91" s="229"/>
      <c r="C91" s="116" t="s">
        <v>1511</v>
      </c>
      <c r="D91" s="122" t="s">
        <v>2653</v>
      </c>
      <c r="E91" s="117">
        <v>132445</v>
      </c>
      <c r="F91" s="243"/>
      <c r="G91" s="244"/>
      <c r="H91" s="116"/>
      <c r="I91" s="119"/>
      <c r="J91" s="116"/>
      <c r="K91" s="199" t="str">
        <f>HYPERLINK(CONCATENATE("http://www.spr.depen.pr.gov.br/centralvagas/exibirFoto.jpg?numProntuario=",$E91,"&amp;idImagem=1"),"FOTO 1")</f>
        <v>FOTO 1</v>
      </c>
      <c r="L91" s="199" t="str">
        <f>HYPERLINK(CONCATENATE("http://www.spr.depen.pr.gov.br/centralvagas/exibirFoto.jpg?numProntuario=",$E91,"&amp;idImagem=2"),"FOTO 2")</f>
        <v>FOTO 2</v>
      </c>
      <c r="M91" s="199" t="str">
        <f>HYPERLINK(CONCATENATE("http://www.spr.depen.pr.gov.br/centralvagas/exibirFoto.jpg?numProntuario=",$E91,"&amp;idImagem=3"),"FOTO 3")</f>
        <v>FOTO 3</v>
      </c>
      <c r="N91" s="199" t="str">
        <f>HYPERLINK(CONCATENATE("http://www.spr.depen.pr.gov.br/centralvagas/exibirFoto.jpg?numProntuario=",$E91,"&amp;idImagem=4"),"FOTO 4")</f>
        <v>FOTO 4</v>
      </c>
      <c r="O91" s="199" t="str">
        <f>HYPERLINK(CONCATENATE("http://www.spr.depen.pr.gov.br/centralvagas/exibirFoto.jpg?numProntuario=",$E91,"&amp;idImagem=5"),"FOTO 5")</f>
        <v>FOTO 5</v>
      </c>
      <c r="P91" s="199" t="str">
        <f>HYPERLINK(CONCATENATE("http://www.spr.depen.pr.gov.br/centralvagas/exibirFoto.jpg?numProntuario=",$E91,"&amp;idImagem=6"),"FOTO 6")</f>
        <v>FOTO 6</v>
      </c>
    </row>
    <row r="92" spans="1:16" ht="14.1" customHeight="1" thickTop="1" thickBot="1">
      <c r="A92" s="362" t="s">
        <v>3724</v>
      </c>
      <c r="B92" s="419"/>
      <c r="C92" s="418" t="s">
        <v>2497</v>
      </c>
      <c r="D92" s="231" t="s">
        <v>2695</v>
      </c>
      <c r="E92" s="117">
        <v>120477</v>
      </c>
      <c r="F92" s="116"/>
      <c r="G92" s="119"/>
      <c r="H92" s="116"/>
      <c r="I92" s="119"/>
      <c r="J92" s="116"/>
      <c r="K92" s="199" t="str">
        <f>HYPERLINK(CONCATENATE("http://www.spr.depen.pr.gov.br/centralvagas/exibirFoto.jpg?numProntuario=",$E92,"&amp;idImagem=1"),"FOTO 1")</f>
        <v>FOTO 1</v>
      </c>
      <c r="L92" s="199" t="str">
        <f>HYPERLINK(CONCATENATE("http://www.spr.depen.pr.gov.br/centralvagas/exibirFoto.jpg?numProntuario=",$E92,"&amp;idImagem=2"),"FOTO 2")</f>
        <v>FOTO 2</v>
      </c>
      <c r="M92" s="199" t="str">
        <f>HYPERLINK(CONCATENATE("http://www.spr.depen.pr.gov.br/centralvagas/exibirFoto.jpg?numProntuario=",$E92,"&amp;idImagem=3"),"FOTO 3")</f>
        <v>FOTO 3</v>
      </c>
      <c r="N92" s="199" t="str">
        <f>HYPERLINK(CONCATENATE("http://www.spr.depen.pr.gov.br/centralvagas/exibirFoto.jpg?numProntuario=",$E92,"&amp;idImagem=4"),"FOTO 4")</f>
        <v>FOTO 4</v>
      </c>
      <c r="O92" s="199" t="str">
        <f>HYPERLINK(CONCATENATE("http://www.spr.depen.pr.gov.br/centralvagas/exibirFoto.jpg?numProntuario=",$E92,"&amp;idImagem=5"),"FOTO 5")</f>
        <v>FOTO 5</v>
      </c>
      <c r="P92" s="199" t="str">
        <f>HYPERLINK(CONCATENATE("http://www.spr.depen.pr.gov.br/centralvagas/exibirFoto.jpg?numProntuario=",$E92,"&amp;idImagem=6"),"FOTO 6")</f>
        <v>FOTO 6</v>
      </c>
    </row>
    <row r="93" spans="1:16" ht="14.1" customHeight="1" thickTop="1" thickBot="1">
      <c r="A93" s="123" t="s">
        <v>3452</v>
      </c>
      <c r="B93" s="228"/>
      <c r="C93" s="118" t="s">
        <v>2497</v>
      </c>
      <c r="D93" s="122" t="s">
        <v>304</v>
      </c>
      <c r="E93" s="117">
        <v>27029</v>
      </c>
      <c r="F93" s="116"/>
      <c r="G93" s="119"/>
      <c r="H93" s="116"/>
      <c r="I93" s="119"/>
      <c r="J93" s="116"/>
      <c r="K93" s="199" t="str">
        <f>HYPERLINK(CONCATENATE("http://www.spr.depen.pr.gov.br/centralvagas/exibirFoto.jpg?numProntuario=",$E93,"&amp;idImagem=1"),"FOTO 1")</f>
        <v>FOTO 1</v>
      </c>
      <c r="L93" s="199" t="str">
        <f>HYPERLINK(CONCATENATE("http://www.spr.depen.pr.gov.br/centralvagas/exibirFoto.jpg?numProntuario=",$E93,"&amp;idImagem=2"),"FOTO 2")</f>
        <v>FOTO 2</v>
      </c>
      <c r="M93" s="199" t="str">
        <f>HYPERLINK(CONCATENATE("http://www.spr.depen.pr.gov.br/centralvagas/exibirFoto.jpg?numProntuario=",$E93,"&amp;idImagem=3"),"FOTO 3")</f>
        <v>FOTO 3</v>
      </c>
      <c r="N93" s="199" t="str">
        <f>HYPERLINK(CONCATENATE("http://www.spr.depen.pr.gov.br/centralvagas/exibirFoto.jpg?numProntuario=",$E93,"&amp;idImagem=4"),"FOTO 4")</f>
        <v>FOTO 4</v>
      </c>
      <c r="O93" s="199" t="str">
        <f>HYPERLINK(CONCATENATE("http://www.spr.depen.pr.gov.br/centralvagas/exibirFoto.jpg?numProntuario=",$E93,"&amp;idImagem=5"),"FOTO 5")</f>
        <v>FOTO 5</v>
      </c>
      <c r="P93" s="199" t="str">
        <f>HYPERLINK(CONCATENATE("http://www.spr.depen.pr.gov.br/centralvagas/exibirFoto.jpg?numProntuario=",$E93,"&amp;idImagem=6"),"FOTO 6")</f>
        <v>FOTO 6</v>
      </c>
    </row>
    <row r="94" spans="1:16" ht="14.1" customHeight="1" thickTop="1" thickBot="1">
      <c r="A94" s="123"/>
      <c r="B94" s="228"/>
      <c r="C94" s="118" t="s">
        <v>2497</v>
      </c>
      <c r="D94" s="130" t="s">
        <v>2669</v>
      </c>
      <c r="E94" s="117">
        <v>144518</v>
      </c>
      <c r="F94" s="116"/>
      <c r="G94" s="119"/>
      <c r="H94" s="116"/>
      <c r="I94" s="119"/>
      <c r="J94" s="116"/>
      <c r="K94" s="199" t="str">
        <f>HYPERLINK(CONCATENATE("http://www.spr.depen.pr.gov.br/centralvagas/exibirFoto.jpg?numProntuario=",$E94,"&amp;idImagem=1"),"FOTO 1")</f>
        <v>FOTO 1</v>
      </c>
      <c r="L94" s="199" t="str">
        <f>HYPERLINK(CONCATENATE("http://www.spr.depen.pr.gov.br/centralvagas/exibirFoto.jpg?numProntuario=",$E94,"&amp;idImagem=2"),"FOTO 2")</f>
        <v>FOTO 2</v>
      </c>
      <c r="M94" s="199" t="str">
        <f>HYPERLINK(CONCATENATE("http://www.spr.depen.pr.gov.br/centralvagas/exibirFoto.jpg?numProntuario=",$E94,"&amp;idImagem=3"),"FOTO 3")</f>
        <v>FOTO 3</v>
      </c>
      <c r="N94" s="199" t="str">
        <f>HYPERLINK(CONCATENATE("http://www.spr.depen.pr.gov.br/centralvagas/exibirFoto.jpg?numProntuario=",$E94,"&amp;idImagem=4"),"FOTO 4")</f>
        <v>FOTO 4</v>
      </c>
      <c r="O94" s="199" t="str">
        <f>HYPERLINK(CONCATENATE("http://www.spr.depen.pr.gov.br/centralvagas/exibirFoto.jpg?numProntuario=",$E94,"&amp;idImagem=5"),"FOTO 5")</f>
        <v>FOTO 5</v>
      </c>
      <c r="P94" s="199" t="str">
        <f>HYPERLINK(CONCATENATE("http://www.spr.depen.pr.gov.br/centralvagas/exibirFoto.jpg?numProntuario=",$E94,"&amp;idImagem=6"),"FOTO 6")</f>
        <v>FOTO 6</v>
      </c>
    </row>
    <row r="95" spans="1:16" ht="14.1" customHeight="1" thickTop="1" thickBot="1">
      <c r="A95" s="207"/>
      <c r="B95" s="147"/>
      <c r="C95" s="116" t="s">
        <v>2497</v>
      </c>
      <c r="D95" s="130" t="s">
        <v>2089</v>
      </c>
      <c r="E95" s="117">
        <v>55627</v>
      </c>
      <c r="F95" s="116"/>
      <c r="G95" s="162"/>
      <c r="H95" s="262"/>
      <c r="I95" s="136"/>
      <c r="J95" s="145"/>
      <c r="K95" s="199" t="str">
        <f>HYPERLINK(CONCATENATE("http://www.spr.depen.pr.gov.br/centralvagas/exibirFoto.jpg?numProntuario=",$E95,"&amp;idImagem=1"),"FOTO 1")</f>
        <v>FOTO 1</v>
      </c>
      <c r="L95" s="199" t="str">
        <f>HYPERLINK(CONCATENATE("http://www.spr.depen.pr.gov.br/centralvagas/exibirFoto.jpg?numProntuario=",$E95,"&amp;idImagem=2"),"FOTO 2")</f>
        <v>FOTO 2</v>
      </c>
      <c r="M95" s="199" t="str">
        <f>HYPERLINK(CONCATENATE("http://www.spr.depen.pr.gov.br/centralvagas/exibirFoto.jpg?numProntuario=",$E95,"&amp;idImagem=3"),"FOTO 3")</f>
        <v>FOTO 3</v>
      </c>
      <c r="N95" s="199" t="str">
        <f>HYPERLINK(CONCATENATE("http://www.spr.depen.pr.gov.br/centralvagas/exibirFoto.jpg?numProntuario=",$E95,"&amp;idImagem=4"),"FOTO 4")</f>
        <v>FOTO 4</v>
      </c>
      <c r="O95" s="199" t="str">
        <f>HYPERLINK(CONCATENATE("http://www.spr.depen.pr.gov.br/centralvagas/exibirFoto.jpg?numProntuario=",$E95,"&amp;idImagem=5"),"FOTO 5")</f>
        <v>FOTO 5</v>
      </c>
      <c r="P95" s="199" t="str">
        <f>HYPERLINK(CONCATENATE("http://www.spr.depen.pr.gov.br/centralvagas/exibirFoto.jpg?numProntuario=",$E95,"&amp;idImagem=6"),"FOTO 6")</f>
        <v>FOTO 6</v>
      </c>
    </row>
    <row r="96" spans="1:16" ht="14.1" customHeight="1" thickTop="1" thickBot="1">
      <c r="A96" s="123"/>
      <c r="B96" s="127"/>
      <c r="C96" s="116" t="s">
        <v>2497</v>
      </c>
      <c r="D96" s="122" t="s">
        <v>3645</v>
      </c>
      <c r="E96" s="117">
        <v>156632</v>
      </c>
      <c r="F96" s="116"/>
      <c r="G96" s="119"/>
      <c r="H96" s="116"/>
      <c r="I96" s="119"/>
      <c r="J96" s="132"/>
      <c r="K96" s="199" t="str">
        <f>HYPERLINK(CONCATENATE("http://www.spr.depen.pr.gov.br/centralvagas/exibirFoto.jpg?numProntuario=",$E96,"&amp;idImagem=1"),"FOTO 1")</f>
        <v>FOTO 1</v>
      </c>
      <c r="L96" s="199" t="str">
        <f>HYPERLINK(CONCATENATE("http://www.spr.depen.pr.gov.br/centralvagas/exibirFoto.jpg?numProntuario=",$E96,"&amp;idImagem=2"),"FOTO 2")</f>
        <v>FOTO 2</v>
      </c>
      <c r="M96" s="199" t="str">
        <f>HYPERLINK(CONCATENATE("http://www.spr.depen.pr.gov.br/centralvagas/exibirFoto.jpg?numProntuario=",$E96,"&amp;idImagem=3"),"FOTO 3")</f>
        <v>FOTO 3</v>
      </c>
      <c r="N96" s="199" t="str">
        <f>HYPERLINK(CONCATENATE("http://www.spr.depen.pr.gov.br/centralvagas/exibirFoto.jpg?numProntuario=",$E96,"&amp;idImagem=4"),"FOTO 4")</f>
        <v>FOTO 4</v>
      </c>
      <c r="O96" s="199" t="str">
        <f>HYPERLINK(CONCATENATE("http://www.spr.depen.pr.gov.br/centralvagas/exibirFoto.jpg?numProntuario=",$E96,"&amp;idImagem=5"),"FOTO 5")</f>
        <v>FOTO 5</v>
      </c>
      <c r="P96" s="199" t="str">
        <f>HYPERLINK(CONCATENATE("http://www.spr.depen.pr.gov.br/centralvagas/exibirFoto.jpg?numProntuario=",$E96,"&amp;idImagem=6"),"FOTO 6")</f>
        <v>FOTO 6</v>
      </c>
    </row>
    <row r="97" spans="1:16" ht="14.1" customHeight="1" thickTop="1" thickBot="1">
      <c r="A97" s="368"/>
      <c r="B97" s="369"/>
      <c r="C97" s="116" t="s">
        <v>2685</v>
      </c>
      <c r="D97" s="131" t="s">
        <v>2723</v>
      </c>
      <c r="E97" s="117">
        <v>51540</v>
      </c>
      <c r="F97" s="145"/>
      <c r="G97" s="119"/>
      <c r="H97" s="116"/>
      <c r="I97" s="162"/>
      <c r="J97" s="116"/>
      <c r="K97" s="199" t="str">
        <f>HYPERLINK(CONCATENATE("http://www.spr.depen.pr.gov.br/centralvagas/exibirFoto.jpg?numProntuario=",$E97,"&amp;idImagem=1"),"FOTO 1")</f>
        <v>FOTO 1</v>
      </c>
      <c r="L97" s="199" t="str">
        <f>HYPERLINK(CONCATENATE("http://www.spr.depen.pr.gov.br/centralvagas/exibirFoto.jpg?numProntuario=",$E97,"&amp;idImagem=2"),"FOTO 2")</f>
        <v>FOTO 2</v>
      </c>
      <c r="M97" s="199" t="str">
        <f>HYPERLINK(CONCATENATE("http://www.spr.depen.pr.gov.br/centralvagas/exibirFoto.jpg?numProntuario=",$E97,"&amp;idImagem=3"),"FOTO 3")</f>
        <v>FOTO 3</v>
      </c>
      <c r="N97" s="199" t="str">
        <f>HYPERLINK(CONCATENATE("http://www.spr.depen.pr.gov.br/centralvagas/exibirFoto.jpg?numProntuario=",$E97,"&amp;idImagem=4"),"FOTO 4")</f>
        <v>FOTO 4</v>
      </c>
      <c r="O97" s="199" t="str">
        <f>HYPERLINK(CONCATENATE("http://www.spr.depen.pr.gov.br/centralvagas/exibirFoto.jpg?numProntuario=",$E97,"&amp;idImagem=5"),"FOTO 5")</f>
        <v>FOTO 5</v>
      </c>
      <c r="P97" s="199" t="str">
        <f>HYPERLINK(CONCATENATE("http://www.spr.depen.pr.gov.br/centralvagas/exibirFoto.jpg?numProntuario=",$E97,"&amp;idImagem=6"),"FOTO 6")</f>
        <v>FOTO 6</v>
      </c>
    </row>
    <row r="98" spans="1:16" ht="14.1" customHeight="1" thickTop="1" thickBot="1">
      <c r="A98" s="573"/>
      <c r="B98" s="228"/>
      <c r="C98" s="116" t="s">
        <v>2685</v>
      </c>
      <c r="D98" s="122" t="s">
        <v>2647</v>
      </c>
      <c r="E98" s="117">
        <v>102425</v>
      </c>
      <c r="F98" s="116"/>
      <c r="G98" s="119"/>
      <c r="H98" s="116"/>
      <c r="I98" s="119"/>
      <c r="J98" s="116"/>
      <c r="K98" s="199" t="str">
        <f>HYPERLINK(CONCATENATE("http://www.spr.depen.pr.gov.br/centralvagas/exibirFoto.jpg?numProntuario=",$E98,"&amp;idImagem=1"),"FOTO 1")</f>
        <v>FOTO 1</v>
      </c>
      <c r="L98" s="199" t="str">
        <f>HYPERLINK(CONCATENATE("http://www.spr.depen.pr.gov.br/centralvagas/exibirFoto.jpg?numProntuario=",$E98,"&amp;idImagem=2"),"FOTO 2")</f>
        <v>FOTO 2</v>
      </c>
      <c r="M98" s="199" t="str">
        <f>HYPERLINK(CONCATENATE("http://www.spr.depen.pr.gov.br/centralvagas/exibirFoto.jpg?numProntuario=",$E98,"&amp;idImagem=3"),"FOTO 3")</f>
        <v>FOTO 3</v>
      </c>
      <c r="N98" s="199" t="str">
        <f>HYPERLINK(CONCATENATE("http://www.spr.depen.pr.gov.br/centralvagas/exibirFoto.jpg?numProntuario=",$E98,"&amp;idImagem=4"),"FOTO 4")</f>
        <v>FOTO 4</v>
      </c>
      <c r="O98" s="199" t="str">
        <f>HYPERLINK(CONCATENATE("http://www.spr.depen.pr.gov.br/centralvagas/exibirFoto.jpg?numProntuario=",$E98,"&amp;idImagem=5"),"FOTO 5")</f>
        <v>FOTO 5</v>
      </c>
      <c r="P98" s="199" t="str">
        <f>HYPERLINK(CONCATENATE("http://www.spr.depen.pr.gov.br/centralvagas/exibirFoto.jpg?numProntuario=",$E98,"&amp;idImagem=6"),"FOTO 6")</f>
        <v>FOTO 6</v>
      </c>
    </row>
    <row r="99" spans="1:16" ht="14.1" customHeight="1" thickTop="1" thickBot="1">
      <c r="A99" s="123"/>
      <c r="B99" s="391"/>
      <c r="C99" s="118" t="s">
        <v>2685</v>
      </c>
      <c r="D99" s="131" t="s">
        <v>2489</v>
      </c>
      <c r="E99" s="117">
        <v>121215</v>
      </c>
      <c r="F99" s="116"/>
      <c r="G99" s="119"/>
      <c r="H99" s="116"/>
      <c r="I99" s="119"/>
      <c r="J99" s="116"/>
      <c r="K99" s="199" t="str">
        <f>HYPERLINK(CONCATENATE("http://www.spr.depen.pr.gov.br/centralvagas/exibirFoto.jpg?numProntuario=",$E99,"&amp;idImagem=1"),"FOTO 1")</f>
        <v>FOTO 1</v>
      </c>
      <c r="L99" s="199" t="str">
        <f>HYPERLINK(CONCATENATE("http://www.spr.depen.pr.gov.br/centralvagas/exibirFoto.jpg?numProntuario=",$E99,"&amp;idImagem=2"),"FOTO 2")</f>
        <v>FOTO 2</v>
      </c>
      <c r="M99" s="199" t="str">
        <f>HYPERLINK(CONCATENATE("http://www.spr.depen.pr.gov.br/centralvagas/exibirFoto.jpg?numProntuario=",$E99,"&amp;idImagem=3"),"FOTO 3")</f>
        <v>FOTO 3</v>
      </c>
      <c r="N99" s="199" t="str">
        <f>HYPERLINK(CONCATENATE("http://www.spr.depen.pr.gov.br/centralvagas/exibirFoto.jpg?numProntuario=",$E99,"&amp;idImagem=4"),"FOTO 4")</f>
        <v>FOTO 4</v>
      </c>
      <c r="O99" s="199" t="str">
        <f>HYPERLINK(CONCATENATE("http://www.spr.depen.pr.gov.br/centralvagas/exibirFoto.jpg?numProntuario=",$E99,"&amp;idImagem=5"),"FOTO 5")</f>
        <v>FOTO 5</v>
      </c>
      <c r="P99" s="199" t="str">
        <f>HYPERLINK(CONCATENATE("http://www.spr.depen.pr.gov.br/centralvagas/exibirFoto.jpg?numProntuario=",$E99,"&amp;idImagem=6"),"FOTO 6")</f>
        <v>FOTO 6</v>
      </c>
    </row>
    <row r="100" spans="1:16" ht="14.1" customHeight="1" thickTop="1" thickBot="1">
      <c r="A100" s="116" t="s">
        <v>2775</v>
      </c>
      <c r="B100" s="143"/>
      <c r="C100" s="116" t="s">
        <v>2685</v>
      </c>
      <c r="D100" s="122" t="s">
        <v>1806</v>
      </c>
      <c r="E100" s="117">
        <v>101218</v>
      </c>
      <c r="F100" s="116"/>
      <c r="G100" s="119"/>
      <c r="H100" s="116"/>
      <c r="I100" s="119"/>
      <c r="J100" s="116"/>
      <c r="K100" s="199" t="str">
        <f>HYPERLINK(CONCATENATE("http://www.spr.depen.pr.gov.br/centralvagas/exibirFoto.jpg?numProntuario=",$E100,"&amp;idImagem=1"),"FOTO 1")</f>
        <v>FOTO 1</v>
      </c>
      <c r="L100" s="199" t="str">
        <f>HYPERLINK(CONCATENATE("http://www.spr.depen.pr.gov.br/centralvagas/exibirFoto.jpg?numProntuario=",$E100,"&amp;idImagem=2"),"FOTO 2")</f>
        <v>FOTO 2</v>
      </c>
      <c r="M100" s="199" t="str">
        <f>HYPERLINK(CONCATENATE("http://www.spr.depen.pr.gov.br/centralvagas/exibirFoto.jpg?numProntuario=",$E100,"&amp;idImagem=3"),"FOTO 3")</f>
        <v>FOTO 3</v>
      </c>
      <c r="N100" s="199" t="str">
        <f>HYPERLINK(CONCATENATE("http://www.spr.depen.pr.gov.br/centralvagas/exibirFoto.jpg?numProntuario=",$E100,"&amp;idImagem=4"),"FOTO 4")</f>
        <v>FOTO 4</v>
      </c>
      <c r="O100" s="199" t="str">
        <f>HYPERLINK(CONCATENATE("http://www.spr.depen.pr.gov.br/centralvagas/exibirFoto.jpg?numProntuario=",$E100,"&amp;idImagem=5"),"FOTO 5")</f>
        <v>FOTO 5</v>
      </c>
      <c r="P100" s="199" t="str">
        <f>HYPERLINK(CONCATENATE("http://www.spr.depen.pr.gov.br/centralvagas/exibirFoto.jpg?numProntuario=",$E100,"&amp;idImagem=6"),"FOTO 6")</f>
        <v>FOTO 6</v>
      </c>
    </row>
    <row r="101" spans="1:16" ht="14.1" customHeight="1" thickTop="1" thickBot="1">
      <c r="A101" s="116" t="s">
        <v>3614</v>
      </c>
      <c r="B101" s="143"/>
      <c r="C101" s="118" t="s">
        <v>178</v>
      </c>
      <c r="D101" s="122" t="s">
        <v>2249</v>
      </c>
      <c r="E101" s="117">
        <v>24171</v>
      </c>
      <c r="F101" s="116"/>
      <c r="G101" s="119"/>
      <c r="H101" s="116"/>
      <c r="I101" s="119"/>
      <c r="J101" s="132"/>
      <c r="K101" s="199" t="str">
        <f>HYPERLINK(CONCATENATE("http://www.spr.depen.pr.gov.br/centralvagas/exibirFoto.jpg?numProntuario=",$E101,"&amp;idImagem=1"),"FOTO 1")</f>
        <v>FOTO 1</v>
      </c>
      <c r="L101" s="199" t="str">
        <f>HYPERLINK(CONCATENATE("http://www.spr.depen.pr.gov.br/centralvagas/exibirFoto.jpg?numProntuario=",$E101,"&amp;idImagem=2"),"FOTO 2")</f>
        <v>FOTO 2</v>
      </c>
      <c r="M101" s="199" t="str">
        <f>HYPERLINK(CONCATENATE("http://www.spr.depen.pr.gov.br/centralvagas/exibirFoto.jpg?numProntuario=",$E101,"&amp;idImagem=3"),"FOTO 3")</f>
        <v>FOTO 3</v>
      </c>
      <c r="N101" s="199" t="str">
        <f>HYPERLINK(CONCATENATE("http://www.spr.depen.pr.gov.br/centralvagas/exibirFoto.jpg?numProntuario=",$E101,"&amp;idImagem=4"),"FOTO 4")</f>
        <v>FOTO 4</v>
      </c>
      <c r="O101" s="199" t="str">
        <f>HYPERLINK(CONCATENATE("http://www.spr.depen.pr.gov.br/centralvagas/exibirFoto.jpg?numProntuario=",$E101,"&amp;idImagem=5"),"FOTO 5")</f>
        <v>FOTO 5</v>
      </c>
      <c r="P101" s="199" t="str">
        <f>HYPERLINK(CONCATENATE("http://www.spr.depen.pr.gov.br/centralvagas/exibirFoto.jpg?numProntuario=",$E101,"&amp;idImagem=6"),"FOTO 6")</f>
        <v>FOTO 6</v>
      </c>
    </row>
    <row r="102" spans="1:16" ht="14.1" customHeight="1" thickTop="1" thickBot="1">
      <c r="A102" s="116" t="s">
        <v>3614</v>
      </c>
      <c r="B102" s="143"/>
      <c r="C102" s="118" t="s">
        <v>178</v>
      </c>
      <c r="D102" s="122" t="s">
        <v>2240</v>
      </c>
      <c r="E102" s="117">
        <v>10655</v>
      </c>
      <c r="F102" s="116"/>
      <c r="G102" s="119"/>
      <c r="H102" s="116"/>
      <c r="I102" s="119"/>
      <c r="J102" s="132"/>
      <c r="K102" s="199" t="str">
        <f>HYPERLINK(CONCATENATE("http://www.spr.depen.pr.gov.br/centralvagas/exibirFoto.jpg?numProntuario=",$E102,"&amp;idImagem=1"),"FOTO 1")</f>
        <v>FOTO 1</v>
      </c>
      <c r="L102" s="199" t="str">
        <f>HYPERLINK(CONCATENATE("http://www.spr.depen.pr.gov.br/centralvagas/exibirFoto.jpg?numProntuario=",$E102,"&amp;idImagem=2"),"FOTO 2")</f>
        <v>FOTO 2</v>
      </c>
      <c r="M102" s="199" t="str">
        <f>HYPERLINK(CONCATENATE("http://www.spr.depen.pr.gov.br/centralvagas/exibirFoto.jpg?numProntuario=",$E102,"&amp;idImagem=3"),"FOTO 3")</f>
        <v>FOTO 3</v>
      </c>
      <c r="N102" s="199" t="str">
        <f>HYPERLINK(CONCATENATE("http://www.spr.depen.pr.gov.br/centralvagas/exibirFoto.jpg?numProntuario=",$E102,"&amp;idImagem=4"),"FOTO 4")</f>
        <v>FOTO 4</v>
      </c>
      <c r="O102" s="199" t="str">
        <f>HYPERLINK(CONCATENATE("http://www.spr.depen.pr.gov.br/centralvagas/exibirFoto.jpg?numProntuario=",$E102,"&amp;idImagem=5"),"FOTO 5")</f>
        <v>FOTO 5</v>
      </c>
      <c r="P102" s="199" t="str">
        <f>HYPERLINK(CONCATENATE("http://www.spr.depen.pr.gov.br/centralvagas/exibirFoto.jpg?numProntuario=",$E102,"&amp;idImagem=6"),"FOTO 6")</f>
        <v>FOTO 6</v>
      </c>
    </row>
    <row r="103" spans="1:16" ht="14.1" customHeight="1" thickTop="1" thickBot="1">
      <c r="A103" s="116" t="s">
        <v>3613</v>
      </c>
      <c r="B103" s="147"/>
      <c r="C103" s="116" t="s">
        <v>178</v>
      </c>
      <c r="D103" s="122" t="s">
        <v>283</v>
      </c>
      <c r="E103" s="117">
        <v>106843</v>
      </c>
      <c r="F103" s="145"/>
      <c r="G103" s="162"/>
      <c r="H103" s="116"/>
      <c r="I103" s="119"/>
      <c r="J103" s="116"/>
      <c r="K103" s="199" t="str">
        <f>HYPERLINK(CONCATENATE("http://www.spr.depen.pr.gov.br/centralvagas/exibirFoto.jpg?numProntuario=",$E103,"&amp;idImagem=1"),"FOTO 1")</f>
        <v>FOTO 1</v>
      </c>
      <c r="L103" s="199" t="str">
        <f>HYPERLINK(CONCATENATE("http://www.spr.depen.pr.gov.br/centralvagas/exibirFoto.jpg?numProntuario=",$E103,"&amp;idImagem=2"),"FOTO 2")</f>
        <v>FOTO 2</v>
      </c>
      <c r="M103" s="199" t="str">
        <f>HYPERLINK(CONCATENATE("http://www.spr.depen.pr.gov.br/centralvagas/exibirFoto.jpg?numProntuario=",$E103,"&amp;idImagem=3"),"FOTO 3")</f>
        <v>FOTO 3</v>
      </c>
      <c r="N103" s="199" t="str">
        <f>HYPERLINK(CONCATENATE("http://www.spr.depen.pr.gov.br/centralvagas/exibirFoto.jpg?numProntuario=",$E103,"&amp;idImagem=4"),"FOTO 4")</f>
        <v>FOTO 4</v>
      </c>
      <c r="O103" s="199" t="str">
        <f>HYPERLINK(CONCATENATE("http://www.spr.depen.pr.gov.br/centralvagas/exibirFoto.jpg?numProntuario=",$E103,"&amp;idImagem=5"),"FOTO 5")</f>
        <v>FOTO 5</v>
      </c>
      <c r="P103" s="199" t="str">
        <f>HYPERLINK(CONCATENATE("http://www.spr.depen.pr.gov.br/centralvagas/exibirFoto.jpg?numProntuario=",$E103,"&amp;idImagem=6"),"FOTO 6")</f>
        <v>FOTO 6</v>
      </c>
    </row>
    <row r="104" spans="1:16" ht="14.1" customHeight="1" thickTop="1" thickBot="1">
      <c r="A104" s="116" t="s">
        <v>3613</v>
      </c>
      <c r="B104" s="143"/>
      <c r="C104" s="118" t="s">
        <v>178</v>
      </c>
      <c r="D104" s="122" t="s">
        <v>3601</v>
      </c>
      <c r="E104" s="117">
        <v>126754</v>
      </c>
      <c r="F104" s="116"/>
      <c r="G104" s="119"/>
      <c r="H104" s="116"/>
      <c r="I104" s="119"/>
      <c r="J104" s="132"/>
      <c r="K104" s="199" t="str">
        <f>HYPERLINK(CONCATENATE("http://www.spr.depen.pr.gov.br/centralvagas/exibirFoto.jpg?numProntuario=",$E104,"&amp;idImagem=1"),"FOTO 1")</f>
        <v>FOTO 1</v>
      </c>
      <c r="L104" s="199" t="str">
        <f>HYPERLINK(CONCATENATE("http://www.spr.depen.pr.gov.br/centralvagas/exibirFoto.jpg?numProntuario=",$E104,"&amp;idImagem=2"),"FOTO 2")</f>
        <v>FOTO 2</v>
      </c>
      <c r="M104" s="199" t="str">
        <f>HYPERLINK(CONCATENATE("http://www.spr.depen.pr.gov.br/centralvagas/exibirFoto.jpg?numProntuario=",$E104,"&amp;idImagem=3"),"FOTO 3")</f>
        <v>FOTO 3</v>
      </c>
      <c r="N104" s="199" t="str">
        <f>HYPERLINK(CONCATENATE("http://www.spr.depen.pr.gov.br/centralvagas/exibirFoto.jpg?numProntuario=",$E104,"&amp;idImagem=4"),"FOTO 4")</f>
        <v>FOTO 4</v>
      </c>
      <c r="O104" s="199" t="str">
        <f>HYPERLINK(CONCATENATE("http://www.spr.depen.pr.gov.br/centralvagas/exibirFoto.jpg?numProntuario=",$E104,"&amp;idImagem=5"),"FOTO 5")</f>
        <v>FOTO 5</v>
      </c>
      <c r="P104" s="199" t="str">
        <f>HYPERLINK(CONCATENATE("http://www.spr.depen.pr.gov.br/centralvagas/exibirFoto.jpg?numProntuario=",$E104,"&amp;idImagem=6"),"FOTO 6")</f>
        <v>FOTO 6</v>
      </c>
    </row>
    <row r="105" spans="1:16" ht="14.1" customHeight="1" thickTop="1" thickBot="1">
      <c r="A105" s="362" t="s">
        <v>2297</v>
      </c>
      <c r="B105" s="438"/>
      <c r="C105" s="118" t="s">
        <v>1384</v>
      </c>
      <c r="D105" s="130" t="s">
        <v>2577</v>
      </c>
      <c r="E105" s="466">
        <v>134417</v>
      </c>
      <c r="F105" s="116"/>
      <c r="G105" s="119"/>
      <c r="H105" s="116"/>
      <c r="I105" s="119"/>
      <c r="J105" s="116"/>
      <c r="K105" s="199" t="str">
        <f>HYPERLINK(CONCATENATE("http://www.spr.depen.pr.gov.br/centralvagas/exibirFoto.jpg?numProntuario=",$E105,"&amp;idImagem=1"),"FOTO 1")</f>
        <v>FOTO 1</v>
      </c>
      <c r="L105" s="199" t="str">
        <f>HYPERLINK(CONCATENATE("http://www.spr.depen.pr.gov.br/centralvagas/exibirFoto.jpg?numProntuario=",$E105,"&amp;idImagem=2"),"FOTO 2")</f>
        <v>FOTO 2</v>
      </c>
      <c r="M105" s="199" t="str">
        <f>HYPERLINK(CONCATENATE("http://www.spr.depen.pr.gov.br/centralvagas/exibirFoto.jpg?numProntuario=",$E105,"&amp;idImagem=3"),"FOTO 3")</f>
        <v>FOTO 3</v>
      </c>
      <c r="N105" s="199" t="str">
        <f>HYPERLINK(CONCATENATE("http://www.spr.depen.pr.gov.br/centralvagas/exibirFoto.jpg?numProntuario=",$E105,"&amp;idImagem=4"),"FOTO 4")</f>
        <v>FOTO 4</v>
      </c>
      <c r="O105" s="199" t="str">
        <f>HYPERLINK(CONCATENATE("http://www.spr.depen.pr.gov.br/centralvagas/exibirFoto.jpg?numProntuario=",$E105,"&amp;idImagem=5"),"FOTO 5")</f>
        <v>FOTO 5</v>
      </c>
      <c r="P105" s="199" t="str">
        <f>HYPERLINK(CONCATENATE("http://www.spr.depen.pr.gov.br/centralvagas/exibirFoto.jpg?numProntuario=",$E105,"&amp;idImagem=6"),"FOTO 6")</f>
        <v>FOTO 6</v>
      </c>
    </row>
    <row r="106" spans="1:16" ht="14.1" customHeight="1" thickTop="1" thickBot="1">
      <c r="A106" s="480" t="s">
        <v>2297</v>
      </c>
      <c r="B106" s="229"/>
      <c r="C106" s="118" t="s">
        <v>1384</v>
      </c>
      <c r="D106" s="122" t="s">
        <v>2836</v>
      </c>
      <c r="E106" s="117">
        <v>114585</v>
      </c>
      <c r="F106" s="116"/>
      <c r="G106" s="119"/>
      <c r="H106" s="116"/>
      <c r="I106" s="119"/>
      <c r="J106" s="116"/>
      <c r="K106" s="199" t="str">
        <f>HYPERLINK(CONCATENATE("http://www.spr.depen.pr.gov.br/centralvagas/exibirFoto.jpg?numProntuario=",$E106,"&amp;idImagem=1"),"FOTO 1")</f>
        <v>FOTO 1</v>
      </c>
      <c r="L106" s="199" t="str">
        <f>HYPERLINK(CONCATENATE("http://www.spr.depen.pr.gov.br/centralvagas/exibirFoto.jpg?numProntuario=",$E106,"&amp;idImagem=2"),"FOTO 2")</f>
        <v>FOTO 2</v>
      </c>
      <c r="M106" s="199" t="str">
        <f>HYPERLINK(CONCATENATE("http://www.spr.depen.pr.gov.br/centralvagas/exibirFoto.jpg?numProntuario=",$E106,"&amp;idImagem=3"),"FOTO 3")</f>
        <v>FOTO 3</v>
      </c>
      <c r="N106" s="199" t="str">
        <f>HYPERLINK(CONCATENATE("http://www.spr.depen.pr.gov.br/centralvagas/exibirFoto.jpg?numProntuario=",$E106,"&amp;idImagem=4"),"FOTO 4")</f>
        <v>FOTO 4</v>
      </c>
      <c r="O106" s="199" t="str">
        <f>HYPERLINK(CONCATENATE("http://www.spr.depen.pr.gov.br/centralvagas/exibirFoto.jpg?numProntuario=",$E106,"&amp;idImagem=5"),"FOTO 5")</f>
        <v>FOTO 5</v>
      </c>
      <c r="P106" s="199" t="str">
        <f>HYPERLINK(CONCATENATE("http://www.spr.depen.pr.gov.br/centralvagas/exibirFoto.jpg?numProntuario=",$E106,"&amp;idImagem=6"),"FOTO 6")</f>
        <v>FOTO 6</v>
      </c>
    </row>
    <row r="107" spans="1:16" ht="14.1" customHeight="1" thickTop="1" thickBot="1">
      <c r="A107" s="479" t="s">
        <v>2297</v>
      </c>
      <c r="B107" s="147"/>
      <c r="C107" s="116" t="s">
        <v>1384</v>
      </c>
      <c r="D107" s="128" t="s">
        <v>2650</v>
      </c>
      <c r="E107" s="117">
        <v>140082</v>
      </c>
      <c r="F107" s="116"/>
      <c r="G107" s="119"/>
      <c r="H107" s="116"/>
      <c r="I107" s="119"/>
      <c r="J107" s="116"/>
      <c r="K107" s="199" t="str">
        <f>HYPERLINK(CONCATENATE("http://www.spr.depen.pr.gov.br/centralvagas/exibirFoto.jpg?numProntuario=",$E107,"&amp;idImagem=1"),"FOTO 1")</f>
        <v>FOTO 1</v>
      </c>
      <c r="L107" s="199" t="str">
        <f>HYPERLINK(CONCATENATE("http://www.spr.depen.pr.gov.br/centralvagas/exibirFoto.jpg?numProntuario=",$E107,"&amp;idImagem=2"),"FOTO 2")</f>
        <v>FOTO 2</v>
      </c>
      <c r="M107" s="199" t="str">
        <f>HYPERLINK(CONCATENATE("http://www.spr.depen.pr.gov.br/centralvagas/exibirFoto.jpg?numProntuario=",$E107,"&amp;idImagem=3"),"FOTO 3")</f>
        <v>FOTO 3</v>
      </c>
      <c r="N107" s="199" t="str">
        <f>HYPERLINK(CONCATENATE("http://www.spr.depen.pr.gov.br/centralvagas/exibirFoto.jpg?numProntuario=",$E107,"&amp;idImagem=4"),"FOTO 4")</f>
        <v>FOTO 4</v>
      </c>
      <c r="O107" s="199" t="str">
        <f>HYPERLINK(CONCATENATE("http://www.spr.depen.pr.gov.br/centralvagas/exibirFoto.jpg?numProntuario=",$E107,"&amp;idImagem=5"),"FOTO 5")</f>
        <v>FOTO 5</v>
      </c>
      <c r="P107" s="199" t="str">
        <f>HYPERLINK(CONCATENATE("http://www.spr.depen.pr.gov.br/centralvagas/exibirFoto.jpg?numProntuario=",$E107,"&amp;idImagem=6"),"FOTO 6")</f>
        <v>FOTO 6</v>
      </c>
    </row>
    <row r="108" spans="1:16" ht="14.1" customHeight="1" thickTop="1" thickBot="1">
      <c r="A108" s="331" t="s">
        <v>2297</v>
      </c>
      <c r="B108" s="143"/>
      <c r="C108" s="116" t="s">
        <v>1384</v>
      </c>
      <c r="D108" s="122" t="s">
        <v>2006</v>
      </c>
      <c r="E108" s="117">
        <v>63466</v>
      </c>
      <c r="F108" s="116"/>
      <c r="G108" s="119"/>
      <c r="H108" s="116"/>
      <c r="I108" s="119"/>
      <c r="J108" s="116"/>
      <c r="K108" s="199" t="str">
        <f>HYPERLINK(CONCATENATE("http://www.spr.depen.pr.gov.br/centralvagas/exibirFoto.jpg?numProntuario=",$E108,"&amp;idImagem=1"),"FOTO 1")</f>
        <v>FOTO 1</v>
      </c>
      <c r="L108" s="199" t="str">
        <f>HYPERLINK(CONCATENATE("http://www.spr.depen.pr.gov.br/centralvagas/exibirFoto.jpg?numProntuario=",$E108,"&amp;idImagem=2"),"FOTO 2")</f>
        <v>FOTO 2</v>
      </c>
      <c r="M108" s="199" t="str">
        <f>HYPERLINK(CONCATENATE("http://www.spr.depen.pr.gov.br/centralvagas/exibirFoto.jpg?numProntuario=",$E108,"&amp;idImagem=3"),"FOTO 3")</f>
        <v>FOTO 3</v>
      </c>
      <c r="N108" s="199" t="str">
        <f>HYPERLINK(CONCATENATE("http://www.spr.depen.pr.gov.br/centralvagas/exibirFoto.jpg?numProntuario=",$E108,"&amp;idImagem=4"),"FOTO 4")</f>
        <v>FOTO 4</v>
      </c>
      <c r="O108" s="199" t="str">
        <f>HYPERLINK(CONCATENATE("http://www.spr.depen.pr.gov.br/centralvagas/exibirFoto.jpg?numProntuario=",$E108,"&amp;idImagem=5"),"FOTO 5")</f>
        <v>FOTO 5</v>
      </c>
      <c r="P108" s="199" t="str">
        <f>HYPERLINK(CONCATENATE("http://www.spr.depen.pr.gov.br/centralvagas/exibirFoto.jpg?numProntuario=",$E108,"&amp;idImagem=6"),"FOTO 6")</f>
        <v>FOTO 6</v>
      </c>
    </row>
    <row r="109" spans="1:16" ht="14.1" customHeight="1" thickTop="1" thickBot="1">
      <c r="A109" s="331" t="s">
        <v>2297</v>
      </c>
      <c r="B109" s="166"/>
      <c r="C109" s="116" t="s">
        <v>1384</v>
      </c>
      <c r="D109" s="129" t="s">
        <v>2165</v>
      </c>
      <c r="E109" s="117">
        <v>69107</v>
      </c>
      <c r="F109" s="116"/>
      <c r="G109" s="119"/>
      <c r="H109" s="116"/>
      <c r="I109" s="119"/>
      <c r="J109" s="116"/>
      <c r="K109" s="199" t="str">
        <f>HYPERLINK(CONCATENATE("http://www.spr.depen.pr.gov.br/centralvagas/exibirFoto.jpg?numProntuario=",$E109,"&amp;idImagem=1"),"FOTO 1")</f>
        <v>FOTO 1</v>
      </c>
      <c r="L109" s="199" t="str">
        <f>HYPERLINK(CONCATENATE("http://www.spr.depen.pr.gov.br/centralvagas/exibirFoto.jpg?numProntuario=",$E109,"&amp;idImagem=2"),"FOTO 2")</f>
        <v>FOTO 2</v>
      </c>
      <c r="M109" s="199" t="str">
        <f>HYPERLINK(CONCATENATE("http://www.spr.depen.pr.gov.br/centralvagas/exibirFoto.jpg?numProntuario=",$E109,"&amp;idImagem=3"),"FOTO 3")</f>
        <v>FOTO 3</v>
      </c>
      <c r="N109" s="199" t="str">
        <f>HYPERLINK(CONCATENATE("http://www.spr.depen.pr.gov.br/centralvagas/exibirFoto.jpg?numProntuario=",$E109,"&amp;idImagem=4"),"FOTO 4")</f>
        <v>FOTO 4</v>
      </c>
      <c r="O109" s="199" t="str">
        <f>HYPERLINK(CONCATENATE("http://www.spr.depen.pr.gov.br/centralvagas/exibirFoto.jpg?numProntuario=",$E109,"&amp;idImagem=5"),"FOTO 5")</f>
        <v>FOTO 5</v>
      </c>
      <c r="P109" s="199" t="str">
        <f>HYPERLINK(CONCATENATE("http://www.spr.depen.pr.gov.br/centralvagas/exibirFoto.jpg?numProntuario=",$E109,"&amp;idImagem=6"),"FOTO 6")</f>
        <v>FOTO 6</v>
      </c>
    </row>
    <row r="110" spans="1:16" ht="14.1" customHeight="1" thickTop="1" thickBot="1">
      <c r="A110" s="479" t="s">
        <v>2297</v>
      </c>
      <c r="B110" s="228"/>
      <c r="C110" s="118" t="s">
        <v>358</v>
      </c>
      <c r="D110" s="122" t="s">
        <v>2418</v>
      </c>
      <c r="E110" s="117">
        <v>126487</v>
      </c>
      <c r="F110" s="116"/>
      <c r="G110" s="119"/>
      <c r="H110" s="116"/>
      <c r="I110" s="119"/>
      <c r="J110" s="116"/>
      <c r="K110" s="199" t="str">
        <f>HYPERLINK(CONCATENATE("http://www.spr.depen.pr.gov.br/centralvagas/exibirFoto.jpg?numProntuario=",$E110,"&amp;idImagem=1"),"FOTO 1")</f>
        <v>FOTO 1</v>
      </c>
      <c r="L110" s="199" t="str">
        <f>HYPERLINK(CONCATENATE("http://www.spr.depen.pr.gov.br/centralvagas/exibirFoto.jpg?numProntuario=",$E110,"&amp;idImagem=2"),"FOTO 2")</f>
        <v>FOTO 2</v>
      </c>
      <c r="M110" s="199" t="str">
        <f>HYPERLINK(CONCATENATE("http://www.spr.depen.pr.gov.br/centralvagas/exibirFoto.jpg?numProntuario=",$E110,"&amp;idImagem=3"),"FOTO 3")</f>
        <v>FOTO 3</v>
      </c>
      <c r="N110" s="199" t="str">
        <f>HYPERLINK(CONCATENATE("http://www.spr.depen.pr.gov.br/centralvagas/exibirFoto.jpg?numProntuario=",$E110,"&amp;idImagem=4"),"FOTO 4")</f>
        <v>FOTO 4</v>
      </c>
      <c r="O110" s="199" t="str">
        <f>HYPERLINK(CONCATENATE("http://www.spr.depen.pr.gov.br/centralvagas/exibirFoto.jpg?numProntuario=",$E110,"&amp;idImagem=5"),"FOTO 5")</f>
        <v>FOTO 5</v>
      </c>
      <c r="P110" s="199" t="str">
        <f>HYPERLINK(CONCATENATE("http://www.spr.depen.pr.gov.br/centralvagas/exibirFoto.jpg?numProntuario=",$E110,"&amp;idImagem=6"),"FOTO 6")</f>
        <v>FOTO 6</v>
      </c>
    </row>
    <row r="111" spans="1:16" ht="14.1" customHeight="1" thickTop="1" thickBot="1">
      <c r="A111" s="479" t="s">
        <v>2297</v>
      </c>
      <c r="B111" s="319"/>
      <c r="C111" s="118" t="s">
        <v>358</v>
      </c>
      <c r="D111" s="129" t="s">
        <v>2420</v>
      </c>
      <c r="E111" s="117">
        <v>101173</v>
      </c>
      <c r="F111" s="116"/>
      <c r="G111" s="119"/>
      <c r="H111" s="116"/>
      <c r="I111" s="119"/>
      <c r="J111" s="116"/>
      <c r="K111" s="199" t="str">
        <f>HYPERLINK(CONCATENATE("http://www.spr.depen.pr.gov.br/centralvagas/exibirFoto.jpg?numProntuario=",$E111,"&amp;idImagem=1"),"FOTO 1")</f>
        <v>FOTO 1</v>
      </c>
      <c r="L111" s="199" t="str">
        <f>HYPERLINK(CONCATENATE("http://www.spr.depen.pr.gov.br/centralvagas/exibirFoto.jpg?numProntuario=",$E111,"&amp;idImagem=2"),"FOTO 2")</f>
        <v>FOTO 2</v>
      </c>
      <c r="M111" s="199" t="str">
        <f>HYPERLINK(CONCATENATE("http://www.spr.depen.pr.gov.br/centralvagas/exibirFoto.jpg?numProntuario=",$E111,"&amp;idImagem=3"),"FOTO 3")</f>
        <v>FOTO 3</v>
      </c>
      <c r="N111" s="199" t="str">
        <f>HYPERLINK(CONCATENATE("http://www.spr.depen.pr.gov.br/centralvagas/exibirFoto.jpg?numProntuario=",$E111,"&amp;idImagem=4"),"FOTO 4")</f>
        <v>FOTO 4</v>
      </c>
      <c r="O111" s="199" t="str">
        <f>HYPERLINK(CONCATENATE("http://www.spr.depen.pr.gov.br/centralvagas/exibirFoto.jpg?numProntuario=",$E111,"&amp;idImagem=5"),"FOTO 5")</f>
        <v>FOTO 5</v>
      </c>
      <c r="P111" s="199" t="str">
        <f>HYPERLINK(CONCATENATE("http://www.spr.depen.pr.gov.br/centralvagas/exibirFoto.jpg?numProntuario=",$E111,"&amp;idImagem=6"),"FOTO 6")</f>
        <v>FOTO 6</v>
      </c>
    </row>
    <row r="112" spans="1:16" ht="14.1" customHeight="1" thickTop="1" thickBot="1">
      <c r="A112" s="479" t="s">
        <v>2297</v>
      </c>
      <c r="B112" s="143"/>
      <c r="C112" s="118" t="s">
        <v>358</v>
      </c>
      <c r="D112" s="130" t="s">
        <v>2580</v>
      </c>
      <c r="E112" s="466">
        <v>27105</v>
      </c>
      <c r="F112" s="132"/>
      <c r="G112" s="136"/>
      <c r="H112" s="116"/>
      <c r="I112" s="119"/>
      <c r="J112" s="116"/>
      <c r="K112" s="199" t="str">
        <f>HYPERLINK(CONCATENATE("http://www.spr.depen.pr.gov.br/centralvagas/exibirFoto.jpg?numProntuario=",$E112,"&amp;idImagem=1"),"FOTO 1")</f>
        <v>FOTO 1</v>
      </c>
      <c r="L112" s="199" t="str">
        <f>HYPERLINK(CONCATENATE("http://www.spr.depen.pr.gov.br/centralvagas/exibirFoto.jpg?numProntuario=",$E112,"&amp;idImagem=2"),"FOTO 2")</f>
        <v>FOTO 2</v>
      </c>
      <c r="M112" s="199" t="str">
        <f>HYPERLINK(CONCATENATE("http://www.spr.depen.pr.gov.br/centralvagas/exibirFoto.jpg?numProntuario=",$E112,"&amp;idImagem=3"),"FOTO 3")</f>
        <v>FOTO 3</v>
      </c>
      <c r="N112" s="199" t="str">
        <f>HYPERLINK(CONCATENATE("http://www.spr.depen.pr.gov.br/centralvagas/exibirFoto.jpg?numProntuario=",$E112,"&amp;idImagem=4"),"FOTO 4")</f>
        <v>FOTO 4</v>
      </c>
      <c r="O112" s="199" t="str">
        <f>HYPERLINK(CONCATENATE("http://www.spr.depen.pr.gov.br/centralvagas/exibirFoto.jpg?numProntuario=",$E112,"&amp;idImagem=5"),"FOTO 5")</f>
        <v>FOTO 5</v>
      </c>
      <c r="P112" s="199" t="str">
        <f>HYPERLINK(CONCATENATE("http://www.spr.depen.pr.gov.br/centralvagas/exibirFoto.jpg?numProntuario=",$E112,"&amp;idImagem=6"),"FOTO 6")</f>
        <v>FOTO 6</v>
      </c>
    </row>
    <row r="113" spans="1:16" ht="14.1" customHeight="1" thickTop="1" thickBot="1">
      <c r="A113" s="479" t="s">
        <v>2297</v>
      </c>
      <c r="B113" s="127"/>
      <c r="C113" s="125" t="s">
        <v>358</v>
      </c>
      <c r="D113" s="129" t="s">
        <v>1960</v>
      </c>
      <c r="E113" s="117">
        <v>134214</v>
      </c>
      <c r="F113" s="116"/>
      <c r="G113" s="119"/>
      <c r="H113" s="116"/>
      <c r="I113" s="119"/>
      <c r="J113" s="116"/>
      <c r="K113" s="199" t="str">
        <f>HYPERLINK(CONCATENATE("http://www.spr.depen.pr.gov.br/centralvagas/exibirFoto.jpg?numProntuario=",$E113,"&amp;idImagem=1"),"FOTO 1")</f>
        <v>FOTO 1</v>
      </c>
      <c r="L113" s="199" t="str">
        <f>HYPERLINK(CONCATENATE("http://www.spr.depen.pr.gov.br/centralvagas/exibirFoto.jpg?numProntuario=",$E113,"&amp;idImagem=2"),"FOTO 2")</f>
        <v>FOTO 2</v>
      </c>
      <c r="M113" s="199" t="str">
        <f>HYPERLINK(CONCATENATE("http://www.spr.depen.pr.gov.br/centralvagas/exibirFoto.jpg?numProntuario=",$E113,"&amp;idImagem=3"),"FOTO 3")</f>
        <v>FOTO 3</v>
      </c>
      <c r="N113" s="199" t="str">
        <f>HYPERLINK(CONCATENATE("http://www.spr.depen.pr.gov.br/centralvagas/exibirFoto.jpg?numProntuario=",$E113,"&amp;idImagem=4"),"FOTO 4")</f>
        <v>FOTO 4</v>
      </c>
      <c r="O113" s="199" t="str">
        <f>HYPERLINK(CONCATENATE("http://www.spr.depen.pr.gov.br/centralvagas/exibirFoto.jpg?numProntuario=",$E113,"&amp;idImagem=5"),"FOTO 5")</f>
        <v>FOTO 5</v>
      </c>
      <c r="P113" s="199" t="str">
        <f>HYPERLINK(CONCATENATE("http://www.spr.depen.pr.gov.br/centralvagas/exibirFoto.jpg?numProntuario=",$E113,"&amp;idImagem=6"),"FOTO 6")</f>
        <v>FOTO 6</v>
      </c>
    </row>
    <row r="114" spans="1:16" ht="14.1" customHeight="1" thickTop="1" thickBot="1">
      <c r="A114" s="479" t="s">
        <v>2297</v>
      </c>
      <c r="B114" s="143"/>
      <c r="C114" s="116" t="s">
        <v>358</v>
      </c>
      <c r="D114" s="131" t="s">
        <v>1578</v>
      </c>
      <c r="E114" s="117">
        <v>101674</v>
      </c>
      <c r="F114" s="116"/>
      <c r="G114" s="119"/>
      <c r="H114" s="116"/>
      <c r="I114" s="119"/>
      <c r="J114" s="116"/>
      <c r="K114" s="199" t="str">
        <f>HYPERLINK(CONCATENATE("http://www.spr.depen.pr.gov.br/centralvagas/exibirFoto.jpg?numProntuario=",$E114,"&amp;idImagem=1"),"FOTO 1")</f>
        <v>FOTO 1</v>
      </c>
      <c r="L114" s="199" t="str">
        <f>HYPERLINK(CONCATENATE("http://www.spr.depen.pr.gov.br/centralvagas/exibirFoto.jpg?numProntuario=",$E114,"&amp;idImagem=2"),"FOTO 2")</f>
        <v>FOTO 2</v>
      </c>
      <c r="M114" s="199" t="str">
        <f>HYPERLINK(CONCATENATE("http://www.spr.depen.pr.gov.br/centralvagas/exibirFoto.jpg?numProntuario=",$E114,"&amp;idImagem=3"),"FOTO 3")</f>
        <v>FOTO 3</v>
      </c>
      <c r="N114" s="199" t="str">
        <f>HYPERLINK(CONCATENATE("http://www.spr.depen.pr.gov.br/centralvagas/exibirFoto.jpg?numProntuario=",$E114,"&amp;idImagem=4"),"FOTO 4")</f>
        <v>FOTO 4</v>
      </c>
      <c r="O114" s="199" t="str">
        <f>HYPERLINK(CONCATENATE("http://www.spr.depen.pr.gov.br/centralvagas/exibirFoto.jpg?numProntuario=",$E114,"&amp;idImagem=5"),"FOTO 5")</f>
        <v>FOTO 5</v>
      </c>
      <c r="P114" s="199" t="str">
        <f>HYPERLINK(CONCATENATE("http://www.spr.depen.pr.gov.br/centralvagas/exibirFoto.jpg?numProntuario=",$E114,"&amp;idImagem=6"),"FOTO 6")</f>
        <v>FOTO 6</v>
      </c>
    </row>
    <row r="115" spans="1:16" ht="14.1" customHeight="1" thickTop="1" thickBot="1">
      <c r="A115" s="120"/>
      <c r="B115" s="147"/>
      <c r="C115" s="116" t="s">
        <v>2376</v>
      </c>
      <c r="D115" s="122" t="s">
        <v>1805</v>
      </c>
      <c r="E115" s="117">
        <v>24490</v>
      </c>
      <c r="F115" s="116"/>
      <c r="G115" s="119"/>
      <c r="H115" s="116"/>
      <c r="I115" s="119"/>
      <c r="J115" s="116"/>
      <c r="K115" s="199" t="str">
        <f>HYPERLINK(CONCATENATE("http://www.spr.depen.pr.gov.br/centralvagas/exibirFoto.jpg?numProntuario=",$E115,"&amp;idImagem=1"),"FOTO 1")</f>
        <v>FOTO 1</v>
      </c>
      <c r="L115" s="199" t="str">
        <f>HYPERLINK(CONCATENATE("http://www.spr.depen.pr.gov.br/centralvagas/exibirFoto.jpg?numProntuario=",$E115,"&amp;idImagem=2"),"FOTO 2")</f>
        <v>FOTO 2</v>
      </c>
      <c r="M115" s="199" t="str">
        <f>HYPERLINK(CONCATENATE("http://www.spr.depen.pr.gov.br/centralvagas/exibirFoto.jpg?numProntuario=",$E115,"&amp;idImagem=3"),"FOTO 3")</f>
        <v>FOTO 3</v>
      </c>
      <c r="N115" s="199" t="str">
        <f>HYPERLINK(CONCATENATE("http://www.spr.depen.pr.gov.br/centralvagas/exibirFoto.jpg?numProntuario=",$E115,"&amp;idImagem=4"),"FOTO 4")</f>
        <v>FOTO 4</v>
      </c>
      <c r="O115" s="199" t="str">
        <f>HYPERLINK(CONCATENATE("http://www.spr.depen.pr.gov.br/centralvagas/exibirFoto.jpg?numProntuario=",$E115,"&amp;idImagem=5"),"FOTO 5")</f>
        <v>FOTO 5</v>
      </c>
      <c r="P115" s="199" t="str">
        <f>HYPERLINK(CONCATENATE("http://www.spr.depen.pr.gov.br/centralvagas/exibirFoto.jpg?numProntuario=",$E115,"&amp;idImagem=6"),"FOTO 6")</f>
        <v>FOTO 6</v>
      </c>
    </row>
    <row r="116" spans="1:16" ht="14.1" customHeight="1" thickTop="1" thickBot="1">
      <c r="A116" s="123"/>
      <c r="B116" s="229"/>
      <c r="C116" s="116" t="s">
        <v>2376</v>
      </c>
      <c r="D116" s="130" t="s">
        <v>1579</v>
      </c>
      <c r="E116" s="117">
        <v>27270</v>
      </c>
      <c r="F116" s="116"/>
      <c r="G116" s="119"/>
      <c r="H116" s="116"/>
      <c r="I116" s="119"/>
      <c r="J116" s="116"/>
      <c r="K116" s="199" t="str">
        <f>HYPERLINK(CONCATENATE("http://www.spr.depen.pr.gov.br/centralvagas/exibirFoto.jpg?numProntuario=",$E116,"&amp;idImagem=1"),"FOTO 1")</f>
        <v>FOTO 1</v>
      </c>
      <c r="L116" s="199" t="str">
        <f>HYPERLINK(CONCATENATE("http://www.spr.depen.pr.gov.br/centralvagas/exibirFoto.jpg?numProntuario=",$E116,"&amp;idImagem=2"),"FOTO 2")</f>
        <v>FOTO 2</v>
      </c>
      <c r="M116" s="199" t="str">
        <f>HYPERLINK(CONCATENATE("http://www.spr.depen.pr.gov.br/centralvagas/exibirFoto.jpg?numProntuario=",$E116,"&amp;idImagem=3"),"FOTO 3")</f>
        <v>FOTO 3</v>
      </c>
      <c r="N116" s="199" t="str">
        <f>HYPERLINK(CONCATENATE("http://www.spr.depen.pr.gov.br/centralvagas/exibirFoto.jpg?numProntuario=",$E116,"&amp;idImagem=4"),"FOTO 4")</f>
        <v>FOTO 4</v>
      </c>
      <c r="O116" s="199" t="str">
        <f>HYPERLINK(CONCATENATE("http://www.spr.depen.pr.gov.br/centralvagas/exibirFoto.jpg?numProntuario=",$E116,"&amp;idImagem=5"),"FOTO 5")</f>
        <v>FOTO 5</v>
      </c>
      <c r="P116" s="199" t="str">
        <f>HYPERLINK(CONCATENATE("http://www.spr.depen.pr.gov.br/centralvagas/exibirFoto.jpg?numProntuario=",$E116,"&amp;idImagem=6"),"FOTO 6")</f>
        <v>FOTO 6</v>
      </c>
    </row>
    <row r="117" spans="1:16" ht="14.1" customHeight="1" thickTop="1" thickBot="1">
      <c r="A117" s="123"/>
      <c r="B117" s="147"/>
      <c r="C117" s="116" t="s">
        <v>2376</v>
      </c>
      <c r="D117" s="131" t="s">
        <v>3380</v>
      </c>
      <c r="E117" s="117">
        <v>133109</v>
      </c>
      <c r="F117" s="116"/>
      <c r="G117" s="119"/>
      <c r="H117" s="132"/>
      <c r="I117" s="119"/>
      <c r="J117" s="116"/>
      <c r="K117" s="199" t="str">
        <f>HYPERLINK(CONCATENATE("http://www.spr.depen.pr.gov.br/centralvagas/exibirFoto.jpg?numProntuario=",$E117,"&amp;idImagem=1"),"FOTO 1")</f>
        <v>FOTO 1</v>
      </c>
      <c r="L117" s="199" t="str">
        <f>HYPERLINK(CONCATENATE("http://www.spr.depen.pr.gov.br/centralvagas/exibirFoto.jpg?numProntuario=",$E117,"&amp;idImagem=2"),"FOTO 2")</f>
        <v>FOTO 2</v>
      </c>
      <c r="M117" s="199" t="str">
        <f>HYPERLINK(CONCATENATE("http://www.spr.depen.pr.gov.br/centralvagas/exibirFoto.jpg?numProntuario=",$E117,"&amp;idImagem=3"),"FOTO 3")</f>
        <v>FOTO 3</v>
      </c>
      <c r="N117" s="199" t="str">
        <f>HYPERLINK(CONCATENATE("http://www.spr.depen.pr.gov.br/centralvagas/exibirFoto.jpg?numProntuario=",$E117,"&amp;idImagem=4"),"FOTO 4")</f>
        <v>FOTO 4</v>
      </c>
      <c r="O117" s="199" t="str">
        <f>HYPERLINK(CONCATENATE("http://www.spr.depen.pr.gov.br/centralvagas/exibirFoto.jpg?numProntuario=",$E117,"&amp;idImagem=5"),"FOTO 5")</f>
        <v>FOTO 5</v>
      </c>
      <c r="P117" s="199" t="str">
        <f>HYPERLINK(CONCATENATE("http://www.spr.depen.pr.gov.br/centralvagas/exibirFoto.jpg?numProntuario=",$E117,"&amp;idImagem=6"),"FOTO 6")</f>
        <v>FOTO 6</v>
      </c>
    </row>
    <row r="118" spans="1:16" ht="14.1" customHeight="1" thickTop="1" thickBot="1">
      <c r="A118" s="118"/>
      <c r="B118" s="229"/>
      <c r="C118" s="118" t="s">
        <v>2376</v>
      </c>
      <c r="D118" s="122" t="s">
        <v>13</v>
      </c>
      <c r="E118" s="466">
        <v>27151</v>
      </c>
      <c r="F118" s="133"/>
      <c r="G118" s="119"/>
      <c r="H118" s="116"/>
      <c r="I118" s="119"/>
      <c r="J118" s="116"/>
      <c r="K118" s="199" t="str">
        <f>HYPERLINK(CONCATENATE("http://www.spr.depen.pr.gov.br/centralvagas/exibirFoto.jpg?numProntuario=",$E118,"&amp;idImagem=1"),"FOTO 1")</f>
        <v>FOTO 1</v>
      </c>
      <c r="L118" s="199" t="str">
        <f>HYPERLINK(CONCATENATE("http://www.spr.depen.pr.gov.br/centralvagas/exibirFoto.jpg?numProntuario=",$E118,"&amp;idImagem=2"),"FOTO 2")</f>
        <v>FOTO 2</v>
      </c>
      <c r="M118" s="199" t="str">
        <f>HYPERLINK(CONCATENATE("http://www.spr.depen.pr.gov.br/centralvagas/exibirFoto.jpg?numProntuario=",$E118,"&amp;idImagem=3"),"FOTO 3")</f>
        <v>FOTO 3</v>
      </c>
      <c r="N118" s="199" t="str">
        <f>HYPERLINK(CONCATENATE("http://www.spr.depen.pr.gov.br/centralvagas/exibirFoto.jpg?numProntuario=",$E118,"&amp;idImagem=4"),"FOTO 4")</f>
        <v>FOTO 4</v>
      </c>
      <c r="O118" s="199" t="str">
        <f>HYPERLINK(CONCATENATE("http://www.spr.depen.pr.gov.br/centralvagas/exibirFoto.jpg?numProntuario=",$E118,"&amp;idImagem=5"),"FOTO 5")</f>
        <v>FOTO 5</v>
      </c>
      <c r="P118" s="199" t="str">
        <f>HYPERLINK(CONCATENATE("http://www.spr.depen.pr.gov.br/centralvagas/exibirFoto.jpg?numProntuario=",$E118,"&amp;idImagem=6"),"FOTO 6")</f>
        <v>FOTO 6</v>
      </c>
    </row>
    <row r="119" spans="1:16" ht="14.1" customHeight="1" thickTop="1" thickBot="1">
      <c r="A119" s="331"/>
      <c r="B119" s="143"/>
      <c r="C119" s="116" t="s">
        <v>2376</v>
      </c>
      <c r="D119" s="131" t="s">
        <v>3518</v>
      </c>
      <c r="E119" s="117">
        <v>492912</v>
      </c>
      <c r="F119" s="145"/>
      <c r="G119" s="162"/>
      <c r="H119" s="116"/>
      <c r="I119" s="162"/>
      <c r="J119" s="116"/>
      <c r="K119" s="199" t="str">
        <f>HYPERLINK(CONCATENATE("http://www.spr.depen.pr.gov.br/centralvagas/exibirFoto.jpg?numProntuario=",$E119,"&amp;idImagem=1"),"FOTO 1")</f>
        <v>FOTO 1</v>
      </c>
      <c r="L119" s="199" t="str">
        <f>HYPERLINK(CONCATENATE("http://www.spr.depen.pr.gov.br/centralvagas/exibirFoto.jpg?numProntuario=",$E119,"&amp;idImagem=2"),"FOTO 2")</f>
        <v>FOTO 2</v>
      </c>
      <c r="M119" s="199" t="str">
        <f>HYPERLINK(CONCATENATE("http://www.spr.depen.pr.gov.br/centralvagas/exibirFoto.jpg?numProntuario=",$E119,"&amp;idImagem=3"),"FOTO 3")</f>
        <v>FOTO 3</v>
      </c>
      <c r="N119" s="199" t="str">
        <f>HYPERLINK(CONCATENATE("http://www.spr.depen.pr.gov.br/centralvagas/exibirFoto.jpg?numProntuario=",$E119,"&amp;idImagem=4"),"FOTO 4")</f>
        <v>FOTO 4</v>
      </c>
      <c r="O119" s="199" t="str">
        <f>HYPERLINK(CONCATENATE("http://www.spr.depen.pr.gov.br/centralvagas/exibirFoto.jpg?numProntuario=",$E119,"&amp;idImagem=5"),"FOTO 5")</f>
        <v>FOTO 5</v>
      </c>
      <c r="P119" s="199" t="str">
        <f>HYPERLINK(CONCATENATE("http://www.spr.depen.pr.gov.br/centralvagas/exibirFoto.jpg?numProntuario=",$E119,"&amp;idImagem=6"),"FOTO 6")</f>
        <v>FOTO 6</v>
      </c>
    </row>
    <row r="120" spans="1:16" ht="14.1" customHeight="1" thickTop="1" thickBot="1">
      <c r="A120" s="251"/>
      <c r="B120" s="245"/>
      <c r="C120" s="116" t="s">
        <v>303</v>
      </c>
      <c r="D120" s="371" t="s">
        <v>624</v>
      </c>
      <c r="E120" s="117">
        <v>64452</v>
      </c>
      <c r="F120" s="145"/>
      <c r="G120" s="119"/>
      <c r="H120" s="116"/>
      <c r="I120" s="162"/>
      <c r="J120" s="116"/>
      <c r="K120" s="199" t="str">
        <f>HYPERLINK(CONCATENATE("http://www.spr.depen.pr.gov.br/centralvagas/exibirFoto.jpg?numProntuario=",$E120,"&amp;idImagem=1"),"FOTO 1")</f>
        <v>FOTO 1</v>
      </c>
      <c r="L120" s="199" t="str">
        <f>HYPERLINK(CONCATENATE("http://www.spr.depen.pr.gov.br/centralvagas/exibirFoto.jpg?numProntuario=",$E120,"&amp;idImagem=2"),"FOTO 2")</f>
        <v>FOTO 2</v>
      </c>
      <c r="M120" s="199" t="str">
        <f>HYPERLINK(CONCATENATE("http://www.spr.depen.pr.gov.br/centralvagas/exibirFoto.jpg?numProntuario=",$E120,"&amp;idImagem=3"),"FOTO 3")</f>
        <v>FOTO 3</v>
      </c>
      <c r="N120" s="199" t="str">
        <f>HYPERLINK(CONCATENATE("http://www.spr.depen.pr.gov.br/centralvagas/exibirFoto.jpg?numProntuario=",$E120,"&amp;idImagem=4"),"FOTO 4")</f>
        <v>FOTO 4</v>
      </c>
      <c r="O120" s="199" t="str">
        <f>HYPERLINK(CONCATENATE("http://www.spr.depen.pr.gov.br/centralvagas/exibirFoto.jpg?numProntuario=",$E120,"&amp;idImagem=5"),"FOTO 5")</f>
        <v>FOTO 5</v>
      </c>
      <c r="P120" s="199" t="str">
        <f>HYPERLINK(CONCATENATE("http://www.spr.depen.pr.gov.br/centralvagas/exibirFoto.jpg?numProntuario=",$E120,"&amp;idImagem=6"),"FOTO 6")</f>
        <v>FOTO 6</v>
      </c>
    </row>
    <row r="121" spans="1:16" ht="14.1" customHeight="1" thickTop="1" thickBot="1">
      <c r="A121" s="251"/>
      <c r="B121" s="245"/>
      <c r="C121" s="116" t="s">
        <v>303</v>
      </c>
      <c r="D121" s="371" t="s">
        <v>3528</v>
      </c>
      <c r="E121" s="117">
        <v>437362</v>
      </c>
      <c r="F121" s="145"/>
      <c r="G121" s="119"/>
      <c r="H121" s="116"/>
      <c r="I121" s="162"/>
      <c r="J121" s="116"/>
      <c r="K121" s="199" t="str">
        <f>HYPERLINK(CONCATENATE("http://www.spr.depen.pr.gov.br/centralvagas/exibirFoto.jpg?numProntuario=",$E121,"&amp;idImagem=1"),"FOTO 1")</f>
        <v>FOTO 1</v>
      </c>
      <c r="L121" s="199" t="str">
        <f>HYPERLINK(CONCATENATE("http://www.spr.depen.pr.gov.br/centralvagas/exibirFoto.jpg?numProntuario=",$E121,"&amp;idImagem=2"),"FOTO 2")</f>
        <v>FOTO 2</v>
      </c>
      <c r="M121" s="199" t="str">
        <f>HYPERLINK(CONCATENATE("http://www.spr.depen.pr.gov.br/centralvagas/exibirFoto.jpg?numProntuario=",$E121,"&amp;idImagem=3"),"FOTO 3")</f>
        <v>FOTO 3</v>
      </c>
      <c r="N121" s="199" t="str">
        <f>HYPERLINK(CONCATENATE("http://www.spr.depen.pr.gov.br/centralvagas/exibirFoto.jpg?numProntuario=",$E121,"&amp;idImagem=4"),"FOTO 4")</f>
        <v>FOTO 4</v>
      </c>
      <c r="O121" s="199" t="str">
        <f>HYPERLINK(CONCATENATE("http://www.spr.depen.pr.gov.br/centralvagas/exibirFoto.jpg?numProntuario=",$E121,"&amp;idImagem=5"),"FOTO 5")</f>
        <v>FOTO 5</v>
      </c>
      <c r="P121" s="199" t="str">
        <f>HYPERLINK(CONCATENATE("http://www.spr.depen.pr.gov.br/centralvagas/exibirFoto.jpg?numProntuario=",$E121,"&amp;idImagem=6"),"FOTO 6")</f>
        <v>FOTO 6</v>
      </c>
    </row>
    <row r="122" spans="1:16" ht="14.1" customHeight="1" thickTop="1" thickBot="1">
      <c r="A122" s="120"/>
      <c r="B122" s="245"/>
      <c r="C122" s="116" t="s">
        <v>303</v>
      </c>
      <c r="D122" s="122" t="s">
        <v>3465</v>
      </c>
      <c r="E122" s="144">
        <v>102053</v>
      </c>
      <c r="F122" s="116"/>
      <c r="G122" s="119"/>
      <c r="H122" s="116"/>
      <c r="I122" s="119"/>
      <c r="J122" s="116"/>
      <c r="K122" s="199" t="str">
        <f>HYPERLINK(CONCATENATE("http://www.spr.depen.pr.gov.br/centralvagas/exibirFoto.jpg?numProntuario=",$E122,"&amp;idImagem=1"),"FOTO 1")</f>
        <v>FOTO 1</v>
      </c>
      <c r="L122" s="199" t="str">
        <f>HYPERLINK(CONCATENATE("http://www.spr.depen.pr.gov.br/centralvagas/exibirFoto.jpg?numProntuario=",$E122,"&amp;idImagem=2"),"FOTO 2")</f>
        <v>FOTO 2</v>
      </c>
      <c r="M122" s="199" t="str">
        <f>HYPERLINK(CONCATENATE("http://www.spr.depen.pr.gov.br/centralvagas/exibirFoto.jpg?numProntuario=",$E122,"&amp;idImagem=3"),"FOTO 3")</f>
        <v>FOTO 3</v>
      </c>
      <c r="N122" s="199" t="str">
        <f>HYPERLINK(CONCATENATE("http://www.spr.depen.pr.gov.br/centralvagas/exibirFoto.jpg?numProntuario=",$E122,"&amp;idImagem=4"),"FOTO 4")</f>
        <v>FOTO 4</v>
      </c>
      <c r="O122" s="199" t="str">
        <f>HYPERLINK(CONCATENATE("http://www.spr.depen.pr.gov.br/centralvagas/exibirFoto.jpg?numProntuario=",$E122,"&amp;idImagem=5"),"FOTO 5")</f>
        <v>FOTO 5</v>
      </c>
      <c r="P122" s="199" t="str">
        <f>HYPERLINK(CONCATENATE("http://www.spr.depen.pr.gov.br/centralvagas/exibirFoto.jpg?numProntuario=",$E122,"&amp;idImagem=6"),"FOTO 6")</f>
        <v>FOTO 6</v>
      </c>
    </row>
    <row r="123" spans="1:16" ht="14.1" customHeight="1" thickTop="1" thickBot="1">
      <c r="A123" s="251"/>
      <c r="B123" s="245"/>
      <c r="C123" s="116" t="s">
        <v>303</v>
      </c>
      <c r="D123" s="131" t="s">
        <v>2027</v>
      </c>
      <c r="E123" s="117">
        <v>103830</v>
      </c>
      <c r="F123" s="145"/>
      <c r="G123" s="162"/>
      <c r="H123" s="116"/>
      <c r="I123" s="162"/>
      <c r="J123" s="116"/>
      <c r="K123" s="199" t="str">
        <f>HYPERLINK(CONCATENATE("http://www.spr.depen.pr.gov.br/centralvagas/exibirFoto.jpg?numProntuario=",$E123,"&amp;idImagem=1"),"FOTO 1")</f>
        <v>FOTO 1</v>
      </c>
      <c r="L123" s="199" t="str">
        <f>HYPERLINK(CONCATENATE("http://www.spr.depen.pr.gov.br/centralvagas/exibirFoto.jpg?numProntuario=",$E123,"&amp;idImagem=2"),"FOTO 2")</f>
        <v>FOTO 2</v>
      </c>
      <c r="M123" s="199" t="str">
        <f>HYPERLINK(CONCATENATE("http://www.spr.depen.pr.gov.br/centralvagas/exibirFoto.jpg?numProntuario=",$E123,"&amp;idImagem=3"),"FOTO 3")</f>
        <v>FOTO 3</v>
      </c>
      <c r="N123" s="199" t="str">
        <f>HYPERLINK(CONCATENATE("http://www.spr.depen.pr.gov.br/centralvagas/exibirFoto.jpg?numProntuario=",$E123,"&amp;idImagem=4"),"FOTO 4")</f>
        <v>FOTO 4</v>
      </c>
      <c r="O123" s="199" t="str">
        <f>HYPERLINK(CONCATENATE("http://www.spr.depen.pr.gov.br/centralvagas/exibirFoto.jpg?numProntuario=",$E123,"&amp;idImagem=5"),"FOTO 5")</f>
        <v>FOTO 5</v>
      </c>
      <c r="P123" s="199" t="str">
        <f>HYPERLINK(CONCATENATE("http://www.spr.depen.pr.gov.br/centralvagas/exibirFoto.jpg?numProntuario=",$E123,"&amp;idImagem=6"),"FOTO 6")</f>
        <v>FOTO 6</v>
      </c>
    </row>
    <row r="124" spans="1:16" ht="14.1" customHeight="1" thickTop="1" thickBot="1">
      <c r="A124" s="118"/>
      <c r="B124" s="228"/>
      <c r="C124" s="118" t="s">
        <v>303</v>
      </c>
      <c r="D124" s="122" t="s">
        <v>958</v>
      </c>
      <c r="E124" s="144">
        <v>27134</v>
      </c>
      <c r="F124" s="118"/>
      <c r="G124" s="118"/>
      <c r="H124" s="118"/>
      <c r="I124" s="118"/>
      <c r="J124" s="118"/>
      <c r="K124" s="603" t="str">
        <f>HYPERLINK(CONCATENATE("http://www.spr.depen.pr.gov.br/centralvagas/exibirFoto.jpg?numProntuario=",$E124,"&amp;idImagem=1"),"FOTO 1")</f>
        <v>FOTO 1</v>
      </c>
      <c r="L124" s="603" t="str">
        <f>HYPERLINK(CONCATENATE("http://www.spr.depen.pr.gov.br/centralvagas/exibirFoto.jpg?numProntuario=",$E124,"&amp;idImagem=2"),"FOTO 2")</f>
        <v>FOTO 2</v>
      </c>
      <c r="M124" s="603" t="str">
        <f>HYPERLINK(CONCATENATE("http://www.spr.depen.pr.gov.br/centralvagas/exibirFoto.jpg?numProntuario=",$E124,"&amp;idImagem=3"),"FOTO 3")</f>
        <v>FOTO 3</v>
      </c>
      <c r="N124" s="603" t="str">
        <f>HYPERLINK(CONCATENATE("http://www.spr.depen.pr.gov.br/centralvagas/exibirFoto.jpg?numProntuario=",$E124,"&amp;idImagem=4"),"FOTO 4")</f>
        <v>FOTO 4</v>
      </c>
      <c r="O124" s="603" t="str">
        <f>HYPERLINK(CONCATENATE("http://www.spr.depen.pr.gov.br/centralvagas/exibirFoto.jpg?numProntuario=",$E124,"&amp;idImagem=5"),"FOTO 5")</f>
        <v>FOTO 5</v>
      </c>
      <c r="P124" s="603" t="str">
        <f>HYPERLINK(CONCATENATE("http://www.spr.depen.pr.gov.br/centralvagas/exibirFoto.jpg?numProntuario=",$E124,"&amp;idImagem=6"),"FOTO 6")</f>
        <v>FOTO 6</v>
      </c>
    </row>
    <row r="125" spans="1:16" ht="14.1" customHeight="1" thickTop="1" thickBot="1">
      <c r="A125" s="368"/>
      <c r="B125" s="369"/>
      <c r="C125" s="116" t="s">
        <v>45</v>
      </c>
      <c r="D125" s="131" t="s">
        <v>3535</v>
      </c>
      <c r="E125" s="117">
        <v>132736</v>
      </c>
      <c r="F125" s="145"/>
      <c r="G125" s="162"/>
      <c r="H125" s="116"/>
      <c r="I125" s="162"/>
      <c r="J125" s="116"/>
      <c r="K125" s="199" t="str">
        <f>HYPERLINK(CONCATENATE("http://www.spr.depen.pr.gov.br/centralvagas/exibirFoto.jpg?numProntuario=",$E125,"&amp;idImagem=1"),"FOTO 1")</f>
        <v>FOTO 1</v>
      </c>
      <c r="L125" s="199" t="str">
        <f>HYPERLINK(CONCATENATE("http://www.spr.depen.pr.gov.br/centralvagas/exibirFoto.jpg?numProntuario=",$E125,"&amp;idImagem=2"),"FOTO 2")</f>
        <v>FOTO 2</v>
      </c>
      <c r="M125" s="199" t="str">
        <f>HYPERLINK(CONCATENATE("http://www.spr.depen.pr.gov.br/centralvagas/exibirFoto.jpg?numProntuario=",$E125,"&amp;idImagem=3"),"FOTO 3")</f>
        <v>FOTO 3</v>
      </c>
      <c r="N125" s="199" t="str">
        <f>HYPERLINK(CONCATENATE("http://www.spr.depen.pr.gov.br/centralvagas/exibirFoto.jpg?numProntuario=",$E125,"&amp;idImagem=4"),"FOTO 4")</f>
        <v>FOTO 4</v>
      </c>
      <c r="O125" s="199" t="str">
        <f>HYPERLINK(CONCATENATE("http://www.spr.depen.pr.gov.br/centralvagas/exibirFoto.jpg?numProntuario=",$E125,"&amp;idImagem=5"),"FOTO 5")</f>
        <v>FOTO 5</v>
      </c>
      <c r="P125" s="199" t="str">
        <f>HYPERLINK(CONCATENATE("http://www.spr.depen.pr.gov.br/centralvagas/exibirFoto.jpg?numProntuario=",$E125,"&amp;idImagem=6"),"FOTO 6")</f>
        <v>FOTO 6</v>
      </c>
    </row>
    <row r="126" spans="1:16" ht="14.1" customHeight="1" thickTop="1" thickBot="1">
      <c r="A126" s="368"/>
      <c r="B126" s="369"/>
      <c r="C126" s="116" t="s">
        <v>45</v>
      </c>
      <c r="D126" s="131" t="s">
        <v>3536</v>
      </c>
      <c r="E126" s="117">
        <v>120643</v>
      </c>
      <c r="F126" s="145"/>
      <c r="G126" s="162"/>
      <c r="H126" s="116"/>
      <c r="I126" s="162"/>
      <c r="J126" s="116"/>
      <c r="K126" s="199" t="str">
        <f>HYPERLINK(CONCATENATE("http://www.spr.depen.pr.gov.br/centralvagas/exibirFoto.jpg?numProntuario=",$E126,"&amp;idImagem=1"),"FOTO 1")</f>
        <v>FOTO 1</v>
      </c>
      <c r="L126" s="199" t="str">
        <f>HYPERLINK(CONCATENATE("http://www.spr.depen.pr.gov.br/centralvagas/exibirFoto.jpg?numProntuario=",$E126,"&amp;idImagem=2"),"FOTO 2")</f>
        <v>FOTO 2</v>
      </c>
      <c r="M126" s="199" t="str">
        <f>HYPERLINK(CONCATENATE("http://www.spr.depen.pr.gov.br/centralvagas/exibirFoto.jpg?numProntuario=",$E126,"&amp;idImagem=3"),"FOTO 3")</f>
        <v>FOTO 3</v>
      </c>
      <c r="N126" s="199" t="str">
        <f>HYPERLINK(CONCATENATE("http://www.spr.depen.pr.gov.br/centralvagas/exibirFoto.jpg?numProntuario=",$E126,"&amp;idImagem=4"),"FOTO 4")</f>
        <v>FOTO 4</v>
      </c>
      <c r="O126" s="199" t="str">
        <f>HYPERLINK(CONCATENATE("http://www.spr.depen.pr.gov.br/centralvagas/exibirFoto.jpg?numProntuario=",$E126,"&amp;idImagem=5"),"FOTO 5")</f>
        <v>FOTO 5</v>
      </c>
      <c r="P126" s="199" t="str">
        <f>HYPERLINK(CONCATENATE("http://www.spr.depen.pr.gov.br/centralvagas/exibirFoto.jpg?numProntuario=",$E126,"&amp;idImagem=6"),"FOTO 6")</f>
        <v>FOTO 6</v>
      </c>
    </row>
    <row r="127" spans="1:16" ht="14.1" customHeight="1" thickTop="1" thickBot="1">
      <c r="A127" s="368"/>
      <c r="B127" s="369"/>
      <c r="C127" s="116" t="s">
        <v>45</v>
      </c>
      <c r="D127" s="131" t="s">
        <v>1843</v>
      </c>
      <c r="E127" s="117">
        <v>8065</v>
      </c>
      <c r="F127" s="145"/>
      <c r="G127" s="119"/>
      <c r="H127" s="116"/>
      <c r="I127" s="162"/>
      <c r="J127" s="116"/>
      <c r="K127" s="199" t="str">
        <f>HYPERLINK(CONCATENATE("http://www.spr.depen.pr.gov.br/centralvagas/exibirFoto.jpg?numProntuario=",$E127,"&amp;idImagem=1"),"FOTO 1")</f>
        <v>FOTO 1</v>
      </c>
      <c r="L127" s="199" t="str">
        <f>HYPERLINK(CONCATENATE("http://www.spr.depen.pr.gov.br/centralvagas/exibirFoto.jpg?numProntuario=",$E127,"&amp;idImagem=2"),"FOTO 2")</f>
        <v>FOTO 2</v>
      </c>
      <c r="M127" s="199" t="str">
        <f>HYPERLINK(CONCATENATE("http://www.spr.depen.pr.gov.br/centralvagas/exibirFoto.jpg?numProntuario=",$E127,"&amp;idImagem=3"),"FOTO 3")</f>
        <v>FOTO 3</v>
      </c>
      <c r="N127" s="199" t="str">
        <f>HYPERLINK(CONCATENATE("http://www.spr.depen.pr.gov.br/centralvagas/exibirFoto.jpg?numProntuario=",$E127,"&amp;idImagem=4"),"FOTO 4")</f>
        <v>FOTO 4</v>
      </c>
      <c r="O127" s="199" t="str">
        <f>HYPERLINK(CONCATENATE("http://www.spr.depen.pr.gov.br/centralvagas/exibirFoto.jpg?numProntuario=",$E127,"&amp;idImagem=5"),"FOTO 5")</f>
        <v>FOTO 5</v>
      </c>
      <c r="P127" s="199" t="str">
        <f>HYPERLINK(CONCATENATE("http://www.spr.depen.pr.gov.br/centralvagas/exibirFoto.jpg?numProntuario=",$E127,"&amp;idImagem=6"),"FOTO 6")</f>
        <v>FOTO 6</v>
      </c>
    </row>
    <row r="128" spans="1:16" ht="14.1" customHeight="1" thickTop="1" thickBot="1">
      <c r="A128" s="207" t="s">
        <v>263</v>
      </c>
      <c r="B128" s="147" t="s">
        <v>3732</v>
      </c>
      <c r="C128" s="145" t="s">
        <v>45</v>
      </c>
      <c r="D128" s="606" t="s">
        <v>493</v>
      </c>
      <c r="E128" s="607">
        <v>102133</v>
      </c>
      <c r="F128" s="133"/>
      <c r="G128" s="119"/>
      <c r="H128" s="116"/>
      <c r="I128" s="119"/>
      <c r="J128" s="116"/>
      <c r="K128" s="199" t="str">
        <f>HYPERLINK(CONCATENATE("http://www.spr.depen.pr.gov.br/centralvagas/exibirFoto.jpg?numProntuario=",$E128,"&amp;idImagem=1"),"FOTO 1")</f>
        <v>FOTO 1</v>
      </c>
      <c r="L128" s="199" t="str">
        <f>HYPERLINK(CONCATENATE("http://www.spr.depen.pr.gov.br/centralvagas/exibirFoto.jpg?numProntuario=",$E128,"&amp;idImagem=2"),"FOTO 2")</f>
        <v>FOTO 2</v>
      </c>
      <c r="M128" s="199" t="str">
        <f>HYPERLINK(CONCATENATE("http://www.spr.depen.pr.gov.br/centralvagas/exibirFoto.jpg?numProntuario=",$E128,"&amp;idImagem=3"),"FOTO 3")</f>
        <v>FOTO 3</v>
      </c>
      <c r="N128" s="199" t="str">
        <f>HYPERLINK(CONCATENATE("http://www.spr.depen.pr.gov.br/centralvagas/exibirFoto.jpg?numProntuario=",$E128,"&amp;idImagem=4"),"FOTO 4")</f>
        <v>FOTO 4</v>
      </c>
      <c r="O128" s="199" t="str">
        <f>HYPERLINK(CONCATENATE("http://www.spr.depen.pr.gov.br/centralvagas/exibirFoto.jpg?numProntuario=",$E128,"&amp;idImagem=5"),"FOTO 5")</f>
        <v>FOTO 5</v>
      </c>
      <c r="P128" s="199" t="str">
        <f>HYPERLINK(CONCATENATE("http://www.spr.depen.pr.gov.br/centralvagas/exibirFoto.jpg?numProntuario=",$E128,"&amp;idImagem=6"),"FOTO 6")</f>
        <v>FOTO 6</v>
      </c>
    </row>
    <row r="129" spans="1:16" ht="14.1" customHeight="1" thickTop="1" thickBot="1">
      <c r="A129" s="368"/>
      <c r="B129" s="369"/>
      <c r="C129" s="116" t="s">
        <v>45</v>
      </c>
      <c r="D129" s="131" t="s">
        <v>1015</v>
      </c>
      <c r="E129" s="117">
        <v>101606</v>
      </c>
      <c r="F129" s="145"/>
      <c r="G129" s="162"/>
      <c r="H129" s="116"/>
      <c r="I129" s="162"/>
      <c r="J129" s="116"/>
      <c r="K129" s="199" t="str">
        <f>HYPERLINK(CONCATENATE("http://www.spr.depen.pr.gov.br/centralvagas/exibirFoto.jpg?numProntuario=",$E129,"&amp;idImagem=1"),"FOTO 1")</f>
        <v>FOTO 1</v>
      </c>
      <c r="L129" s="199" t="str">
        <f>HYPERLINK(CONCATENATE("http://www.spr.depen.pr.gov.br/centralvagas/exibirFoto.jpg?numProntuario=",$E129,"&amp;idImagem=2"),"FOTO 2")</f>
        <v>FOTO 2</v>
      </c>
      <c r="M129" s="199" t="str">
        <f>HYPERLINK(CONCATENATE("http://www.spr.depen.pr.gov.br/centralvagas/exibirFoto.jpg?numProntuario=",$E129,"&amp;idImagem=3"),"FOTO 3")</f>
        <v>FOTO 3</v>
      </c>
      <c r="N129" s="199" t="str">
        <f>HYPERLINK(CONCATENATE("http://www.spr.depen.pr.gov.br/centralvagas/exibirFoto.jpg?numProntuario=",$E129,"&amp;idImagem=4"),"FOTO 4")</f>
        <v>FOTO 4</v>
      </c>
      <c r="O129" s="199" t="str">
        <f>HYPERLINK(CONCATENATE("http://www.spr.depen.pr.gov.br/centralvagas/exibirFoto.jpg?numProntuario=",$E129,"&amp;idImagem=5"),"FOTO 5")</f>
        <v>FOTO 5</v>
      </c>
      <c r="P129" s="199" t="str">
        <f>HYPERLINK(CONCATENATE("http://www.spr.depen.pr.gov.br/centralvagas/exibirFoto.jpg?numProntuario=",$E129,"&amp;idImagem=6"),"FOTO 6")</f>
        <v>FOTO 6</v>
      </c>
    </row>
    <row r="130" spans="1:16" ht="14.1" customHeight="1" thickTop="1" thickBot="1">
      <c r="A130" s="151" t="s">
        <v>263</v>
      </c>
      <c r="B130" s="147" t="s">
        <v>3730</v>
      </c>
      <c r="C130" s="116" t="s">
        <v>834</v>
      </c>
      <c r="D130" s="131" t="s">
        <v>3451</v>
      </c>
      <c r="E130" s="466">
        <v>163252</v>
      </c>
      <c r="F130" s="116"/>
      <c r="G130" s="119"/>
      <c r="H130" s="116"/>
      <c r="I130" s="119"/>
      <c r="J130" s="116"/>
      <c r="K130" s="199" t="str">
        <f>HYPERLINK(CONCATENATE("http://www.spr.depen.pr.gov.br/centralvagas/exibirFoto.jpg?numProntuario=",$E130,"&amp;idImagem=1"),"FOTO 1")</f>
        <v>FOTO 1</v>
      </c>
      <c r="L130" s="199" t="str">
        <f>HYPERLINK(CONCATENATE("http://www.spr.depen.pr.gov.br/centralvagas/exibirFoto.jpg?numProntuario=",$E130,"&amp;idImagem=2"),"FOTO 2")</f>
        <v>FOTO 2</v>
      </c>
      <c r="M130" s="199" t="str">
        <f>HYPERLINK(CONCATENATE("http://www.spr.depen.pr.gov.br/centralvagas/exibirFoto.jpg?numProntuario=",$E130,"&amp;idImagem=3"),"FOTO 3")</f>
        <v>FOTO 3</v>
      </c>
      <c r="N130" s="199" t="str">
        <f>HYPERLINK(CONCATENATE("http://www.spr.depen.pr.gov.br/centralvagas/exibirFoto.jpg?numProntuario=",$E130,"&amp;idImagem=4"),"FOTO 4")</f>
        <v>FOTO 4</v>
      </c>
      <c r="O130" s="199" t="str">
        <f>HYPERLINK(CONCATENATE("http://www.spr.depen.pr.gov.br/centralvagas/exibirFoto.jpg?numProntuario=",$E130,"&amp;idImagem=5"),"FOTO 5")</f>
        <v>FOTO 5</v>
      </c>
      <c r="P130" s="199" t="str">
        <f>HYPERLINK(CONCATENATE("http://www.spr.depen.pr.gov.br/centralvagas/exibirFoto.jpg?numProntuario=",$E130,"&amp;idImagem=6"),"FOTO 6")</f>
        <v>FOTO 6</v>
      </c>
    </row>
    <row r="131" spans="1:16" ht="14.1" customHeight="1" thickTop="1" thickBot="1">
      <c r="A131" s="116"/>
      <c r="B131" s="127"/>
      <c r="C131" s="118" t="s">
        <v>834</v>
      </c>
      <c r="D131" s="122" t="s">
        <v>2130</v>
      </c>
      <c r="E131" s="345">
        <v>117389</v>
      </c>
      <c r="F131" s="116"/>
      <c r="G131" s="119"/>
      <c r="H131" s="116"/>
      <c r="I131" s="119"/>
      <c r="J131" s="132"/>
      <c r="K131" s="199" t="str">
        <f>HYPERLINK(CONCATENATE("http://www.spr.depen.pr.gov.br/centralvagas/exibirFoto.jpg?numProntuario=",$E131,"&amp;idImagem=1"),"FOTO 1")</f>
        <v>FOTO 1</v>
      </c>
      <c r="L131" s="199" t="str">
        <f>HYPERLINK(CONCATENATE("http://www.spr.depen.pr.gov.br/centralvagas/exibirFoto.jpg?numProntuario=",$E131,"&amp;idImagem=2"),"FOTO 2")</f>
        <v>FOTO 2</v>
      </c>
      <c r="M131" s="199" t="str">
        <f>HYPERLINK(CONCATENATE("http://www.spr.depen.pr.gov.br/centralvagas/exibirFoto.jpg?numProntuario=",$E131,"&amp;idImagem=3"),"FOTO 3")</f>
        <v>FOTO 3</v>
      </c>
      <c r="N131" s="199" t="str">
        <f>HYPERLINK(CONCATENATE("http://www.spr.depen.pr.gov.br/centralvagas/exibirFoto.jpg?numProntuario=",$E131,"&amp;idImagem=4"),"FOTO 4")</f>
        <v>FOTO 4</v>
      </c>
      <c r="O131" s="199" t="str">
        <f>HYPERLINK(CONCATENATE("http://www.spr.depen.pr.gov.br/centralvagas/exibirFoto.jpg?numProntuario=",$E131,"&amp;idImagem=5"),"FOTO 5")</f>
        <v>FOTO 5</v>
      </c>
      <c r="P131" s="199" t="str">
        <f>HYPERLINK(CONCATENATE("http://www.spr.depen.pr.gov.br/centralvagas/exibirFoto.jpg?numProntuario=",$E131,"&amp;idImagem=6"),"FOTO 6")</f>
        <v>FOTO 6</v>
      </c>
    </row>
    <row r="132" spans="1:16" ht="14.1" customHeight="1" thickTop="1" thickBot="1">
      <c r="A132" s="120"/>
      <c r="B132" s="245"/>
      <c r="C132" s="116" t="s">
        <v>834</v>
      </c>
      <c r="D132" s="131" t="s">
        <v>2796</v>
      </c>
      <c r="E132" s="117">
        <v>127764</v>
      </c>
      <c r="F132" s="116"/>
      <c r="G132" s="119"/>
      <c r="H132" s="116"/>
      <c r="I132" s="119"/>
      <c r="J132" s="132"/>
      <c r="K132" s="199" t="str">
        <f>HYPERLINK(CONCATENATE("http://www.spr.depen.pr.gov.br/centralvagas/exibirFoto.jpg?numProntuario=",$E132,"&amp;idImagem=1"),"FOTO 1")</f>
        <v>FOTO 1</v>
      </c>
      <c r="L132" s="199" t="str">
        <f>HYPERLINK(CONCATENATE("http://www.spr.depen.pr.gov.br/centralvagas/exibirFoto.jpg?numProntuario=",$E132,"&amp;idImagem=2"),"FOTO 2")</f>
        <v>FOTO 2</v>
      </c>
      <c r="M132" s="199" t="str">
        <f>HYPERLINK(CONCATENATE("http://www.spr.depen.pr.gov.br/centralvagas/exibirFoto.jpg?numProntuario=",$E132,"&amp;idImagem=3"),"FOTO 3")</f>
        <v>FOTO 3</v>
      </c>
      <c r="N132" s="199" t="str">
        <f>HYPERLINK(CONCATENATE("http://www.spr.depen.pr.gov.br/centralvagas/exibirFoto.jpg?numProntuario=",$E132,"&amp;idImagem=4"),"FOTO 4")</f>
        <v>FOTO 4</v>
      </c>
      <c r="O132" s="199" t="str">
        <f>HYPERLINK(CONCATENATE("http://www.spr.depen.pr.gov.br/centralvagas/exibirFoto.jpg?numProntuario=",$E132,"&amp;idImagem=5"),"FOTO 5")</f>
        <v>FOTO 5</v>
      </c>
      <c r="P132" s="199" t="str">
        <f>HYPERLINK(CONCATENATE("http://www.spr.depen.pr.gov.br/centralvagas/exibirFoto.jpg?numProntuario=",$E132,"&amp;idImagem=6"),"FOTO 6")</f>
        <v>FOTO 6</v>
      </c>
    </row>
    <row r="133" spans="1:16" ht="14.1" customHeight="1" thickTop="1" thickBot="1">
      <c r="A133" s="120"/>
      <c r="B133" s="245"/>
      <c r="C133" s="116" t="s">
        <v>834</v>
      </c>
      <c r="D133" s="131" t="s">
        <v>3449</v>
      </c>
      <c r="E133" s="466">
        <v>163420</v>
      </c>
      <c r="F133" s="116"/>
      <c r="G133" s="119"/>
      <c r="H133" s="116"/>
      <c r="I133" s="119"/>
      <c r="J133" s="116"/>
      <c r="K133" s="199" t="str">
        <f>HYPERLINK(CONCATENATE("http://www.spr.depen.pr.gov.br/centralvagas/exibirFoto.jpg?numProntuario=",$E133,"&amp;idImagem=1"),"FOTO 1")</f>
        <v>FOTO 1</v>
      </c>
      <c r="L133" s="199" t="str">
        <f>HYPERLINK(CONCATENATE("http://www.spr.depen.pr.gov.br/centralvagas/exibirFoto.jpg?numProntuario=",$E133,"&amp;idImagem=2"),"FOTO 2")</f>
        <v>FOTO 2</v>
      </c>
      <c r="M133" s="199" t="str">
        <f>HYPERLINK(CONCATENATE("http://www.spr.depen.pr.gov.br/centralvagas/exibirFoto.jpg?numProntuario=",$E133,"&amp;idImagem=3"),"FOTO 3")</f>
        <v>FOTO 3</v>
      </c>
      <c r="N133" s="199" t="str">
        <f>HYPERLINK(CONCATENATE("http://www.spr.depen.pr.gov.br/centralvagas/exibirFoto.jpg?numProntuario=",$E133,"&amp;idImagem=4"),"FOTO 4")</f>
        <v>FOTO 4</v>
      </c>
      <c r="O133" s="199" t="str">
        <f>HYPERLINK(CONCATENATE("http://www.spr.depen.pr.gov.br/centralvagas/exibirFoto.jpg?numProntuario=",$E133,"&amp;idImagem=5"),"FOTO 5")</f>
        <v>FOTO 5</v>
      </c>
      <c r="P133" s="199" t="str">
        <f>HYPERLINK(CONCATENATE("http://www.spr.depen.pr.gov.br/centralvagas/exibirFoto.jpg?numProntuario=",$E133,"&amp;idImagem=6"),"FOTO 6")</f>
        <v>FOTO 6</v>
      </c>
    </row>
    <row r="134" spans="1:16" ht="14.1" customHeight="1" thickTop="1" thickBot="1">
      <c r="A134" s="120"/>
      <c r="B134" s="245"/>
      <c r="C134" s="116" t="s">
        <v>834</v>
      </c>
      <c r="D134" s="131" t="s">
        <v>1456</v>
      </c>
      <c r="E134" s="117">
        <v>10302</v>
      </c>
      <c r="F134" s="116"/>
      <c r="G134" s="119"/>
      <c r="H134" s="116"/>
      <c r="I134" s="119"/>
      <c r="J134" s="116"/>
      <c r="K134" s="199" t="str">
        <f>HYPERLINK(CONCATENATE("http://www.spr.depen.pr.gov.br/centralvagas/exibirFoto.jpg?numProntuario=",$E134,"&amp;idImagem=1"),"FOTO 1")</f>
        <v>FOTO 1</v>
      </c>
      <c r="L134" s="199" t="str">
        <f>HYPERLINK(CONCATENATE("http://www.spr.depen.pr.gov.br/centralvagas/exibirFoto.jpg?numProntuario=",$E134,"&amp;idImagem=2"),"FOTO 2")</f>
        <v>FOTO 2</v>
      </c>
      <c r="M134" s="199" t="str">
        <f>HYPERLINK(CONCATENATE("http://www.spr.depen.pr.gov.br/centralvagas/exibirFoto.jpg?numProntuario=",$E134,"&amp;idImagem=3"),"FOTO 3")</f>
        <v>FOTO 3</v>
      </c>
      <c r="N134" s="199" t="str">
        <f>HYPERLINK(CONCATENATE("http://www.spr.depen.pr.gov.br/centralvagas/exibirFoto.jpg?numProntuario=",$E134,"&amp;idImagem=4"),"FOTO 4")</f>
        <v>FOTO 4</v>
      </c>
      <c r="O134" s="199" t="str">
        <f>HYPERLINK(CONCATENATE("http://www.spr.depen.pr.gov.br/centralvagas/exibirFoto.jpg?numProntuario=",$E134,"&amp;idImagem=5"),"FOTO 5")</f>
        <v>FOTO 5</v>
      </c>
      <c r="P134" s="199" t="str">
        <f>HYPERLINK(CONCATENATE("http://www.spr.depen.pr.gov.br/centralvagas/exibirFoto.jpg?numProntuario=",$E134,"&amp;idImagem=6"),"FOTO 6")</f>
        <v>FOTO 6</v>
      </c>
    </row>
    <row r="135" spans="1:16" ht="14.1" customHeight="1" thickTop="1" thickBot="1">
      <c r="A135" s="390"/>
      <c r="B135" s="391"/>
      <c r="C135" s="126" t="s">
        <v>2431</v>
      </c>
      <c r="D135" s="141" t="s">
        <v>3557</v>
      </c>
      <c r="E135" s="117">
        <v>373470</v>
      </c>
      <c r="F135" s="116"/>
      <c r="G135" s="119"/>
      <c r="H135" s="116"/>
      <c r="I135" s="119"/>
      <c r="J135" s="116"/>
      <c r="K135" s="199" t="str">
        <f>HYPERLINK(CONCATENATE("http://www.spr.depen.pr.gov.br/centralvagas/exibirFoto.jpg?numProntuario=",$E135,"&amp;idImagem=1"),"FOTO 1")</f>
        <v>FOTO 1</v>
      </c>
      <c r="L135" s="199" t="str">
        <f>HYPERLINK(CONCATENATE("http://www.spr.depen.pr.gov.br/centralvagas/exibirFoto.jpg?numProntuario=",$E135,"&amp;idImagem=2"),"FOTO 2")</f>
        <v>FOTO 2</v>
      </c>
      <c r="M135" s="199" t="str">
        <f>HYPERLINK(CONCATENATE("http://www.spr.depen.pr.gov.br/centralvagas/exibirFoto.jpg?numProntuario=",$E135,"&amp;idImagem=3"),"FOTO 3")</f>
        <v>FOTO 3</v>
      </c>
      <c r="N135" s="199" t="str">
        <f>HYPERLINK(CONCATENATE("http://www.spr.depen.pr.gov.br/centralvagas/exibirFoto.jpg?numProntuario=",$E135,"&amp;idImagem=4"),"FOTO 4")</f>
        <v>FOTO 4</v>
      </c>
      <c r="O135" s="199" t="str">
        <f>HYPERLINK(CONCATENATE("http://www.spr.depen.pr.gov.br/centralvagas/exibirFoto.jpg?numProntuario=",$E135,"&amp;idImagem=5"),"FOTO 5")</f>
        <v>FOTO 5</v>
      </c>
      <c r="P135" s="199" t="str">
        <f>HYPERLINK(CONCATENATE("http://www.spr.depen.pr.gov.br/centralvagas/exibirFoto.jpg?numProntuario=",$E135,"&amp;idImagem=6"),"FOTO 6")</f>
        <v>FOTO 6</v>
      </c>
    </row>
    <row r="136" spans="1:16" ht="14.1" customHeight="1" thickTop="1" thickBot="1">
      <c r="A136" s="390"/>
      <c r="B136" s="391"/>
      <c r="C136" s="126" t="s">
        <v>2431</v>
      </c>
      <c r="D136" s="141" t="s">
        <v>3558</v>
      </c>
      <c r="E136" s="117">
        <v>459448</v>
      </c>
      <c r="F136" s="116"/>
      <c r="G136" s="119"/>
      <c r="H136" s="116"/>
      <c r="I136" s="119"/>
      <c r="J136" s="116"/>
      <c r="K136" s="199" t="str">
        <f>HYPERLINK(CONCATENATE("http://www.spr.depen.pr.gov.br/centralvagas/exibirFoto.jpg?numProntuario=",$E136,"&amp;idImagem=1"),"FOTO 1")</f>
        <v>FOTO 1</v>
      </c>
      <c r="L136" s="199" t="str">
        <f>HYPERLINK(CONCATENATE("http://www.spr.depen.pr.gov.br/centralvagas/exibirFoto.jpg?numProntuario=",$E136,"&amp;idImagem=2"),"FOTO 2")</f>
        <v>FOTO 2</v>
      </c>
      <c r="M136" s="199" t="str">
        <f>HYPERLINK(CONCATENATE("http://www.spr.depen.pr.gov.br/centralvagas/exibirFoto.jpg?numProntuario=",$E136,"&amp;idImagem=3"),"FOTO 3")</f>
        <v>FOTO 3</v>
      </c>
      <c r="N136" s="199" t="str">
        <f>HYPERLINK(CONCATENATE("http://www.spr.depen.pr.gov.br/centralvagas/exibirFoto.jpg?numProntuario=",$E136,"&amp;idImagem=4"),"FOTO 4")</f>
        <v>FOTO 4</v>
      </c>
      <c r="O136" s="199" t="str">
        <f>HYPERLINK(CONCATENATE("http://www.spr.depen.pr.gov.br/centralvagas/exibirFoto.jpg?numProntuario=",$E136,"&amp;idImagem=5"),"FOTO 5")</f>
        <v>FOTO 5</v>
      </c>
      <c r="P136" s="199" t="str">
        <f>HYPERLINK(CONCATENATE("http://www.spr.depen.pr.gov.br/centralvagas/exibirFoto.jpg?numProntuario=",$E136,"&amp;idImagem=6"),"FOTO 6")</f>
        <v>FOTO 6</v>
      </c>
    </row>
    <row r="137" spans="1:16" ht="14.1" customHeight="1" thickTop="1" thickBot="1">
      <c r="A137" s="370"/>
      <c r="B137" s="254"/>
      <c r="C137" s="118" t="s">
        <v>2431</v>
      </c>
      <c r="D137" s="449" t="s">
        <v>3573</v>
      </c>
      <c r="E137" s="467">
        <v>388762</v>
      </c>
      <c r="F137" s="145"/>
      <c r="G137" s="162"/>
      <c r="H137" s="116"/>
      <c r="I137" s="162"/>
      <c r="J137" s="116"/>
      <c r="K137" s="199" t="str">
        <f>HYPERLINK(CONCATENATE("http://www.spr.depen.pr.gov.br/centralvagas/exibirFoto.jpg?numProntuario=",$E137,"&amp;idImagem=1"),"FOTO 1")</f>
        <v>FOTO 1</v>
      </c>
      <c r="L137" s="199" t="str">
        <f>HYPERLINK(CONCATENATE("http://www.spr.depen.pr.gov.br/centralvagas/exibirFoto.jpg?numProntuario=",$E137,"&amp;idImagem=2"),"FOTO 2")</f>
        <v>FOTO 2</v>
      </c>
      <c r="M137" s="199" t="str">
        <f>HYPERLINK(CONCATENATE("http://www.spr.depen.pr.gov.br/centralvagas/exibirFoto.jpg?numProntuario=",$E137,"&amp;idImagem=3"),"FOTO 3")</f>
        <v>FOTO 3</v>
      </c>
      <c r="N137" s="199" t="str">
        <f>HYPERLINK(CONCATENATE("http://www.spr.depen.pr.gov.br/centralvagas/exibirFoto.jpg?numProntuario=",$E137,"&amp;idImagem=4"),"FOTO 4")</f>
        <v>FOTO 4</v>
      </c>
      <c r="O137" s="199" t="str">
        <f>HYPERLINK(CONCATENATE("http://www.spr.depen.pr.gov.br/centralvagas/exibirFoto.jpg?numProntuario=",$E137,"&amp;idImagem=5"),"FOTO 5")</f>
        <v>FOTO 5</v>
      </c>
      <c r="P137" s="199" t="str">
        <f>HYPERLINK(CONCATENATE("http://www.spr.depen.pr.gov.br/centralvagas/exibirFoto.jpg?numProntuario=",$E137,"&amp;idImagem=6"),"FOTO 6")</f>
        <v>FOTO 6</v>
      </c>
    </row>
    <row r="138" spans="1:16" ht="14.1" customHeight="1" thickTop="1" thickBot="1">
      <c r="A138" s="382" t="s">
        <v>263</v>
      </c>
      <c r="B138" s="147" t="s">
        <v>3730</v>
      </c>
      <c r="C138" s="145" t="s">
        <v>2431</v>
      </c>
      <c r="D138" s="142" t="s">
        <v>3546</v>
      </c>
      <c r="E138" s="608">
        <v>376074</v>
      </c>
      <c r="F138" s="116"/>
      <c r="G138" s="119"/>
      <c r="H138" s="116"/>
      <c r="I138" s="119"/>
      <c r="J138" s="116"/>
      <c r="K138" s="199" t="str">
        <f>HYPERLINK(CONCATENATE("http://www.spr.depen.pr.gov.br/centralvagas/exibirFoto.jpg?numProntuario=",$E138,"&amp;idImagem=1"),"FOTO 1")</f>
        <v>FOTO 1</v>
      </c>
      <c r="L138" s="199" t="str">
        <f>HYPERLINK(CONCATENATE("http://www.spr.depen.pr.gov.br/centralvagas/exibirFoto.jpg?numProntuario=",$E138,"&amp;idImagem=2"),"FOTO 2")</f>
        <v>FOTO 2</v>
      </c>
      <c r="M138" s="199" t="str">
        <f>HYPERLINK(CONCATENATE("http://www.spr.depen.pr.gov.br/centralvagas/exibirFoto.jpg?numProntuario=",$E138,"&amp;idImagem=3"),"FOTO 3")</f>
        <v>FOTO 3</v>
      </c>
      <c r="N138" s="199" t="str">
        <f>HYPERLINK(CONCATENATE("http://www.spr.depen.pr.gov.br/centralvagas/exibirFoto.jpg?numProntuario=",$E138,"&amp;idImagem=4"),"FOTO 4")</f>
        <v>FOTO 4</v>
      </c>
      <c r="O138" s="199" t="str">
        <f>HYPERLINK(CONCATENATE("http://www.spr.depen.pr.gov.br/centralvagas/exibirFoto.jpg?numProntuario=",$E138,"&amp;idImagem=5"),"FOTO 5")</f>
        <v>FOTO 5</v>
      </c>
      <c r="P138" s="199" t="str">
        <f>HYPERLINK(CONCATENATE("http://www.spr.depen.pr.gov.br/centralvagas/exibirFoto.jpg?numProntuario=",$E138,"&amp;idImagem=6"),"FOTO 6")</f>
        <v>FOTO 6</v>
      </c>
    </row>
    <row r="139" spans="1:16" ht="14.1" customHeight="1" thickTop="1" thickBot="1">
      <c r="A139" s="382" t="s">
        <v>263</v>
      </c>
      <c r="B139" s="147" t="s">
        <v>3733</v>
      </c>
      <c r="C139" s="145" t="s">
        <v>2431</v>
      </c>
      <c r="D139" s="142" t="s">
        <v>3550</v>
      </c>
      <c r="E139" s="608">
        <v>118993</v>
      </c>
      <c r="F139" s="116"/>
      <c r="G139" s="119"/>
      <c r="H139" s="116"/>
      <c r="I139" s="119"/>
      <c r="J139" s="116"/>
      <c r="K139" s="199" t="str">
        <f>HYPERLINK(CONCATENATE("http://www.spr.depen.pr.gov.br/centralvagas/exibirFoto.jpg?numProntuario=",$E139,"&amp;idImagem=1"),"FOTO 1")</f>
        <v>FOTO 1</v>
      </c>
      <c r="L139" s="199" t="str">
        <f>HYPERLINK(CONCATENATE("http://www.spr.depen.pr.gov.br/centralvagas/exibirFoto.jpg?numProntuario=",$E139,"&amp;idImagem=2"),"FOTO 2")</f>
        <v>FOTO 2</v>
      </c>
      <c r="M139" s="199" t="str">
        <f>HYPERLINK(CONCATENATE("http://www.spr.depen.pr.gov.br/centralvagas/exibirFoto.jpg?numProntuario=",$E139,"&amp;idImagem=3"),"FOTO 3")</f>
        <v>FOTO 3</v>
      </c>
      <c r="N139" s="199" t="str">
        <f>HYPERLINK(CONCATENATE("http://www.spr.depen.pr.gov.br/centralvagas/exibirFoto.jpg?numProntuario=",$E139,"&amp;idImagem=4"),"FOTO 4")</f>
        <v>FOTO 4</v>
      </c>
      <c r="O139" s="199" t="str">
        <f>HYPERLINK(CONCATENATE("http://www.spr.depen.pr.gov.br/centralvagas/exibirFoto.jpg?numProntuario=",$E139,"&amp;idImagem=5"),"FOTO 5")</f>
        <v>FOTO 5</v>
      </c>
      <c r="P139" s="199" t="str">
        <f>HYPERLINK(CONCATENATE("http://www.spr.depen.pr.gov.br/centralvagas/exibirFoto.jpg?numProntuario=",$E139,"&amp;idImagem=6"),"FOTO 6")</f>
        <v>FOTO 6</v>
      </c>
    </row>
    <row r="140" spans="1:16" ht="14.1" customHeight="1" thickTop="1" thickBot="1">
      <c r="A140" s="370"/>
      <c r="B140" s="254"/>
      <c r="C140" s="118" t="s">
        <v>2343</v>
      </c>
      <c r="D140" s="449" t="s">
        <v>3572</v>
      </c>
      <c r="E140" s="467">
        <v>413794</v>
      </c>
      <c r="F140" s="145"/>
      <c r="G140" s="162"/>
      <c r="H140" s="116"/>
      <c r="I140" s="162"/>
      <c r="J140" s="116"/>
      <c r="K140" s="199" t="str">
        <f>HYPERLINK(CONCATENATE("http://www.spr.depen.pr.gov.br/centralvagas/exibirFoto.jpg?numProntuario=",$E140,"&amp;idImagem=1"),"FOTO 1")</f>
        <v>FOTO 1</v>
      </c>
      <c r="L140" s="199" t="str">
        <f>HYPERLINK(CONCATENATE("http://www.spr.depen.pr.gov.br/centralvagas/exibirFoto.jpg?numProntuario=",$E140,"&amp;idImagem=2"),"FOTO 2")</f>
        <v>FOTO 2</v>
      </c>
      <c r="M140" s="199" t="str">
        <f>HYPERLINK(CONCATENATE("http://www.spr.depen.pr.gov.br/centralvagas/exibirFoto.jpg?numProntuario=",$E140,"&amp;idImagem=3"),"FOTO 3")</f>
        <v>FOTO 3</v>
      </c>
      <c r="N140" s="199" t="str">
        <f>HYPERLINK(CONCATENATE("http://www.spr.depen.pr.gov.br/centralvagas/exibirFoto.jpg?numProntuario=",$E140,"&amp;idImagem=4"),"FOTO 4")</f>
        <v>FOTO 4</v>
      </c>
      <c r="O140" s="199" t="str">
        <f>HYPERLINK(CONCATENATE("http://www.spr.depen.pr.gov.br/centralvagas/exibirFoto.jpg?numProntuario=",$E140,"&amp;idImagem=5"),"FOTO 5")</f>
        <v>FOTO 5</v>
      </c>
      <c r="P140" s="199" t="str">
        <f>HYPERLINK(CONCATENATE("http://www.spr.depen.pr.gov.br/centralvagas/exibirFoto.jpg?numProntuario=",$E140,"&amp;idImagem=6"),"FOTO 6")</f>
        <v>FOTO 6</v>
      </c>
    </row>
    <row r="141" spans="1:16" ht="14.1" customHeight="1" thickTop="1" thickBot="1">
      <c r="A141" s="370"/>
      <c r="B141" s="254"/>
      <c r="C141" s="118" t="s">
        <v>2343</v>
      </c>
      <c r="D141" s="122" t="s">
        <v>3428</v>
      </c>
      <c r="E141" s="325">
        <v>651344</v>
      </c>
      <c r="F141" s="145"/>
      <c r="G141" s="162"/>
      <c r="H141" s="116"/>
      <c r="I141" s="162"/>
      <c r="J141" s="116"/>
      <c r="K141" s="199" t="str">
        <f>HYPERLINK(CONCATENATE("http://www.spr.depen.pr.gov.br/centralvagas/exibirFoto.jpg?numProntuario=",$E141,"&amp;idImagem=1"),"FOTO 1")</f>
        <v>FOTO 1</v>
      </c>
      <c r="L141" s="199" t="str">
        <f>HYPERLINK(CONCATENATE("http://www.spr.depen.pr.gov.br/centralvagas/exibirFoto.jpg?numProntuario=",$E141,"&amp;idImagem=2"),"FOTO 2")</f>
        <v>FOTO 2</v>
      </c>
      <c r="M141" s="199" t="str">
        <f>HYPERLINK(CONCATENATE("http://www.spr.depen.pr.gov.br/centralvagas/exibirFoto.jpg?numProntuario=",$E141,"&amp;idImagem=3"),"FOTO 3")</f>
        <v>FOTO 3</v>
      </c>
      <c r="N141" s="199" t="str">
        <f>HYPERLINK(CONCATENATE("http://www.spr.depen.pr.gov.br/centralvagas/exibirFoto.jpg?numProntuario=",$E141,"&amp;idImagem=4"),"FOTO 4")</f>
        <v>FOTO 4</v>
      </c>
      <c r="O141" s="199" t="str">
        <f>HYPERLINK(CONCATENATE("http://www.spr.depen.pr.gov.br/centralvagas/exibirFoto.jpg?numProntuario=",$E141,"&amp;idImagem=5"),"FOTO 5")</f>
        <v>FOTO 5</v>
      </c>
      <c r="P141" s="199" t="str">
        <f>HYPERLINK(CONCATENATE("http://www.spr.depen.pr.gov.br/centralvagas/exibirFoto.jpg?numProntuario=",$E141,"&amp;idImagem=6"),"FOTO 6")</f>
        <v>FOTO 6</v>
      </c>
    </row>
    <row r="142" spans="1:16" ht="14.1" customHeight="1" thickTop="1" thickBot="1">
      <c r="A142" s="370"/>
      <c r="B142" s="254"/>
      <c r="C142" s="118" t="s">
        <v>2343</v>
      </c>
      <c r="D142" s="449" t="s">
        <v>3574</v>
      </c>
      <c r="E142" s="467">
        <v>107852</v>
      </c>
      <c r="F142" s="145"/>
      <c r="G142" s="162"/>
      <c r="H142" s="116"/>
      <c r="I142" s="162"/>
      <c r="J142" s="116"/>
      <c r="K142" s="199" t="str">
        <f>HYPERLINK(CONCATENATE("http://www.spr.depen.pr.gov.br/centralvagas/exibirFoto.jpg?numProntuario=",$E142,"&amp;idImagem=1"),"FOTO 1")</f>
        <v>FOTO 1</v>
      </c>
      <c r="L142" s="199" t="str">
        <f>HYPERLINK(CONCATENATE("http://www.spr.depen.pr.gov.br/centralvagas/exibirFoto.jpg?numProntuario=",$E142,"&amp;idImagem=2"),"FOTO 2")</f>
        <v>FOTO 2</v>
      </c>
      <c r="M142" s="199" t="str">
        <f>HYPERLINK(CONCATENATE("http://www.spr.depen.pr.gov.br/centralvagas/exibirFoto.jpg?numProntuario=",$E142,"&amp;idImagem=3"),"FOTO 3")</f>
        <v>FOTO 3</v>
      </c>
      <c r="N142" s="199" t="str">
        <f>HYPERLINK(CONCATENATE("http://www.spr.depen.pr.gov.br/centralvagas/exibirFoto.jpg?numProntuario=",$E142,"&amp;idImagem=4"),"FOTO 4")</f>
        <v>FOTO 4</v>
      </c>
      <c r="O142" s="199" t="str">
        <f>HYPERLINK(CONCATENATE("http://www.spr.depen.pr.gov.br/centralvagas/exibirFoto.jpg?numProntuario=",$E142,"&amp;idImagem=5"),"FOTO 5")</f>
        <v>FOTO 5</v>
      </c>
      <c r="P142" s="199" t="str">
        <f>HYPERLINK(CONCATENATE("http://www.spr.depen.pr.gov.br/centralvagas/exibirFoto.jpg?numProntuario=",$E142,"&amp;idImagem=6"),"FOTO 6")</f>
        <v>FOTO 6</v>
      </c>
    </row>
    <row r="143" spans="1:16" ht="14.1" customHeight="1" thickTop="1" thickBot="1">
      <c r="A143" s="160"/>
      <c r="B143" s="143"/>
      <c r="C143" s="116" t="s">
        <v>2430</v>
      </c>
      <c r="D143" s="130" t="s">
        <v>2458</v>
      </c>
      <c r="E143" s="117">
        <v>141572</v>
      </c>
      <c r="F143" s="116"/>
      <c r="G143" s="119"/>
      <c r="H143" s="116"/>
      <c r="I143" s="119"/>
      <c r="J143" s="132"/>
      <c r="K143" s="199" t="str">
        <f>HYPERLINK(CONCATENATE("http://www.spr.depen.pr.gov.br/centralvagas/exibirFoto.jpg?numProntuario=",$E143,"&amp;idImagem=1"),"FOTO 1")</f>
        <v>FOTO 1</v>
      </c>
      <c r="L143" s="199" t="str">
        <f>HYPERLINK(CONCATENATE("http://www.spr.depen.pr.gov.br/centralvagas/exibirFoto.jpg?numProntuario=",$E143,"&amp;idImagem=2"),"FOTO 2")</f>
        <v>FOTO 2</v>
      </c>
      <c r="M143" s="199" t="str">
        <f>HYPERLINK(CONCATENATE("http://www.spr.depen.pr.gov.br/centralvagas/exibirFoto.jpg?numProntuario=",$E143,"&amp;idImagem=3"),"FOTO 3")</f>
        <v>FOTO 3</v>
      </c>
      <c r="N143" s="199" t="str">
        <f>HYPERLINK(CONCATENATE("http://www.spr.depen.pr.gov.br/centralvagas/exibirFoto.jpg?numProntuario=",$E143,"&amp;idImagem=4"),"FOTO 4")</f>
        <v>FOTO 4</v>
      </c>
      <c r="O143" s="199" t="str">
        <f>HYPERLINK(CONCATENATE("http://www.spr.depen.pr.gov.br/centralvagas/exibirFoto.jpg?numProntuario=",$E143,"&amp;idImagem=5"),"FOTO 5")</f>
        <v>FOTO 5</v>
      </c>
      <c r="P143" s="199" t="str">
        <f>HYPERLINK(CONCATENATE("http://www.spr.depen.pr.gov.br/centralvagas/exibirFoto.jpg?numProntuario=",$E143,"&amp;idImagem=6"),"FOTO 6")</f>
        <v>FOTO 6</v>
      </c>
    </row>
    <row r="144" spans="1:16" ht="14.1" customHeight="1" thickTop="1" thickBot="1">
      <c r="A144" s="120"/>
      <c r="B144" s="147"/>
      <c r="C144" s="116" t="s">
        <v>2430</v>
      </c>
      <c r="D144" s="130" t="s">
        <v>2436</v>
      </c>
      <c r="E144" s="117">
        <v>3994</v>
      </c>
      <c r="F144" s="116"/>
      <c r="G144" s="119"/>
      <c r="H144" s="116"/>
      <c r="I144" s="119"/>
      <c r="J144" s="116"/>
      <c r="K144" s="199" t="str">
        <f>HYPERLINK(CONCATENATE("http://www.spr.depen.pr.gov.br/centralvagas/exibirFoto.jpg?numProntuario=",$E144,"&amp;idImagem=1"),"FOTO 1")</f>
        <v>FOTO 1</v>
      </c>
      <c r="L144" s="199" t="str">
        <f>HYPERLINK(CONCATENATE("http://www.spr.depen.pr.gov.br/centralvagas/exibirFoto.jpg?numProntuario=",$E144,"&amp;idImagem=2"),"FOTO 2")</f>
        <v>FOTO 2</v>
      </c>
      <c r="M144" s="199" t="str">
        <f>HYPERLINK(CONCATENATE("http://www.spr.depen.pr.gov.br/centralvagas/exibirFoto.jpg?numProntuario=",$E144,"&amp;idImagem=3"),"FOTO 3")</f>
        <v>FOTO 3</v>
      </c>
      <c r="N144" s="199" t="str">
        <f>HYPERLINK(CONCATENATE("http://www.spr.depen.pr.gov.br/centralvagas/exibirFoto.jpg?numProntuario=",$E144,"&amp;idImagem=4"),"FOTO 4")</f>
        <v>FOTO 4</v>
      </c>
      <c r="O144" s="199" t="str">
        <f>HYPERLINK(CONCATENATE("http://www.spr.depen.pr.gov.br/centralvagas/exibirFoto.jpg?numProntuario=",$E144,"&amp;idImagem=5"),"FOTO 5")</f>
        <v>FOTO 5</v>
      </c>
      <c r="P144" s="199" t="str">
        <f>HYPERLINK(CONCATENATE("http://www.spr.depen.pr.gov.br/centralvagas/exibirFoto.jpg?numProntuario=",$E144,"&amp;idImagem=6"),"FOTO 6")</f>
        <v>FOTO 6</v>
      </c>
    </row>
    <row r="145" spans="1:16" ht="14.1" customHeight="1" thickTop="1" thickBot="1">
      <c r="A145" s="207"/>
      <c r="B145" s="147"/>
      <c r="C145" s="116" t="s">
        <v>2430</v>
      </c>
      <c r="D145" s="158" t="s">
        <v>1955</v>
      </c>
      <c r="E145" s="117">
        <v>108833</v>
      </c>
      <c r="F145" s="116"/>
      <c r="G145" s="119"/>
      <c r="H145" s="116"/>
      <c r="I145" s="119"/>
      <c r="J145" s="132"/>
      <c r="K145" s="199" t="str">
        <f>HYPERLINK(CONCATENATE("http://www.spr.depen.pr.gov.br/centralvagas/exibirFoto.jpg?numProntuario=",$E145,"&amp;idImagem=1"),"FOTO 1")</f>
        <v>FOTO 1</v>
      </c>
      <c r="L145" s="199" t="str">
        <f>HYPERLINK(CONCATENATE("http://www.spr.depen.pr.gov.br/centralvagas/exibirFoto.jpg?numProntuario=",$E145,"&amp;idImagem=2"),"FOTO 2")</f>
        <v>FOTO 2</v>
      </c>
      <c r="M145" s="199" t="str">
        <f>HYPERLINK(CONCATENATE("http://www.spr.depen.pr.gov.br/centralvagas/exibirFoto.jpg?numProntuario=",$E145,"&amp;idImagem=3"),"FOTO 3")</f>
        <v>FOTO 3</v>
      </c>
      <c r="N145" s="199" t="str">
        <f>HYPERLINK(CONCATENATE("http://www.spr.depen.pr.gov.br/centralvagas/exibirFoto.jpg?numProntuario=",$E145,"&amp;idImagem=4"),"FOTO 4")</f>
        <v>FOTO 4</v>
      </c>
      <c r="O145" s="199" t="str">
        <f>HYPERLINK(CONCATENATE("http://www.spr.depen.pr.gov.br/centralvagas/exibirFoto.jpg?numProntuario=",$E145,"&amp;idImagem=5"),"FOTO 5")</f>
        <v>FOTO 5</v>
      </c>
      <c r="P145" s="199" t="str">
        <f>HYPERLINK(CONCATENATE("http://www.spr.depen.pr.gov.br/centralvagas/exibirFoto.jpg?numProntuario=",$E145,"&amp;idImagem=6"),"FOTO 6")</f>
        <v>FOTO 6</v>
      </c>
    </row>
    <row r="146" spans="1:16" ht="14.1" customHeight="1" thickTop="1" thickBot="1">
      <c r="A146" s="123"/>
      <c r="B146" s="143"/>
      <c r="C146" s="116" t="s">
        <v>2430</v>
      </c>
      <c r="D146" s="130" t="s">
        <v>3643</v>
      </c>
      <c r="E146" s="117">
        <v>139995</v>
      </c>
      <c r="F146" s="116"/>
      <c r="G146" s="119"/>
      <c r="H146" s="116"/>
      <c r="I146" s="119"/>
      <c r="J146" s="132"/>
      <c r="K146" s="199" t="str">
        <f>HYPERLINK(CONCATENATE("http://www.spr.depen.pr.gov.br/centralvagas/exibirFoto.jpg?numProntuario=",$E146,"&amp;idImagem=1"),"FOTO 1")</f>
        <v>FOTO 1</v>
      </c>
      <c r="L146" s="199" t="str">
        <f>HYPERLINK(CONCATENATE("http://www.spr.depen.pr.gov.br/centralvagas/exibirFoto.jpg?numProntuario=",$E146,"&amp;idImagem=2"),"FOTO 2")</f>
        <v>FOTO 2</v>
      </c>
      <c r="M146" s="199" t="str">
        <f>HYPERLINK(CONCATENATE("http://www.spr.depen.pr.gov.br/centralvagas/exibirFoto.jpg?numProntuario=",$E146,"&amp;idImagem=3"),"FOTO 3")</f>
        <v>FOTO 3</v>
      </c>
      <c r="N146" s="199" t="str">
        <f>HYPERLINK(CONCATENATE("http://www.spr.depen.pr.gov.br/centralvagas/exibirFoto.jpg?numProntuario=",$E146,"&amp;idImagem=4"),"FOTO 4")</f>
        <v>FOTO 4</v>
      </c>
      <c r="O146" s="199" t="str">
        <f>HYPERLINK(CONCATENATE("http://www.spr.depen.pr.gov.br/centralvagas/exibirFoto.jpg?numProntuario=",$E146,"&amp;idImagem=5"),"FOTO 5")</f>
        <v>FOTO 5</v>
      </c>
      <c r="P146" s="199" t="str">
        <f>HYPERLINK(CONCATENATE("http://www.spr.depen.pr.gov.br/centralvagas/exibirFoto.jpg?numProntuario=",$E146,"&amp;idImagem=6"),"FOTO 6")</f>
        <v>FOTO 6</v>
      </c>
    </row>
    <row r="147" spans="1:16" ht="14.1" customHeight="1" thickTop="1" thickBot="1">
      <c r="A147" s="145"/>
      <c r="B147" s="419"/>
      <c r="C147" s="126" t="s">
        <v>2457</v>
      </c>
      <c r="D147" s="158" t="s">
        <v>174</v>
      </c>
      <c r="E147" s="117">
        <v>176075</v>
      </c>
      <c r="F147" s="116"/>
      <c r="G147" s="119"/>
      <c r="H147" s="116"/>
      <c r="I147" s="119"/>
      <c r="J147" s="116"/>
      <c r="K147" s="199" t="str">
        <f>HYPERLINK(CONCATENATE("http://www.spr.depen.pr.gov.br/centralvagas/exibirFoto.jpg?numProntuario=",$E147,"&amp;idImagem=1"),"FOTO 1")</f>
        <v>FOTO 1</v>
      </c>
      <c r="L147" s="199" t="str">
        <f>HYPERLINK(CONCATENATE("http://www.spr.depen.pr.gov.br/centralvagas/exibirFoto.jpg?numProntuario=",$E147,"&amp;idImagem=2"),"FOTO 2")</f>
        <v>FOTO 2</v>
      </c>
      <c r="M147" s="199" t="str">
        <f>HYPERLINK(CONCATENATE("http://www.spr.depen.pr.gov.br/centralvagas/exibirFoto.jpg?numProntuario=",$E147,"&amp;idImagem=3"),"FOTO 3")</f>
        <v>FOTO 3</v>
      </c>
      <c r="N147" s="199" t="str">
        <f>HYPERLINK(CONCATENATE("http://www.spr.depen.pr.gov.br/centralvagas/exibirFoto.jpg?numProntuario=",$E147,"&amp;idImagem=4"),"FOTO 4")</f>
        <v>FOTO 4</v>
      </c>
      <c r="O147" s="199" t="str">
        <f>HYPERLINK(CONCATENATE("http://www.spr.depen.pr.gov.br/centralvagas/exibirFoto.jpg?numProntuario=",$E147,"&amp;idImagem=5"),"FOTO 5")</f>
        <v>FOTO 5</v>
      </c>
      <c r="P147" s="199" t="str">
        <f>HYPERLINK(CONCATENATE("http://www.spr.depen.pr.gov.br/centralvagas/exibirFoto.jpg?numProntuario=",$E147,"&amp;idImagem=6"),"FOTO 6")</f>
        <v>FOTO 6</v>
      </c>
    </row>
    <row r="148" spans="1:16" ht="14.1" customHeight="1" thickTop="1" thickBot="1">
      <c r="A148" s="118"/>
      <c r="B148" s="419"/>
      <c r="C148" s="126" t="s">
        <v>2457</v>
      </c>
      <c r="D148" s="128" t="s">
        <v>1985</v>
      </c>
      <c r="E148" s="117">
        <v>134653</v>
      </c>
      <c r="F148" s="134"/>
      <c r="G148" s="154"/>
      <c r="H148" s="134"/>
      <c r="I148" s="154"/>
      <c r="J148" s="116"/>
      <c r="K148" s="199" t="str">
        <f>HYPERLINK(CONCATENATE("http://www.spr.depen.pr.gov.br/centralvagas/exibirFoto.jpg?numProntuario=",$E148,"&amp;idImagem=1"),"FOTO 1")</f>
        <v>FOTO 1</v>
      </c>
      <c r="L148" s="199" t="str">
        <f>HYPERLINK(CONCATENATE("http://www.spr.depen.pr.gov.br/centralvagas/exibirFoto.jpg?numProntuario=",$E148,"&amp;idImagem=2"),"FOTO 2")</f>
        <v>FOTO 2</v>
      </c>
      <c r="M148" s="199" t="str">
        <f>HYPERLINK(CONCATENATE("http://www.spr.depen.pr.gov.br/centralvagas/exibirFoto.jpg?numProntuario=",$E148,"&amp;idImagem=3"),"FOTO 3")</f>
        <v>FOTO 3</v>
      </c>
      <c r="N148" s="199" t="str">
        <f>HYPERLINK(CONCATENATE("http://www.spr.depen.pr.gov.br/centralvagas/exibirFoto.jpg?numProntuario=",$E148,"&amp;idImagem=4"),"FOTO 4")</f>
        <v>FOTO 4</v>
      </c>
      <c r="O148" s="199" t="str">
        <f>HYPERLINK(CONCATENATE("http://www.spr.depen.pr.gov.br/centralvagas/exibirFoto.jpg?numProntuario=",$E148,"&amp;idImagem=5"),"FOTO 5")</f>
        <v>FOTO 5</v>
      </c>
      <c r="P148" s="199" t="str">
        <f>HYPERLINK(CONCATENATE("http://www.spr.depen.pr.gov.br/centralvagas/exibirFoto.jpg?numProntuario=",$E148,"&amp;idImagem=6"),"FOTO 6")</f>
        <v>FOTO 6</v>
      </c>
    </row>
    <row r="149" spans="1:16" ht="14.1" customHeight="1" thickTop="1" thickBot="1">
      <c r="A149" s="120"/>
      <c r="B149" s="419"/>
      <c r="C149" s="126" t="s">
        <v>2457</v>
      </c>
      <c r="D149" s="128" t="s">
        <v>2745</v>
      </c>
      <c r="E149" s="117">
        <v>140085</v>
      </c>
      <c r="F149" s="116"/>
      <c r="G149" s="119"/>
      <c r="H149" s="116"/>
      <c r="I149" s="119"/>
      <c r="J149" s="116"/>
      <c r="K149" s="199" t="str">
        <f>HYPERLINK(CONCATENATE("http://www.spr.depen.pr.gov.br/centralvagas/exibirFoto.jpg?numProntuario=",$E149,"&amp;idImagem=1"),"FOTO 1")</f>
        <v>FOTO 1</v>
      </c>
      <c r="L149" s="199" t="str">
        <f>HYPERLINK(CONCATENATE("http://www.spr.depen.pr.gov.br/centralvagas/exibirFoto.jpg?numProntuario=",$E149,"&amp;idImagem=2"),"FOTO 2")</f>
        <v>FOTO 2</v>
      </c>
      <c r="M149" s="199" t="str">
        <f>HYPERLINK(CONCATENATE("http://www.spr.depen.pr.gov.br/centralvagas/exibirFoto.jpg?numProntuario=",$E149,"&amp;idImagem=3"),"FOTO 3")</f>
        <v>FOTO 3</v>
      </c>
      <c r="N149" s="199" t="str">
        <f>HYPERLINK(CONCATENATE("http://www.spr.depen.pr.gov.br/centralvagas/exibirFoto.jpg?numProntuario=",$E149,"&amp;idImagem=4"),"FOTO 4")</f>
        <v>FOTO 4</v>
      </c>
      <c r="O149" s="199" t="str">
        <f>HYPERLINK(CONCATENATE("http://www.spr.depen.pr.gov.br/centralvagas/exibirFoto.jpg?numProntuario=",$E149,"&amp;idImagem=5"),"FOTO 5")</f>
        <v>FOTO 5</v>
      </c>
      <c r="P149" s="199" t="str">
        <f>HYPERLINK(CONCATENATE("http://www.spr.depen.pr.gov.br/centralvagas/exibirFoto.jpg?numProntuario=",$E149,"&amp;idImagem=6"),"FOTO 6")</f>
        <v>FOTO 6</v>
      </c>
    </row>
    <row r="150" spans="1:16" ht="14.1" customHeight="1" thickTop="1" thickBot="1">
      <c r="A150" s="123"/>
      <c r="B150" s="245"/>
      <c r="C150" s="118" t="s">
        <v>2457</v>
      </c>
      <c r="D150" s="131" t="s">
        <v>3590</v>
      </c>
      <c r="E150" s="117">
        <v>63222</v>
      </c>
      <c r="F150" s="116"/>
      <c r="G150" s="119"/>
      <c r="H150" s="116"/>
      <c r="I150" s="119"/>
      <c r="J150" s="132"/>
      <c r="K150" s="199" t="str">
        <f>HYPERLINK(CONCATENATE("http://www.spr.depen.pr.gov.br/centralvagas/exibirFoto.jpg?numProntuario=",$E150,"&amp;idImagem=1"),"FOTO 1")</f>
        <v>FOTO 1</v>
      </c>
      <c r="L150" s="199" t="str">
        <f>HYPERLINK(CONCATENATE("http://www.spr.depen.pr.gov.br/centralvagas/exibirFoto.jpg?numProntuario=",$E150,"&amp;idImagem=2"),"FOTO 2")</f>
        <v>FOTO 2</v>
      </c>
      <c r="M150" s="199" t="str">
        <f>HYPERLINK(CONCATENATE("http://www.spr.depen.pr.gov.br/centralvagas/exibirFoto.jpg?numProntuario=",$E150,"&amp;idImagem=3"),"FOTO 3")</f>
        <v>FOTO 3</v>
      </c>
      <c r="N150" s="199" t="str">
        <f>HYPERLINK(CONCATENATE("http://www.spr.depen.pr.gov.br/centralvagas/exibirFoto.jpg?numProntuario=",$E150,"&amp;idImagem=4"),"FOTO 4")</f>
        <v>FOTO 4</v>
      </c>
      <c r="O150" s="199" t="str">
        <f>HYPERLINK(CONCATENATE("http://www.spr.depen.pr.gov.br/centralvagas/exibirFoto.jpg?numProntuario=",$E150,"&amp;idImagem=5"),"FOTO 5")</f>
        <v>FOTO 5</v>
      </c>
      <c r="P150" s="199" t="str">
        <f>HYPERLINK(CONCATENATE("http://www.spr.depen.pr.gov.br/centralvagas/exibirFoto.jpg?numProntuario=",$E150,"&amp;idImagem=6"),"FOTO 6")</f>
        <v>FOTO 6</v>
      </c>
    </row>
    <row r="151" spans="1:16" ht="14.1" customHeight="1" thickTop="1" thickBot="1">
      <c r="A151" s="118"/>
      <c r="B151" s="419"/>
      <c r="C151" s="126" t="s">
        <v>2457</v>
      </c>
      <c r="D151" s="128" t="s">
        <v>2744</v>
      </c>
      <c r="E151" s="117">
        <v>112787</v>
      </c>
      <c r="F151" s="116"/>
      <c r="G151" s="119"/>
      <c r="H151" s="116"/>
      <c r="I151" s="119"/>
      <c r="J151" s="116"/>
      <c r="K151" s="199" t="str">
        <f>HYPERLINK(CONCATENATE("http://www.spr.depen.pr.gov.br/centralvagas/exibirFoto.jpg?numProntuario=",$E151,"&amp;idImagem=1"),"FOTO 1")</f>
        <v>FOTO 1</v>
      </c>
      <c r="L151" s="199" t="str">
        <f>HYPERLINK(CONCATENATE("http://www.spr.depen.pr.gov.br/centralvagas/exibirFoto.jpg?numProntuario=",$E151,"&amp;idImagem=2"),"FOTO 2")</f>
        <v>FOTO 2</v>
      </c>
      <c r="M151" s="199" t="str">
        <f>HYPERLINK(CONCATENATE("http://www.spr.depen.pr.gov.br/centralvagas/exibirFoto.jpg?numProntuario=",$E151,"&amp;idImagem=3"),"FOTO 3")</f>
        <v>FOTO 3</v>
      </c>
      <c r="N151" s="199" t="str">
        <f>HYPERLINK(CONCATENATE("http://www.spr.depen.pr.gov.br/centralvagas/exibirFoto.jpg?numProntuario=",$E151,"&amp;idImagem=4"),"FOTO 4")</f>
        <v>FOTO 4</v>
      </c>
      <c r="O151" s="199" t="str">
        <f>HYPERLINK(CONCATENATE("http://www.spr.depen.pr.gov.br/centralvagas/exibirFoto.jpg?numProntuario=",$E151,"&amp;idImagem=5"),"FOTO 5")</f>
        <v>FOTO 5</v>
      </c>
      <c r="P151" s="199" t="str">
        <f>HYPERLINK(CONCATENATE("http://www.spr.depen.pr.gov.br/centralvagas/exibirFoto.jpg?numProntuario=",$E151,"&amp;idImagem=6"),"FOTO 6")</f>
        <v>FOTO 6</v>
      </c>
    </row>
    <row r="152" spans="1:16" ht="14.1" customHeight="1" thickTop="1" thickBot="1">
      <c r="A152" s="120"/>
      <c r="B152" s="419"/>
      <c r="C152" s="126" t="s">
        <v>2457</v>
      </c>
      <c r="D152" s="158" t="s">
        <v>3454</v>
      </c>
      <c r="E152" s="117">
        <v>165509</v>
      </c>
      <c r="F152" s="116"/>
      <c r="G152" s="119"/>
      <c r="H152" s="116"/>
      <c r="I152" s="119"/>
      <c r="J152" s="116"/>
      <c r="K152" s="199" t="str">
        <f>HYPERLINK(CONCATENATE("http://www.spr.depen.pr.gov.br/centralvagas/exibirFoto.jpg?numProntuario=",$E152,"&amp;idImagem=1"),"FOTO 1")</f>
        <v>FOTO 1</v>
      </c>
      <c r="L152" s="199" t="str">
        <f>HYPERLINK(CONCATENATE("http://www.spr.depen.pr.gov.br/centralvagas/exibirFoto.jpg?numProntuario=",$E152,"&amp;idImagem=2"),"FOTO 2")</f>
        <v>FOTO 2</v>
      </c>
      <c r="M152" s="199" t="str">
        <f>HYPERLINK(CONCATENATE("http://www.spr.depen.pr.gov.br/centralvagas/exibirFoto.jpg?numProntuario=",$E152,"&amp;idImagem=3"),"FOTO 3")</f>
        <v>FOTO 3</v>
      </c>
      <c r="N152" s="199" t="str">
        <f>HYPERLINK(CONCATENATE("http://www.spr.depen.pr.gov.br/centralvagas/exibirFoto.jpg?numProntuario=",$E152,"&amp;idImagem=4"),"FOTO 4")</f>
        <v>FOTO 4</v>
      </c>
      <c r="O152" s="199" t="str">
        <f>HYPERLINK(CONCATENATE("http://www.spr.depen.pr.gov.br/centralvagas/exibirFoto.jpg?numProntuario=",$E152,"&amp;idImagem=5"),"FOTO 5")</f>
        <v>FOTO 5</v>
      </c>
      <c r="P152" s="199" t="str">
        <f>HYPERLINK(CONCATENATE("http://www.spr.depen.pr.gov.br/centralvagas/exibirFoto.jpg?numProntuario=",$E152,"&amp;idImagem=6"),"FOTO 6")</f>
        <v>FOTO 6</v>
      </c>
    </row>
    <row r="153" spans="1:16" ht="14.1" customHeight="1" thickTop="1" thickBot="1">
      <c r="A153" s="123"/>
      <c r="B153" s="245"/>
      <c r="C153" s="116" t="s">
        <v>2456</v>
      </c>
      <c r="D153" s="122" t="s">
        <v>3474</v>
      </c>
      <c r="E153" s="144">
        <v>124304</v>
      </c>
      <c r="F153" s="116"/>
      <c r="G153" s="119"/>
      <c r="H153" s="116"/>
      <c r="I153" s="119"/>
      <c r="J153" s="116"/>
      <c r="K153" s="199" t="str">
        <f>HYPERLINK(CONCATENATE("http://www.spr.depen.pr.gov.br/centralvagas/exibirFoto.jpg?numProntuario=",$E153,"&amp;idImagem=1"),"FOTO 1")</f>
        <v>FOTO 1</v>
      </c>
      <c r="L153" s="199" t="str">
        <f>HYPERLINK(CONCATENATE("http://www.spr.depen.pr.gov.br/centralvagas/exibirFoto.jpg?numProntuario=",$E153,"&amp;idImagem=2"),"FOTO 2")</f>
        <v>FOTO 2</v>
      </c>
      <c r="M153" s="199" t="str">
        <f>HYPERLINK(CONCATENATE("http://www.spr.depen.pr.gov.br/centralvagas/exibirFoto.jpg?numProntuario=",$E153,"&amp;idImagem=3"),"FOTO 3")</f>
        <v>FOTO 3</v>
      </c>
      <c r="N153" s="199" t="str">
        <f>HYPERLINK(CONCATENATE("http://www.spr.depen.pr.gov.br/centralvagas/exibirFoto.jpg?numProntuario=",$E153,"&amp;idImagem=4"),"FOTO 4")</f>
        <v>FOTO 4</v>
      </c>
      <c r="O153" s="199" t="str">
        <f>HYPERLINK(CONCATENATE("http://www.spr.depen.pr.gov.br/centralvagas/exibirFoto.jpg?numProntuario=",$E153,"&amp;idImagem=5"),"FOTO 5")</f>
        <v>FOTO 5</v>
      </c>
      <c r="P153" s="199" t="str">
        <f>HYPERLINK(CONCATENATE("http://www.spr.depen.pr.gov.br/centralvagas/exibirFoto.jpg?numProntuario=",$E153,"&amp;idImagem=6"),"FOTO 6")</f>
        <v>FOTO 6</v>
      </c>
    </row>
    <row r="154" spans="1:16" ht="14.1" customHeight="1" thickTop="1" thickBot="1">
      <c r="A154" s="123"/>
      <c r="B154" s="419"/>
      <c r="C154" s="126" t="s">
        <v>2456</v>
      </c>
      <c r="D154" s="158" t="s">
        <v>3456</v>
      </c>
      <c r="E154" s="117">
        <v>415459</v>
      </c>
      <c r="F154" s="116"/>
      <c r="G154" s="119"/>
      <c r="H154" s="116"/>
      <c r="I154" s="119"/>
      <c r="J154" s="116"/>
      <c r="K154" s="199" t="str">
        <f>HYPERLINK(CONCATENATE("http://www.spr.depen.pr.gov.br/centralvagas/exibirFoto.jpg?numProntuario=",$E154,"&amp;idImagem=1"),"FOTO 1")</f>
        <v>FOTO 1</v>
      </c>
      <c r="L154" s="199" t="str">
        <f>HYPERLINK(CONCATENATE("http://www.spr.depen.pr.gov.br/centralvagas/exibirFoto.jpg?numProntuario=",$E154,"&amp;idImagem=2"),"FOTO 2")</f>
        <v>FOTO 2</v>
      </c>
      <c r="M154" s="199" t="str">
        <f>HYPERLINK(CONCATENATE("http://www.spr.depen.pr.gov.br/centralvagas/exibirFoto.jpg?numProntuario=",$E154,"&amp;idImagem=3"),"FOTO 3")</f>
        <v>FOTO 3</v>
      </c>
      <c r="N154" s="199" t="str">
        <f>HYPERLINK(CONCATENATE("http://www.spr.depen.pr.gov.br/centralvagas/exibirFoto.jpg?numProntuario=",$E154,"&amp;idImagem=4"),"FOTO 4")</f>
        <v>FOTO 4</v>
      </c>
      <c r="O154" s="199" t="str">
        <f>HYPERLINK(CONCATENATE("http://www.spr.depen.pr.gov.br/centralvagas/exibirFoto.jpg?numProntuario=",$E154,"&amp;idImagem=5"),"FOTO 5")</f>
        <v>FOTO 5</v>
      </c>
      <c r="P154" s="199" t="str">
        <f>HYPERLINK(CONCATENATE("http://www.spr.depen.pr.gov.br/centralvagas/exibirFoto.jpg?numProntuario=",$E154,"&amp;idImagem=6"),"FOTO 6")</f>
        <v>FOTO 6</v>
      </c>
    </row>
    <row r="155" spans="1:16" ht="14.1" customHeight="1" thickTop="1" thickBot="1">
      <c r="A155" s="123"/>
      <c r="B155" s="438"/>
      <c r="C155" s="116" t="s">
        <v>2456</v>
      </c>
      <c r="D155" s="131" t="s">
        <v>2365</v>
      </c>
      <c r="E155" s="117">
        <v>157355</v>
      </c>
      <c r="F155" s="116"/>
      <c r="G155" s="119"/>
      <c r="H155" s="116"/>
      <c r="I155" s="119"/>
      <c r="J155" s="116"/>
      <c r="K155" s="199" t="str">
        <f>HYPERLINK(CONCATENATE("http://www.spr.depen.pr.gov.br/centralvagas/exibirFoto.jpg?numProntuario=",$E155,"&amp;idImagem=1"),"FOTO 1")</f>
        <v>FOTO 1</v>
      </c>
      <c r="L155" s="199" t="str">
        <f>HYPERLINK(CONCATENATE("http://www.spr.depen.pr.gov.br/centralvagas/exibirFoto.jpg?numProntuario=",$E155,"&amp;idImagem=2"),"FOTO 2")</f>
        <v>FOTO 2</v>
      </c>
      <c r="M155" s="199" t="str">
        <f>HYPERLINK(CONCATENATE("http://www.spr.depen.pr.gov.br/centralvagas/exibirFoto.jpg?numProntuario=",$E155,"&amp;idImagem=3"),"FOTO 3")</f>
        <v>FOTO 3</v>
      </c>
      <c r="N155" s="199" t="str">
        <f>HYPERLINK(CONCATENATE("http://www.spr.depen.pr.gov.br/centralvagas/exibirFoto.jpg?numProntuario=",$E155,"&amp;idImagem=4"),"FOTO 4")</f>
        <v>FOTO 4</v>
      </c>
      <c r="O155" s="199" t="str">
        <f>HYPERLINK(CONCATENATE("http://www.spr.depen.pr.gov.br/centralvagas/exibirFoto.jpg?numProntuario=",$E155,"&amp;idImagem=5"),"FOTO 5")</f>
        <v>FOTO 5</v>
      </c>
      <c r="P155" s="199" t="str">
        <f>HYPERLINK(CONCATENATE("http://www.spr.depen.pr.gov.br/centralvagas/exibirFoto.jpg?numProntuario=",$E155,"&amp;idImagem=6"),"FOTO 6")</f>
        <v>FOTO 6</v>
      </c>
    </row>
    <row r="156" spans="1:16" ht="14.1" customHeight="1" thickTop="1" thickBot="1">
      <c r="A156" s="116"/>
      <c r="B156" s="319"/>
      <c r="C156" s="118" t="s">
        <v>2456</v>
      </c>
      <c r="D156" s="129" t="s">
        <v>3553</v>
      </c>
      <c r="E156" s="117">
        <v>146659</v>
      </c>
      <c r="F156" s="116"/>
      <c r="G156" s="119"/>
      <c r="H156" s="116"/>
      <c r="I156" s="119"/>
      <c r="J156" s="116"/>
      <c r="K156" s="199" t="str">
        <f>HYPERLINK(CONCATENATE("http://www.spr.depen.pr.gov.br/centralvagas/exibirFoto.jpg?numProntuario=",$E156,"&amp;idImagem=1"),"FOTO 1")</f>
        <v>FOTO 1</v>
      </c>
      <c r="L156" s="199" t="str">
        <f>HYPERLINK(CONCATENATE("http://www.spr.depen.pr.gov.br/centralvagas/exibirFoto.jpg?numProntuario=",$E156,"&amp;idImagem=2"),"FOTO 2")</f>
        <v>FOTO 2</v>
      </c>
      <c r="M156" s="199" t="str">
        <f>HYPERLINK(CONCATENATE("http://www.spr.depen.pr.gov.br/centralvagas/exibirFoto.jpg?numProntuario=",$E156,"&amp;idImagem=3"),"FOTO 3")</f>
        <v>FOTO 3</v>
      </c>
      <c r="N156" s="199" t="str">
        <f>HYPERLINK(CONCATENATE("http://www.spr.depen.pr.gov.br/centralvagas/exibirFoto.jpg?numProntuario=",$E156,"&amp;idImagem=4"),"FOTO 4")</f>
        <v>FOTO 4</v>
      </c>
      <c r="O156" s="199" t="str">
        <f>HYPERLINK(CONCATENATE("http://www.spr.depen.pr.gov.br/centralvagas/exibirFoto.jpg?numProntuario=",$E156,"&amp;idImagem=5"),"FOTO 5")</f>
        <v>FOTO 5</v>
      </c>
      <c r="P156" s="199" t="str">
        <f>HYPERLINK(CONCATENATE("http://www.spr.depen.pr.gov.br/centralvagas/exibirFoto.jpg?numProntuario=",$E156,"&amp;idImagem=6"),"FOTO 6")</f>
        <v>FOTO 6</v>
      </c>
    </row>
    <row r="157" spans="1:16" ht="14.1" customHeight="1" thickTop="1" thickBot="1">
      <c r="A157" s="116" t="s">
        <v>2775</v>
      </c>
      <c r="B157" s="127"/>
      <c r="C157" s="116" t="s">
        <v>2456</v>
      </c>
      <c r="D157" s="130" t="s">
        <v>1071</v>
      </c>
      <c r="E157" s="117">
        <v>90253</v>
      </c>
      <c r="F157" s="116"/>
      <c r="G157" s="119"/>
      <c r="H157" s="116"/>
      <c r="I157" s="119"/>
      <c r="J157" s="132"/>
      <c r="K157" s="199" t="str">
        <f>HYPERLINK(CONCATENATE("http://www.spr.depen.pr.gov.br/centralvagas/exibirFoto.jpg?numProntuario=",$E157,"&amp;idImagem=1"),"FOTO 1")</f>
        <v>FOTO 1</v>
      </c>
      <c r="L157" s="199" t="str">
        <f>HYPERLINK(CONCATENATE("http://www.spr.depen.pr.gov.br/centralvagas/exibirFoto.jpg?numProntuario=",$E157,"&amp;idImagem=2"),"FOTO 2")</f>
        <v>FOTO 2</v>
      </c>
      <c r="M157" s="199" t="str">
        <f>HYPERLINK(CONCATENATE("http://www.spr.depen.pr.gov.br/centralvagas/exibirFoto.jpg?numProntuario=",$E157,"&amp;idImagem=3"),"FOTO 3")</f>
        <v>FOTO 3</v>
      </c>
      <c r="N157" s="199" t="str">
        <f>HYPERLINK(CONCATENATE("http://www.spr.depen.pr.gov.br/centralvagas/exibirFoto.jpg?numProntuario=",$E157,"&amp;idImagem=4"),"FOTO 4")</f>
        <v>FOTO 4</v>
      </c>
      <c r="O157" s="199" t="str">
        <f>HYPERLINK(CONCATENATE("http://www.spr.depen.pr.gov.br/centralvagas/exibirFoto.jpg?numProntuario=",$E157,"&amp;idImagem=5"),"FOTO 5")</f>
        <v>FOTO 5</v>
      </c>
      <c r="P157" s="199" t="str">
        <f>HYPERLINK(CONCATENATE("http://www.spr.depen.pr.gov.br/centralvagas/exibirFoto.jpg?numProntuario=",$E157,"&amp;idImagem=6"),"FOTO 6")</f>
        <v>FOTO 6</v>
      </c>
    </row>
    <row r="158" spans="1:16" ht="14.1" customHeight="1" thickTop="1" thickBot="1">
      <c r="A158" s="123"/>
      <c r="B158" s="245"/>
      <c r="C158" s="116" t="s">
        <v>1521</v>
      </c>
      <c r="D158" s="122" t="s">
        <v>3472</v>
      </c>
      <c r="E158" s="144">
        <v>313737</v>
      </c>
      <c r="F158" s="116"/>
      <c r="G158" s="119"/>
      <c r="H158" s="116"/>
      <c r="I158" s="119"/>
      <c r="J158" s="116"/>
      <c r="K158" s="199" t="str">
        <f>HYPERLINK(CONCATENATE("http://www.spr.depen.pr.gov.br/centralvagas/exibirFoto.jpg?numProntuario=",$E158,"&amp;idImagem=1"),"FOTO 1")</f>
        <v>FOTO 1</v>
      </c>
      <c r="L158" s="199" t="str">
        <f>HYPERLINK(CONCATENATE("http://www.spr.depen.pr.gov.br/centralvagas/exibirFoto.jpg?numProntuario=",$E158,"&amp;idImagem=2"),"FOTO 2")</f>
        <v>FOTO 2</v>
      </c>
      <c r="M158" s="199" t="str">
        <f>HYPERLINK(CONCATENATE("http://www.spr.depen.pr.gov.br/centralvagas/exibirFoto.jpg?numProntuario=",$E158,"&amp;idImagem=3"),"FOTO 3")</f>
        <v>FOTO 3</v>
      </c>
      <c r="N158" s="199" t="str">
        <f>HYPERLINK(CONCATENATE("http://www.spr.depen.pr.gov.br/centralvagas/exibirFoto.jpg?numProntuario=",$E158,"&amp;idImagem=4"),"FOTO 4")</f>
        <v>FOTO 4</v>
      </c>
      <c r="O158" s="199" t="str">
        <f>HYPERLINK(CONCATENATE("http://www.spr.depen.pr.gov.br/centralvagas/exibirFoto.jpg?numProntuario=",$E158,"&amp;idImagem=5"),"FOTO 5")</f>
        <v>FOTO 5</v>
      </c>
      <c r="P158" s="199" t="str">
        <f>HYPERLINK(CONCATENATE("http://www.spr.depen.pr.gov.br/centralvagas/exibirFoto.jpg?numProntuario=",$E158,"&amp;idImagem=6"),"FOTO 6")</f>
        <v>FOTO 6</v>
      </c>
    </row>
    <row r="159" spans="1:16" ht="14.1" customHeight="1" thickTop="1" thickBot="1">
      <c r="A159" s="329"/>
      <c r="B159" s="245"/>
      <c r="C159" s="116" t="s">
        <v>1521</v>
      </c>
      <c r="D159" s="131" t="s">
        <v>3605</v>
      </c>
      <c r="E159" s="117">
        <v>276587</v>
      </c>
      <c r="F159" s="116"/>
      <c r="G159" s="119"/>
      <c r="H159" s="116"/>
      <c r="I159" s="119"/>
      <c r="J159" s="116"/>
      <c r="K159" s="199" t="str">
        <f>HYPERLINK(CONCATENATE("http://www.spr.depen.pr.gov.br/centralvagas/exibirFoto.jpg?numProntuario=",$E159,"&amp;idImagem=1"),"FOTO 1")</f>
        <v>FOTO 1</v>
      </c>
      <c r="L159" s="199" t="str">
        <f>HYPERLINK(CONCATENATE("http://www.spr.depen.pr.gov.br/centralvagas/exibirFoto.jpg?numProntuario=",$E159,"&amp;idImagem=2"),"FOTO 2")</f>
        <v>FOTO 2</v>
      </c>
      <c r="M159" s="199" t="str">
        <f>HYPERLINK(CONCATENATE("http://www.spr.depen.pr.gov.br/centralvagas/exibirFoto.jpg?numProntuario=",$E159,"&amp;idImagem=3"),"FOTO 3")</f>
        <v>FOTO 3</v>
      </c>
      <c r="N159" s="199" t="str">
        <f>HYPERLINK(CONCATENATE("http://www.spr.depen.pr.gov.br/centralvagas/exibirFoto.jpg?numProntuario=",$E159,"&amp;idImagem=4"),"FOTO 4")</f>
        <v>FOTO 4</v>
      </c>
      <c r="O159" s="199" t="str">
        <f>HYPERLINK(CONCATENATE("http://www.spr.depen.pr.gov.br/centralvagas/exibirFoto.jpg?numProntuario=",$E159,"&amp;idImagem=5"),"FOTO 5")</f>
        <v>FOTO 5</v>
      </c>
      <c r="P159" s="199" t="str">
        <f>HYPERLINK(CONCATENATE("http://www.spr.depen.pr.gov.br/centralvagas/exibirFoto.jpg?numProntuario=",$E159,"&amp;idImagem=6"),"FOTO 6")</f>
        <v>FOTO 6</v>
      </c>
    </row>
    <row r="160" spans="1:16" ht="14.1" customHeight="1" thickTop="1" thickBot="1">
      <c r="A160" s="329"/>
      <c r="B160" s="245"/>
      <c r="C160" s="116" t="s">
        <v>1521</v>
      </c>
      <c r="D160" s="131" t="s">
        <v>3565</v>
      </c>
      <c r="E160" s="117">
        <v>119609</v>
      </c>
      <c r="F160" s="116"/>
      <c r="G160" s="119"/>
      <c r="H160" s="116"/>
      <c r="I160" s="119"/>
      <c r="J160" s="116"/>
      <c r="K160" s="199" t="str">
        <f>HYPERLINK(CONCATENATE("http://www.spr.depen.pr.gov.br/centralvagas/exibirFoto.jpg?numProntuario=",$E160,"&amp;idImagem=1"),"FOTO 1")</f>
        <v>FOTO 1</v>
      </c>
      <c r="L160" s="199" t="str">
        <f>HYPERLINK(CONCATENATE("http://www.spr.depen.pr.gov.br/centralvagas/exibirFoto.jpg?numProntuario=",$E160,"&amp;idImagem=2"),"FOTO 2")</f>
        <v>FOTO 2</v>
      </c>
      <c r="M160" s="199" t="str">
        <f>HYPERLINK(CONCATENATE("http://www.spr.depen.pr.gov.br/centralvagas/exibirFoto.jpg?numProntuario=",$E160,"&amp;idImagem=3"),"FOTO 3")</f>
        <v>FOTO 3</v>
      </c>
      <c r="N160" s="199" t="str">
        <f>HYPERLINK(CONCATENATE("http://www.spr.depen.pr.gov.br/centralvagas/exibirFoto.jpg?numProntuario=",$E160,"&amp;idImagem=4"),"FOTO 4")</f>
        <v>FOTO 4</v>
      </c>
      <c r="O160" s="199" t="str">
        <f>HYPERLINK(CONCATENATE("http://www.spr.depen.pr.gov.br/centralvagas/exibirFoto.jpg?numProntuario=",$E160,"&amp;idImagem=5"),"FOTO 5")</f>
        <v>FOTO 5</v>
      </c>
      <c r="P160" s="199" t="str">
        <f>HYPERLINK(CONCATENATE("http://www.spr.depen.pr.gov.br/centralvagas/exibirFoto.jpg?numProntuario=",$E160,"&amp;idImagem=6"),"FOTO 6")</f>
        <v>FOTO 6</v>
      </c>
    </row>
    <row r="161" spans="1:16" ht="14.1" customHeight="1" thickTop="1" thickBot="1">
      <c r="A161" s="118"/>
      <c r="B161" s="228"/>
      <c r="C161" s="118" t="s">
        <v>1521</v>
      </c>
      <c r="D161" s="122" t="s">
        <v>3552</v>
      </c>
      <c r="E161" s="144">
        <v>51043</v>
      </c>
      <c r="F161" s="118"/>
      <c r="G161" s="118"/>
      <c r="H161" s="118"/>
      <c r="I161" s="118"/>
      <c r="J161" s="118"/>
      <c r="K161" s="199" t="str">
        <f>HYPERLINK(CONCATENATE("http://www.spr.depen.pr.gov.br/centralvagas/exibirFoto.jpg?numProntuario=",$E161,"&amp;idImagem=1"),"FOTO 1")</f>
        <v>FOTO 1</v>
      </c>
      <c r="L161" s="199" t="str">
        <f>HYPERLINK(CONCATENATE("http://www.spr.depen.pr.gov.br/centralvagas/exibirFoto.jpg?numProntuario=",$E161,"&amp;idImagem=2"),"FOTO 2")</f>
        <v>FOTO 2</v>
      </c>
      <c r="M161" s="199" t="str">
        <f>HYPERLINK(CONCATENATE("http://www.spr.depen.pr.gov.br/centralvagas/exibirFoto.jpg?numProntuario=",$E161,"&amp;idImagem=3"),"FOTO 3")</f>
        <v>FOTO 3</v>
      </c>
      <c r="N161" s="199" t="str">
        <f>HYPERLINK(CONCATENATE("http://www.spr.depen.pr.gov.br/centralvagas/exibirFoto.jpg?numProntuario=",$E161,"&amp;idImagem=4"),"FOTO 4")</f>
        <v>FOTO 4</v>
      </c>
      <c r="O161" s="199" t="str">
        <f>HYPERLINK(CONCATENATE("http://www.spr.depen.pr.gov.br/centralvagas/exibirFoto.jpg?numProntuario=",$E161,"&amp;idImagem=5"),"FOTO 5")</f>
        <v>FOTO 5</v>
      </c>
      <c r="P161" s="199" t="str">
        <f>HYPERLINK(CONCATENATE("http://www.spr.depen.pr.gov.br/centralvagas/exibirFoto.jpg?numProntuario=",$E161,"&amp;idImagem=6"),"FOTO 6")</f>
        <v>FOTO 6</v>
      </c>
    </row>
    <row r="162" spans="1:16" ht="14.1" customHeight="1" thickTop="1" thickBot="1">
      <c r="A162" s="381"/>
      <c r="B162" s="200"/>
      <c r="C162" s="126" t="s">
        <v>1521</v>
      </c>
      <c r="D162" s="131" t="s">
        <v>2257</v>
      </c>
      <c r="E162" s="466">
        <v>102973</v>
      </c>
      <c r="F162" s="133"/>
      <c r="G162" s="119"/>
      <c r="H162" s="116"/>
      <c r="I162" s="119"/>
      <c r="J162" s="116"/>
      <c r="K162" s="199" t="str">
        <f>HYPERLINK(CONCATENATE("http://www.spr.depen.pr.gov.br/centralvagas/exibirFoto.jpg?numProntuario=",$E162,"&amp;idImagem=1"),"FOTO 1")</f>
        <v>FOTO 1</v>
      </c>
      <c r="L162" s="199" t="str">
        <f>HYPERLINK(CONCATENATE("http://www.spr.depen.pr.gov.br/centralvagas/exibirFoto.jpg?numProntuario=",$E162,"&amp;idImagem=2"),"FOTO 2")</f>
        <v>FOTO 2</v>
      </c>
      <c r="M162" s="199" t="str">
        <f>HYPERLINK(CONCATENATE("http://www.spr.depen.pr.gov.br/centralvagas/exibirFoto.jpg?numProntuario=",$E162,"&amp;idImagem=3"),"FOTO 3")</f>
        <v>FOTO 3</v>
      </c>
      <c r="N162" s="199" t="str">
        <f>HYPERLINK(CONCATENATE("http://www.spr.depen.pr.gov.br/centralvagas/exibirFoto.jpg?numProntuario=",$E162,"&amp;idImagem=4"),"FOTO 4")</f>
        <v>FOTO 4</v>
      </c>
      <c r="O162" s="199" t="str">
        <f>HYPERLINK(CONCATENATE("http://www.spr.depen.pr.gov.br/centralvagas/exibirFoto.jpg?numProntuario=",$E162,"&amp;idImagem=5"),"FOTO 5")</f>
        <v>FOTO 5</v>
      </c>
      <c r="P162" s="199" t="str">
        <f>HYPERLINK(CONCATENATE("http://www.spr.depen.pr.gov.br/centralvagas/exibirFoto.jpg?numProntuario=",$E162,"&amp;idImagem=6"),"FOTO 6")</f>
        <v>FOTO 6</v>
      </c>
    </row>
    <row r="163" spans="1:16" ht="14.1" customHeight="1" thickTop="1" thickBot="1">
      <c r="A163" s="207" t="s">
        <v>263</v>
      </c>
      <c r="B163" s="317" t="s">
        <v>3730</v>
      </c>
      <c r="C163" s="145" t="s">
        <v>2710</v>
      </c>
      <c r="D163" s="609" t="s">
        <v>2416</v>
      </c>
      <c r="E163" s="608">
        <v>151224</v>
      </c>
      <c r="F163" s="116"/>
      <c r="G163" s="119"/>
      <c r="H163" s="116"/>
      <c r="I163" s="119"/>
      <c r="J163" s="116"/>
      <c r="K163" s="199" t="str">
        <f>HYPERLINK(CONCATENATE("http://www.spr.depen.pr.gov.br/centralvagas/exibirFoto.jpg?numProntuario=",$E163,"&amp;idImagem=1"),"FOTO 1")</f>
        <v>FOTO 1</v>
      </c>
      <c r="L163" s="199" t="str">
        <f>HYPERLINK(CONCATENATE("http://www.spr.depen.pr.gov.br/centralvagas/exibirFoto.jpg?numProntuario=",$E163,"&amp;idImagem=2"),"FOTO 2")</f>
        <v>FOTO 2</v>
      </c>
      <c r="M163" s="199" t="str">
        <f>HYPERLINK(CONCATENATE("http://www.spr.depen.pr.gov.br/centralvagas/exibirFoto.jpg?numProntuario=",$E163,"&amp;idImagem=3"),"FOTO 3")</f>
        <v>FOTO 3</v>
      </c>
      <c r="N163" s="199" t="str">
        <f>HYPERLINK(CONCATENATE("http://www.spr.depen.pr.gov.br/centralvagas/exibirFoto.jpg?numProntuario=",$E163,"&amp;idImagem=4"),"FOTO 4")</f>
        <v>FOTO 4</v>
      </c>
      <c r="O163" s="199" t="str">
        <f>HYPERLINK(CONCATENATE("http://www.spr.depen.pr.gov.br/centralvagas/exibirFoto.jpg?numProntuario=",$E163,"&amp;idImagem=5"),"FOTO 5")</f>
        <v>FOTO 5</v>
      </c>
      <c r="P163" s="199" t="str">
        <f>HYPERLINK(CONCATENATE("http://www.spr.depen.pr.gov.br/centralvagas/exibirFoto.jpg?numProntuario=",$E163,"&amp;idImagem=6"),"FOTO 6")</f>
        <v>FOTO 6</v>
      </c>
    </row>
    <row r="164" spans="1:16" ht="14.1" customHeight="1" thickTop="1" thickBot="1">
      <c r="A164" s="118"/>
      <c r="B164" s="384"/>
      <c r="C164" s="118" t="s">
        <v>2710</v>
      </c>
      <c r="D164" s="122" t="s">
        <v>2840</v>
      </c>
      <c r="E164" s="117">
        <v>128449</v>
      </c>
      <c r="F164" s="116"/>
      <c r="G164" s="119"/>
      <c r="H164" s="116"/>
      <c r="I164" s="119"/>
      <c r="J164" s="116"/>
      <c r="K164" s="199" t="str">
        <f>HYPERLINK(CONCATENATE("http://www.spr.depen.pr.gov.br/centralvagas/exibirFoto.jpg?numProntuario=",$E164,"&amp;idImagem=1"),"FOTO 1")</f>
        <v>FOTO 1</v>
      </c>
      <c r="L164" s="199" t="str">
        <f>HYPERLINK(CONCATENATE("http://www.spr.depen.pr.gov.br/centralvagas/exibirFoto.jpg?numProntuario=",$E164,"&amp;idImagem=2"),"FOTO 2")</f>
        <v>FOTO 2</v>
      </c>
      <c r="M164" s="199" t="str">
        <f>HYPERLINK(CONCATENATE("http://www.spr.depen.pr.gov.br/centralvagas/exibirFoto.jpg?numProntuario=",$E164,"&amp;idImagem=3"),"FOTO 3")</f>
        <v>FOTO 3</v>
      </c>
      <c r="N164" s="199" t="str">
        <f>HYPERLINK(CONCATENATE("http://www.spr.depen.pr.gov.br/centralvagas/exibirFoto.jpg?numProntuario=",$E164,"&amp;idImagem=4"),"FOTO 4")</f>
        <v>FOTO 4</v>
      </c>
      <c r="O164" s="199" t="str">
        <f>HYPERLINK(CONCATENATE("http://www.spr.depen.pr.gov.br/centralvagas/exibirFoto.jpg?numProntuario=",$E164,"&amp;idImagem=5"),"FOTO 5")</f>
        <v>FOTO 5</v>
      </c>
      <c r="P164" s="199" t="str">
        <f>HYPERLINK(CONCATENATE("http://www.spr.depen.pr.gov.br/centralvagas/exibirFoto.jpg?numProntuario=",$E164,"&amp;idImagem=6"),"FOTO 6")</f>
        <v>FOTO 6</v>
      </c>
    </row>
    <row r="165" spans="1:16" ht="14.1" customHeight="1" thickTop="1" thickBot="1">
      <c r="A165" s="118"/>
      <c r="B165" s="384"/>
      <c r="C165" s="118" t="s">
        <v>2710</v>
      </c>
      <c r="D165" s="130" t="s">
        <v>3588</v>
      </c>
      <c r="E165" s="117">
        <v>63905</v>
      </c>
      <c r="F165" s="116"/>
      <c r="G165" s="119"/>
      <c r="H165" s="116"/>
      <c r="I165" s="119"/>
      <c r="J165" s="116"/>
      <c r="K165" s="199" t="str">
        <f>HYPERLINK(CONCATENATE("http://www.spr.depen.pr.gov.br/centralvagas/exibirFoto.jpg?numProntuario=",$E165,"&amp;idImagem=1"),"FOTO 1")</f>
        <v>FOTO 1</v>
      </c>
      <c r="L165" s="199" t="str">
        <f>HYPERLINK(CONCATENATE("http://www.spr.depen.pr.gov.br/centralvagas/exibirFoto.jpg?numProntuario=",$E165,"&amp;idImagem=2"),"FOTO 2")</f>
        <v>FOTO 2</v>
      </c>
      <c r="M165" s="199" t="str">
        <f>HYPERLINK(CONCATENATE("http://www.spr.depen.pr.gov.br/centralvagas/exibirFoto.jpg?numProntuario=",$E165,"&amp;idImagem=3"),"FOTO 3")</f>
        <v>FOTO 3</v>
      </c>
      <c r="N165" s="199" t="str">
        <f>HYPERLINK(CONCATENATE("http://www.spr.depen.pr.gov.br/centralvagas/exibirFoto.jpg?numProntuario=",$E165,"&amp;idImagem=4"),"FOTO 4")</f>
        <v>FOTO 4</v>
      </c>
      <c r="O165" s="199" t="str">
        <f>HYPERLINK(CONCATENATE("http://www.spr.depen.pr.gov.br/centralvagas/exibirFoto.jpg?numProntuario=",$E165,"&amp;idImagem=5"),"FOTO 5")</f>
        <v>FOTO 5</v>
      </c>
      <c r="P165" s="199" t="str">
        <f>HYPERLINK(CONCATENATE("http://www.spr.depen.pr.gov.br/centralvagas/exibirFoto.jpg?numProntuario=",$E165,"&amp;idImagem=6"),"FOTO 6")</f>
        <v>FOTO 6</v>
      </c>
    </row>
    <row r="166" spans="1:16" ht="14.1" customHeight="1" thickTop="1" thickBot="1">
      <c r="A166" s="134"/>
      <c r="B166" s="384"/>
      <c r="C166" s="116" t="s">
        <v>2710</v>
      </c>
      <c r="D166" s="129" t="s">
        <v>2790</v>
      </c>
      <c r="E166" s="117">
        <v>132842</v>
      </c>
      <c r="F166" s="116"/>
      <c r="G166" s="119"/>
      <c r="H166" s="116"/>
      <c r="I166" s="119"/>
      <c r="J166" s="116"/>
      <c r="K166" s="199" t="str">
        <f>HYPERLINK(CONCATENATE("http://www.spr.depen.pr.gov.br/centralvagas/exibirFoto.jpg?numProntuario=",$E166,"&amp;idImagem=1"),"FOTO 1")</f>
        <v>FOTO 1</v>
      </c>
      <c r="L166" s="199" t="str">
        <f>HYPERLINK(CONCATENATE("http://www.spr.depen.pr.gov.br/centralvagas/exibirFoto.jpg?numProntuario=",$E166,"&amp;idImagem=2"),"FOTO 2")</f>
        <v>FOTO 2</v>
      </c>
      <c r="M166" s="199" t="str">
        <f>HYPERLINK(CONCATENATE("http://www.spr.depen.pr.gov.br/centralvagas/exibirFoto.jpg?numProntuario=",$E166,"&amp;idImagem=3"),"FOTO 3")</f>
        <v>FOTO 3</v>
      </c>
      <c r="N166" s="199" t="str">
        <f>HYPERLINK(CONCATENATE("http://www.spr.depen.pr.gov.br/centralvagas/exibirFoto.jpg?numProntuario=",$E166,"&amp;idImagem=4"),"FOTO 4")</f>
        <v>FOTO 4</v>
      </c>
      <c r="O166" s="199" t="str">
        <f>HYPERLINK(CONCATENATE("http://www.spr.depen.pr.gov.br/centralvagas/exibirFoto.jpg?numProntuario=",$E166,"&amp;idImagem=5"),"FOTO 5")</f>
        <v>FOTO 5</v>
      </c>
      <c r="P166" s="199" t="str">
        <f>HYPERLINK(CONCATENATE("http://www.spr.depen.pr.gov.br/centralvagas/exibirFoto.jpg?numProntuario=",$E166,"&amp;idImagem=6"),"FOTO 6")</f>
        <v>FOTO 6</v>
      </c>
    </row>
    <row r="167" spans="1:16" ht="14.1" customHeight="1" thickTop="1" thickBot="1">
      <c r="A167" s="152"/>
      <c r="B167" s="143"/>
      <c r="C167" s="116" t="s">
        <v>2710</v>
      </c>
      <c r="D167" s="129" t="s">
        <v>2426</v>
      </c>
      <c r="E167" s="117">
        <v>26165</v>
      </c>
      <c r="F167" s="116"/>
      <c r="G167" s="119"/>
      <c r="H167" s="116"/>
      <c r="I167" s="119"/>
      <c r="J167" s="116"/>
      <c r="K167" s="199" t="str">
        <f>HYPERLINK(CONCATENATE("http://www.spr.depen.pr.gov.br/centralvagas/exibirFoto.jpg?numProntuario=",$E167,"&amp;idImagem=1"),"FOTO 1")</f>
        <v>FOTO 1</v>
      </c>
      <c r="L167" s="199" t="str">
        <f>HYPERLINK(CONCATENATE("http://www.spr.depen.pr.gov.br/centralvagas/exibirFoto.jpg?numProntuario=",$E167,"&amp;idImagem=2"),"FOTO 2")</f>
        <v>FOTO 2</v>
      </c>
      <c r="M167" s="199" t="str">
        <f>HYPERLINK(CONCATENATE("http://www.spr.depen.pr.gov.br/centralvagas/exibirFoto.jpg?numProntuario=",$E167,"&amp;idImagem=3"),"FOTO 3")</f>
        <v>FOTO 3</v>
      </c>
      <c r="N167" s="199" t="str">
        <f>HYPERLINK(CONCATENATE("http://www.spr.depen.pr.gov.br/centralvagas/exibirFoto.jpg?numProntuario=",$E167,"&amp;idImagem=4"),"FOTO 4")</f>
        <v>FOTO 4</v>
      </c>
      <c r="O167" s="199" t="str">
        <f>HYPERLINK(CONCATENATE("http://www.spr.depen.pr.gov.br/centralvagas/exibirFoto.jpg?numProntuario=",$E167,"&amp;idImagem=5"),"FOTO 5")</f>
        <v>FOTO 5</v>
      </c>
      <c r="P167" s="199" t="str">
        <f>HYPERLINK(CONCATENATE("http://www.spr.depen.pr.gov.br/centralvagas/exibirFoto.jpg?numProntuario=",$E167,"&amp;idImagem=6"),"FOTO 6")</f>
        <v>FOTO 6</v>
      </c>
    </row>
    <row r="168" spans="1:16" ht="14.1" customHeight="1" thickTop="1" thickBot="1">
      <c r="A168" s="134"/>
      <c r="B168" s="245"/>
      <c r="C168" s="116" t="s">
        <v>2714</v>
      </c>
      <c r="D168" s="122" t="s">
        <v>3464</v>
      </c>
      <c r="E168" s="466">
        <v>128513</v>
      </c>
      <c r="F168" s="116"/>
      <c r="G168" s="119"/>
      <c r="H168" s="116"/>
      <c r="I168" s="119"/>
      <c r="J168" s="116"/>
      <c r="K168" s="199" t="str">
        <f>HYPERLINK(CONCATENATE("http://www.spr.depen.pr.gov.br/centralvagas/exibirFoto.jpg?numProntuario=",$E168,"&amp;idImagem=1"),"FOTO 1")</f>
        <v>FOTO 1</v>
      </c>
      <c r="L168" s="199" t="str">
        <f>HYPERLINK(CONCATENATE("http://www.spr.depen.pr.gov.br/centralvagas/exibirFoto.jpg?numProntuario=",$E168,"&amp;idImagem=2"),"FOTO 2")</f>
        <v>FOTO 2</v>
      </c>
      <c r="M168" s="199" t="str">
        <f>HYPERLINK(CONCATENATE("http://www.spr.depen.pr.gov.br/centralvagas/exibirFoto.jpg?numProntuario=",$E168,"&amp;idImagem=3"),"FOTO 3")</f>
        <v>FOTO 3</v>
      </c>
      <c r="N168" s="199" t="str">
        <f>HYPERLINK(CONCATENATE("http://www.spr.depen.pr.gov.br/centralvagas/exibirFoto.jpg?numProntuario=",$E168,"&amp;idImagem=4"),"FOTO 4")</f>
        <v>FOTO 4</v>
      </c>
      <c r="O168" s="199" t="str">
        <f>HYPERLINK(CONCATENATE("http://www.spr.depen.pr.gov.br/centralvagas/exibirFoto.jpg?numProntuario=",$E168,"&amp;idImagem=5"),"FOTO 5")</f>
        <v>FOTO 5</v>
      </c>
      <c r="P168" s="199" t="str">
        <f>HYPERLINK(CONCATENATE("http://www.spr.depen.pr.gov.br/centralvagas/exibirFoto.jpg?numProntuario=",$E168,"&amp;idImagem=6"),"FOTO 6")</f>
        <v>FOTO 6</v>
      </c>
    </row>
    <row r="169" spans="1:16" ht="14.1" customHeight="1" thickTop="1" thickBot="1">
      <c r="A169" s="331"/>
      <c r="B169" s="127"/>
      <c r="C169" s="116" t="s">
        <v>2714</v>
      </c>
      <c r="D169" s="130" t="s">
        <v>2864</v>
      </c>
      <c r="E169" s="117">
        <v>98003</v>
      </c>
      <c r="F169" s="116"/>
      <c r="G169" s="119"/>
      <c r="H169" s="116"/>
      <c r="I169" s="119"/>
      <c r="J169" s="132"/>
      <c r="K169" s="199" t="str">
        <f>HYPERLINK(CONCATENATE("http://www.spr.depen.pr.gov.br/centralvagas/exibirFoto.jpg?numProntuario=",$E169,"&amp;idImagem=1"),"FOTO 1")</f>
        <v>FOTO 1</v>
      </c>
      <c r="L169" s="199" t="str">
        <f>HYPERLINK(CONCATENATE("http://www.spr.depen.pr.gov.br/centralvagas/exibirFoto.jpg?numProntuario=",$E169,"&amp;idImagem=2"),"FOTO 2")</f>
        <v>FOTO 2</v>
      </c>
      <c r="M169" s="199" t="str">
        <f>HYPERLINK(CONCATENATE("http://www.spr.depen.pr.gov.br/centralvagas/exibirFoto.jpg?numProntuario=",$E169,"&amp;idImagem=3"),"FOTO 3")</f>
        <v>FOTO 3</v>
      </c>
      <c r="N169" s="199" t="str">
        <f>HYPERLINK(CONCATENATE("http://www.spr.depen.pr.gov.br/centralvagas/exibirFoto.jpg?numProntuario=",$E169,"&amp;idImagem=4"),"FOTO 4")</f>
        <v>FOTO 4</v>
      </c>
      <c r="O169" s="199" t="str">
        <f>HYPERLINK(CONCATENATE("http://www.spr.depen.pr.gov.br/centralvagas/exibirFoto.jpg?numProntuario=",$E169,"&amp;idImagem=5"),"FOTO 5")</f>
        <v>FOTO 5</v>
      </c>
      <c r="P169" s="199" t="str">
        <f>HYPERLINK(CONCATENATE("http://www.spr.depen.pr.gov.br/centralvagas/exibirFoto.jpg?numProntuario=",$E169,"&amp;idImagem=6"),"FOTO 6")</f>
        <v>FOTO 6</v>
      </c>
    </row>
    <row r="170" spans="1:16" ht="14.1" customHeight="1" thickTop="1" thickBot="1">
      <c r="A170" s="123"/>
      <c r="B170" s="245"/>
      <c r="C170" s="116" t="s">
        <v>2714</v>
      </c>
      <c r="D170" s="131" t="s">
        <v>2758</v>
      </c>
      <c r="E170" s="117">
        <v>149075</v>
      </c>
      <c r="F170" s="116"/>
      <c r="G170" s="119"/>
      <c r="H170" s="116"/>
      <c r="I170" s="119"/>
      <c r="J170" s="116"/>
      <c r="K170" s="199" t="str">
        <f>HYPERLINK(CONCATENATE("http://www.spr.depen.pr.gov.br/centralvagas/exibirFoto.jpg?numProntuario=",$E170,"&amp;idImagem=1"),"FOTO 1")</f>
        <v>FOTO 1</v>
      </c>
      <c r="L170" s="199" t="str">
        <f>HYPERLINK(CONCATENATE("http://www.spr.depen.pr.gov.br/centralvagas/exibirFoto.jpg?numProntuario=",$E170,"&amp;idImagem=2"),"FOTO 2")</f>
        <v>FOTO 2</v>
      </c>
      <c r="M170" s="199" t="str">
        <f>HYPERLINK(CONCATENATE("http://www.spr.depen.pr.gov.br/centralvagas/exibirFoto.jpg?numProntuario=",$E170,"&amp;idImagem=3"),"FOTO 3")</f>
        <v>FOTO 3</v>
      </c>
      <c r="N170" s="199" t="str">
        <f>HYPERLINK(CONCATENATE("http://www.spr.depen.pr.gov.br/centralvagas/exibirFoto.jpg?numProntuario=",$E170,"&amp;idImagem=4"),"FOTO 4")</f>
        <v>FOTO 4</v>
      </c>
      <c r="O170" s="199" t="str">
        <f>HYPERLINK(CONCATENATE("http://www.spr.depen.pr.gov.br/centralvagas/exibirFoto.jpg?numProntuario=",$E170,"&amp;idImagem=5"),"FOTO 5")</f>
        <v>FOTO 5</v>
      </c>
      <c r="P170" s="199" t="str">
        <f>HYPERLINK(CONCATENATE("http://www.spr.depen.pr.gov.br/centralvagas/exibirFoto.jpg?numProntuario=",$E170,"&amp;idImagem=6"),"FOTO 6")</f>
        <v>FOTO 6</v>
      </c>
    </row>
    <row r="171" spans="1:16" ht="14.1" customHeight="1" thickTop="1" thickBot="1">
      <c r="A171" s="123"/>
      <c r="B171" s="228"/>
      <c r="C171" s="118" t="s">
        <v>2714</v>
      </c>
      <c r="D171" s="130" t="s">
        <v>2736</v>
      </c>
      <c r="E171" s="117">
        <v>168196</v>
      </c>
      <c r="F171" s="116"/>
      <c r="G171" s="119"/>
      <c r="H171" s="116"/>
      <c r="I171" s="119"/>
      <c r="J171" s="116"/>
      <c r="K171" s="199" t="str">
        <f>HYPERLINK(CONCATENATE("http://www.spr.depen.pr.gov.br/centralvagas/exibirFoto.jpg?numProntuario=",$E171,"&amp;idImagem=1"),"FOTO 1")</f>
        <v>FOTO 1</v>
      </c>
      <c r="L171" s="199" t="str">
        <f>HYPERLINK(CONCATENATE("http://www.spr.depen.pr.gov.br/centralvagas/exibirFoto.jpg?numProntuario=",$E171,"&amp;idImagem=2"),"FOTO 2")</f>
        <v>FOTO 2</v>
      </c>
      <c r="M171" s="199" t="str">
        <f>HYPERLINK(CONCATENATE("http://www.spr.depen.pr.gov.br/centralvagas/exibirFoto.jpg?numProntuario=",$E171,"&amp;idImagem=3"),"FOTO 3")</f>
        <v>FOTO 3</v>
      </c>
      <c r="N171" s="199" t="str">
        <f>HYPERLINK(CONCATENATE("http://www.spr.depen.pr.gov.br/centralvagas/exibirFoto.jpg?numProntuario=",$E171,"&amp;idImagem=4"),"FOTO 4")</f>
        <v>FOTO 4</v>
      </c>
      <c r="O171" s="199" t="str">
        <f>HYPERLINK(CONCATENATE("http://www.spr.depen.pr.gov.br/centralvagas/exibirFoto.jpg?numProntuario=",$E171,"&amp;idImagem=5"),"FOTO 5")</f>
        <v>FOTO 5</v>
      </c>
      <c r="P171" s="199" t="str">
        <f>HYPERLINK(CONCATENATE("http://www.spr.depen.pr.gov.br/centralvagas/exibirFoto.jpg?numProntuario=",$E171,"&amp;idImagem=6"),"FOTO 6")</f>
        <v>FOTO 6</v>
      </c>
    </row>
    <row r="172" spans="1:16" ht="14.1" customHeight="1" thickTop="1" thickBot="1">
      <c r="A172" s="153"/>
      <c r="B172" s="127"/>
      <c r="C172" s="116" t="s">
        <v>2714</v>
      </c>
      <c r="D172" s="130" t="s">
        <v>2782</v>
      </c>
      <c r="E172" s="117">
        <v>171298</v>
      </c>
      <c r="F172" s="116"/>
      <c r="G172" s="119"/>
      <c r="H172" s="116"/>
      <c r="I172" s="119"/>
      <c r="J172" s="116"/>
      <c r="K172" s="199" t="str">
        <f>HYPERLINK(CONCATENATE("http://www.spr.depen.pr.gov.br/centralvagas/exibirFoto.jpg?numProntuario=",$E172,"&amp;idImagem=1"),"FOTO 1")</f>
        <v>FOTO 1</v>
      </c>
      <c r="L172" s="199" t="str">
        <f>HYPERLINK(CONCATENATE("http://www.spr.depen.pr.gov.br/centralvagas/exibirFoto.jpg?numProntuario=",$E172,"&amp;idImagem=2"),"FOTO 2")</f>
        <v>FOTO 2</v>
      </c>
      <c r="M172" s="199" t="str">
        <f>HYPERLINK(CONCATENATE("http://www.spr.depen.pr.gov.br/centralvagas/exibirFoto.jpg?numProntuario=",$E172,"&amp;idImagem=3"),"FOTO 3")</f>
        <v>FOTO 3</v>
      </c>
      <c r="N172" s="199" t="str">
        <f>HYPERLINK(CONCATENATE("http://www.spr.depen.pr.gov.br/centralvagas/exibirFoto.jpg?numProntuario=",$E172,"&amp;idImagem=4"),"FOTO 4")</f>
        <v>FOTO 4</v>
      </c>
      <c r="O172" s="199" t="str">
        <f>HYPERLINK(CONCATENATE("http://www.spr.depen.pr.gov.br/centralvagas/exibirFoto.jpg?numProntuario=",$E172,"&amp;idImagem=5"),"FOTO 5")</f>
        <v>FOTO 5</v>
      </c>
      <c r="P172" s="199" t="str">
        <f>HYPERLINK(CONCATENATE("http://www.spr.depen.pr.gov.br/centralvagas/exibirFoto.jpg?numProntuario=",$E172,"&amp;idImagem=6"),"FOTO 6")</f>
        <v>FOTO 6</v>
      </c>
    </row>
    <row r="173" spans="1:16" ht="14.1" customHeight="1" thickTop="1" thickBot="1">
      <c r="A173" s="251"/>
      <c r="B173" s="245"/>
      <c r="C173" s="116" t="s">
        <v>878</v>
      </c>
      <c r="D173" s="131" t="s">
        <v>3586</v>
      </c>
      <c r="E173" s="117">
        <v>110289</v>
      </c>
      <c r="F173" s="116"/>
      <c r="G173" s="119"/>
      <c r="H173" s="116"/>
      <c r="I173" s="119"/>
      <c r="J173" s="116"/>
      <c r="K173" s="199" t="str">
        <f>HYPERLINK(CONCATENATE("http://www.spr.depen.pr.gov.br/centralvagas/exibirFoto.jpg?numProntuario=",$E173,"&amp;idImagem=1"),"FOTO 1")</f>
        <v>FOTO 1</v>
      </c>
      <c r="L173" s="199" t="str">
        <f>HYPERLINK(CONCATENATE("http://www.spr.depen.pr.gov.br/centralvagas/exibirFoto.jpg?numProntuario=",$E173,"&amp;idImagem=2"),"FOTO 2")</f>
        <v>FOTO 2</v>
      </c>
      <c r="M173" s="199" t="str">
        <f>HYPERLINK(CONCATENATE("http://www.spr.depen.pr.gov.br/centralvagas/exibirFoto.jpg?numProntuario=",$E173,"&amp;idImagem=3"),"FOTO 3")</f>
        <v>FOTO 3</v>
      </c>
      <c r="N173" s="199" t="str">
        <f>HYPERLINK(CONCATENATE("http://www.spr.depen.pr.gov.br/centralvagas/exibirFoto.jpg?numProntuario=",$E173,"&amp;idImagem=4"),"FOTO 4")</f>
        <v>FOTO 4</v>
      </c>
      <c r="O173" s="199" t="str">
        <f>HYPERLINK(CONCATENATE("http://www.spr.depen.pr.gov.br/centralvagas/exibirFoto.jpg?numProntuario=",$E173,"&amp;idImagem=5"),"FOTO 5")</f>
        <v>FOTO 5</v>
      </c>
      <c r="P173" s="199" t="str">
        <f>HYPERLINK(CONCATENATE("http://www.spr.depen.pr.gov.br/centralvagas/exibirFoto.jpg?numProntuario=",$E173,"&amp;idImagem=6"),"FOTO 6")</f>
        <v>FOTO 6</v>
      </c>
    </row>
    <row r="174" spans="1:16" ht="14.1" customHeight="1" thickTop="1" thickBot="1">
      <c r="A174" s="370"/>
      <c r="B174" s="245"/>
      <c r="C174" s="145" t="s">
        <v>878</v>
      </c>
      <c r="D174" s="606" t="s">
        <v>3531</v>
      </c>
      <c r="E174" s="117">
        <v>23233</v>
      </c>
      <c r="F174" s="116"/>
      <c r="G174" s="119"/>
      <c r="H174" s="116"/>
      <c r="I174" s="119"/>
      <c r="J174" s="116"/>
      <c r="K174" s="199" t="str">
        <f>HYPERLINK(CONCATENATE("http://www.spr.depen.pr.gov.br/centralvagas/exibirFoto.jpg?numProntuario=",$E174,"&amp;idImagem=1"),"FOTO 1")</f>
        <v>FOTO 1</v>
      </c>
      <c r="L174" s="199" t="str">
        <f>HYPERLINK(CONCATENATE("http://www.spr.depen.pr.gov.br/centralvagas/exibirFoto.jpg?numProntuario=",$E174,"&amp;idImagem=2"),"FOTO 2")</f>
        <v>FOTO 2</v>
      </c>
      <c r="M174" s="199" t="str">
        <f>HYPERLINK(CONCATENATE("http://www.spr.depen.pr.gov.br/centralvagas/exibirFoto.jpg?numProntuario=",$E174,"&amp;idImagem=3"),"FOTO 3")</f>
        <v>FOTO 3</v>
      </c>
      <c r="N174" s="199" t="str">
        <f>HYPERLINK(CONCATENATE("http://www.spr.depen.pr.gov.br/centralvagas/exibirFoto.jpg?numProntuario=",$E174,"&amp;idImagem=4"),"FOTO 4")</f>
        <v>FOTO 4</v>
      </c>
      <c r="O174" s="199" t="str">
        <f>HYPERLINK(CONCATENATE("http://www.spr.depen.pr.gov.br/centralvagas/exibirFoto.jpg?numProntuario=",$E174,"&amp;idImagem=5"),"FOTO 5")</f>
        <v>FOTO 5</v>
      </c>
      <c r="P174" s="199" t="str">
        <f>HYPERLINK(CONCATENATE("http://www.spr.depen.pr.gov.br/centralvagas/exibirFoto.jpg?numProntuario=",$E174,"&amp;idImagem=6"),"FOTO 6")</f>
        <v>FOTO 6</v>
      </c>
    </row>
    <row r="175" spans="1:16" ht="14.1" customHeight="1" thickTop="1" thickBot="1">
      <c r="A175" s="382"/>
      <c r="B175" s="147"/>
      <c r="C175" s="116" t="s">
        <v>878</v>
      </c>
      <c r="D175" s="371" t="s">
        <v>2386</v>
      </c>
      <c r="E175" s="117">
        <v>387261</v>
      </c>
      <c r="F175" s="356"/>
      <c r="G175" s="357"/>
      <c r="H175" s="116"/>
      <c r="I175" s="162"/>
      <c r="J175" s="116"/>
      <c r="K175" s="199" t="str">
        <f>HYPERLINK(CONCATENATE("http://www.spr.depen.pr.gov.br/centralvagas/exibirFoto.jpg?numProntuario=",$E175,"&amp;idImagem=1"),"FOTO 1")</f>
        <v>FOTO 1</v>
      </c>
      <c r="L175" s="199" t="str">
        <f>HYPERLINK(CONCATENATE("http://www.spr.depen.pr.gov.br/centralvagas/exibirFoto.jpg?numProntuario=",$E175,"&amp;idImagem=2"),"FOTO 2")</f>
        <v>FOTO 2</v>
      </c>
      <c r="M175" s="199" t="str">
        <f>HYPERLINK(CONCATENATE("http://www.spr.depen.pr.gov.br/centralvagas/exibirFoto.jpg?numProntuario=",$E175,"&amp;idImagem=3"),"FOTO 3")</f>
        <v>FOTO 3</v>
      </c>
      <c r="N175" s="199" t="str">
        <f>HYPERLINK(CONCATENATE("http://www.spr.depen.pr.gov.br/centralvagas/exibirFoto.jpg?numProntuario=",$E175,"&amp;idImagem=4"),"FOTO 4")</f>
        <v>FOTO 4</v>
      </c>
      <c r="O175" s="199" t="str">
        <f>HYPERLINK(CONCATENATE("http://www.spr.depen.pr.gov.br/centralvagas/exibirFoto.jpg?numProntuario=",$E175,"&amp;idImagem=5"),"FOTO 5")</f>
        <v>FOTO 5</v>
      </c>
      <c r="P175" s="199" t="str">
        <f>HYPERLINK(CONCATENATE("http://www.spr.depen.pr.gov.br/centralvagas/exibirFoto.jpg?numProntuario=",$E175,"&amp;idImagem=6"),"FOTO 6")</f>
        <v>FOTO 6</v>
      </c>
    </row>
    <row r="176" spans="1:16" ht="14.1" customHeight="1" thickTop="1" thickBot="1">
      <c r="A176" s="372" t="s">
        <v>263</v>
      </c>
      <c r="B176" s="147" t="s">
        <v>3733</v>
      </c>
      <c r="C176" s="363" t="s">
        <v>878</v>
      </c>
      <c r="D176" s="365" t="s">
        <v>2591</v>
      </c>
      <c r="E176" s="117">
        <v>63524</v>
      </c>
      <c r="F176" s="116"/>
      <c r="G176" s="119"/>
      <c r="H176" s="116"/>
      <c r="I176" s="119"/>
      <c r="J176" s="132"/>
      <c r="K176" s="199" t="str">
        <f>HYPERLINK(CONCATENATE("http://www.spr.depen.pr.gov.br/centralvagas/exibirFoto.jpg?numProntuario=",$E176,"&amp;idImagem=1"),"FOTO 1")</f>
        <v>FOTO 1</v>
      </c>
      <c r="L176" s="199" t="str">
        <f>HYPERLINK(CONCATENATE("http://www.spr.depen.pr.gov.br/centralvagas/exibirFoto.jpg?numProntuario=",$E176,"&amp;idImagem=2"),"FOTO 2")</f>
        <v>FOTO 2</v>
      </c>
      <c r="M176" s="199" t="str">
        <f>HYPERLINK(CONCATENATE("http://www.spr.depen.pr.gov.br/centralvagas/exibirFoto.jpg?numProntuario=",$E176,"&amp;idImagem=3"),"FOTO 3")</f>
        <v>FOTO 3</v>
      </c>
      <c r="N176" s="199" t="str">
        <f>HYPERLINK(CONCATENATE("http://www.spr.depen.pr.gov.br/centralvagas/exibirFoto.jpg?numProntuario=",$E176,"&amp;idImagem=4"),"FOTO 4")</f>
        <v>FOTO 4</v>
      </c>
      <c r="O176" s="199" t="str">
        <f>HYPERLINK(CONCATENATE("http://www.spr.depen.pr.gov.br/centralvagas/exibirFoto.jpg?numProntuario=",$E176,"&amp;idImagem=5"),"FOTO 5")</f>
        <v>FOTO 5</v>
      </c>
      <c r="P176" s="199" t="str">
        <f>HYPERLINK(CONCATENATE("http://www.spr.depen.pr.gov.br/centralvagas/exibirFoto.jpg?numProntuario=",$E176,"&amp;idImagem=6"),"FOTO 6")</f>
        <v>FOTO 6</v>
      </c>
    </row>
    <row r="177" spans="1:16" ht="14.1" customHeight="1" thickTop="1" thickBot="1">
      <c r="A177" s="207"/>
      <c r="B177" s="228"/>
      <c r="C177" s="217" t="s">
        <v>1060</v>
      </c>
      <c r="D177" s="422" t="s">
        <v>1269</v>
      </c>
      <c r="E177" s="117">
        <v>169217</v>
      </c>
      <c r="F177" s="116"/>
      <c r="G177" s="119"/>
      <c r="H177" s="116"/>
      <c r="I177" s="119"/>
      <c r="J177" s="116"/>
      <c r="K177" s="199" t="str">
        <f>HYPERLINK(CONCATENATE("http://www.spr.depen.pr.gov.br/centralvagas/exibirFoto.jpg?numProntuario=",$E177,"&amp;idImagem=1"),"FOTO 1")</f>
        <v>FOTO 1</v>
      </c>
      <c r="L177" s="199" t="str">
        <f>HYPERLINK(CONCATENATE("http://www.spr.depen.pr.gov.br/centralvagas/exibirFoto.jpg?numProntuario=",$E177,"&amp;idImagem=2"),"FOTO 2")</f>
        <v>FOTO 2</v>
      </c>
      <c r="M177" s="199" t="str">
        <f>HYPERLINK(CONCATENATE("http://www.spr.depen.pr.gov.br/centralvagas/exibirFoto.jpg?numProntuario=",$E177,"&amp;idImagem=3"),"FOTO 3")</f>
        <v>FOTO 3</v>
      </c>
      <c r="N177" s="199" t="str">
        <f>HYPERLINK(CONCATENATE("http://www.spr.depen.pr.gov.br/centralvagas/exibirFoto.jpg?numProntuario=",$E177,"&amp;idImagem=4"),"FOTO 4")</f>
        <v>FOTO 4</v>
      </c>
      <c r="O177" s="199" t="str">
        <f>HYPERLINK(CONCATENATE("http://www.spr.depen.pr.gov.br/centralvagas/exibirFoto.jpg?numProntuario=",$E177,"&amp;idImagem=5"),"FOTO 5")</f>
        <v>FOTO 5</v>
      </c>
      <c r="P177" s="199" t="str">
        <f>HYPERLINK(CONCATENATE("http://www.spr.depen.pr.gov.br/centralvagas/exibirFoto.jpg?numProntuario=",$E177,"&amp;idImagem=6"),"FOTO 6")</f>
        <v>FOTO 6</v>
      </c>
    </row>
    <row r="178" spans="1:16" ht="14.1" customHeight="1" thickTop="1" thickBot="1">
      <c r="A178" s="123"/>
      <c r="B178" s="419"/>
      <c r="C178" s="418" t="s">
        <v>1060</v>
      </c>
      <c r="D178" s="231" t="s">
        <v>2742</v>
      </c>
      <c r="E178" s="117">
        <v>3069</v>
      </c>
      <c r="F178" s="116"/>
      <c r="G178" s="119"/>
      <c r="H178" s="116"/>
      <c r="I178" s="119"/>
      <c r="J178" s="116"/>
      <c r="K178" s="199" t="str">
        <f>HYPERLINK(CONCATENATE("http://www.spr.depen.pr.gov.br/centralvagas/exibirFoto.jpg?numProntuario=",$E178,"&amp;idImagem=1"),"FOTO 1")</f>
        <v>FOTO 1</v>
      </c>
      <c r="L178" s="199" t="str">
        <f>HYPERLINK(CONCATENATE("http://www.spr.depen.pr.gov.br/centralvagas/exibirFoto.jpg?numProntuario=",$E178,"&amp;idImagem=2"),"FOTO 2")</f>
        <v>FOTO 2</v>
      </c>
      <c r="M178" s="199" t="str">
        <f>HYPERLINK(CONCATENATE("http://www.spr.depen.pr.gov.br/centralvagas/exibirFoto.jpg?numProntuario=",$E178,"&amp;idImagem=3"),"FOTO 3")</f>
        <v>FOTO 3</v>
      </c>
      <c r="N178" s="199" t="str">
        <f>HYPERLINK(CONCATENATE("http://www.spr.depen.pr.gov.br/centralvagas/exibirFoto.jpg?numProntuario=",$E178,"&amp;idImagem=4"),"FOTO 4")</f>
        <v>FOTO 4</v>
      </c>
      <c r="O178" s="199" t="str">
        <f>HYPERLINK(CONCATENATE("http://www.spr.depen.pr.gov.br/centralvagas/exibirFoto.jpg?numProntuario=",$E178,"&amp;idImagem=5"),"FOTO 5")</f>
        <v>FOTO 5</v>
      </c>
      <c r="P178" s="199" t="str">
        <f>HYPERLINK(CONCATENATE("http://www.spr.depen.pr.gov.br/centralvagas/exibirFoto.jpg?numProntuario=",$E178,"&amp;idImagem=6"),"FOTO 6")</f>
        <v>FOTO 6</v>
      </c>
    </row>
    <row r="179" spans="1:16" ht="14.1" customHeight="1" thickTop="1" thickBot="1">
      <c r="A179" s="120"/>
      <c r="B179" s="419"/>
      <c r="C179" s="418" t="s">
        <v>1060</v>
      </c>
      <c r="D179" s="417" t="s">
        <v>3527</v>
      </c>
      <c r="E179" s="117">
        <v>24075</v>
      </c>
      <c r="F179" s="116"/>
      <c r="G179" s="119"/>
      <c r="H179" s="116"/>
      <c r="I179" s="119"/>
      <c r="J179" s="116"/>
      <c r="K179" s="199" t="str">
        <f>HYPERLINK(CONCATENATE("http://www.spr.depen.pr.gov.br/centralvagas/exibirFoto.jpg?numProntuario=",$E179,"&amp;idImagem=1"),"FOTO 1")</f>
        <v>FOTO 1</v>
      </c>
      <c r="L179" s="199" t="str">
        <f>HYPERLINK(CONCATENATE("http://www.spr.depen.pr.gov.br/centralvagas/exibirFoto.jpg?numProntuario=",$E179,"&amp;idImagem=2"),"FOTO 2")</f>
        <v>FOTO 2</v>
      </c>
      <c r="M179" s="199" t="str">
        <f>HYPERLINK(CONCATENATE("http://www.spr.depen.pr.gov.br/centralvagas/exibirFoto.jpg?numProntuario=",$E179,"&amp;idImagem=3"),"FOTO 3")</f>
        <v>FOTO 3</v>
      </c>
      <c r="N179" s="199" t="str">
        <f>HYPERLINK(CONCATENATE("http://www.spr.depen.pr.gov.br/centralvagas/exibirFoto.jpg?numProntuario=",$E179,"&amp;idImagem=4"),"FOTO 4")</f>
        <v>FOTO 4</v>
      </c>
      <c r="O179" s="199" t="str">
        <f>HYPERLINK(CONCATENATE("http://www.spr.depen.pr.gov.br/centralvagas/exibirFoto.jpg?numProntuario=",$E179,"&amp;idImagem=5"),"FOTO 5")</f>
        <v>FOTO 5</v>
      </c>
      <c r="P179" s="199" t="str">
        <f>HYPERLINK(CONCATENATE("http://www.spr.depen.pr.gov.br/centralvagas/exibirFoto.jpg?numProntuario=",$E179,"&amp;idImagem=6"),"FOTO 6")</f>
        <v>FOTO 6</v>
      </c>
    </row>
    <row r="180" spans="1:16" ht="14.1" customHeight="1" thickTop="1" thickBot="1">
      <c r="A180" s="251"/>
      <c r="B180" s="419"/>
      <c r="C180" s="418" t="s">
        <v>1060</v>
      </c>
      <c r="D180" s="421" t="s">
        <v>3475</v>
      </c>
      <c r="E180" s="117">
        <v>442214</v>
      </c>
      <c r="F180" s="116"/>
      <c r="G180" s="119"/>
      <c r="H180" s="116"/>
      <c r="I180" s="119"/>
      <c r="J180" s="116"/>
      <c r="K180" s="199" t="str">
        <f>HYPERLINK(CONCATENATE("http://www.spr.depen.pr.gov.br/centralvagas/exibirFoto.jpg?numProntuario=",$E180,"&amp;idImagem=1"),"FOTO 1")</f>
        <v>FOTO 1</v>
      </c>
      <c r="L180" s="199" t="str">
        <f>HYPERLINK(CONCATENATE("http://www.spr.depen.pr.gov.br/centralvagas/exibirFoto.jpg?numProntuario=",$E180,"&amp;idImagem=2"),"FOTO 2")</f>
        <v>FOTO 2</v>
      </c>
      <c r="M180" s="199" t="str">
        <f>HYPERLINK(CONCATENATE("http://www.spr.depen.pr.gov.br/centralvagas/exibirFoto.jpg?numProntuario=",$E180,"&amp;idImagem=3"),"FOTO 3")</f>
        <v>FOTO 3</v>
      </c>
      <c r="N180" s="199" t="str">
        <f>HYPERLINK(CONCATENATE("http://www.spr.depen.pr.gov.br/centralvagas/exibirFoto.jpg?numProntuario=",$E180,"&amp;idImagem=4"),"FOTO 4")</f>
        <v>FOTO 4</v>
      </c>
      <c r="O180" s="199" t="str">
        <f>HYPERLINK(CONCATENATE("http://www.spr.depen.pr.gov.br/centralvagas/exibirFoto.jpg?numProntuario=",$E180,"&amp;idImagem=5"),"FOTO 5")</f>
        <v>FOTO 5</v>
      </c>
      <c r="P180" s="199" t="str">
        <f>HYPERLINK(CONCATENATE("http://www.spr.depen.pr.gov.br/centralvagas/exibirFoto.jpg?numProntuario=",$E180,"&amp;idImagem=6"),"FOTO 6")</f>
        <v>FOTO 6</v>
      </c>
    </row>
    <row r="181" spans="1:16" ht="14.1" customHeight="1" thickTop="1" thickBot="1">
      <c r="A181" s="123"/>
      <c r="B181" s="419"/>
      <c r="C181" s="418" t="s">
        <v>1060</v>
      </c>
      <c r="D181" s="422" t="s">
        <v>2492</v>
      </c>
      <c r="E181" s="117">
        <v>138462</v>
      </c>
      <c r="F181" s="116"/>
      <c r="G181" s="119"/>
      <c r="H181" s="116"/>
      <c r="I181" s="119"/>
      <c r="J181" s="116"/>
      <c r="K181" s="199" t="str">
        <f>HYPERLINK(CONCATENATE("http://www.spr.depen.pr.gov.br/centralvagas/exibirFoto.jpg?numProntuario=",$E181,"&amp;idImagem=1"),"FOTO 1")</f>
        <v>FOTO 1</v>
      </c>
      <c r="L181" s="199" t="str">
        <f>HYPERLINK(CONCATENATE("http://www.spr.depen.pr.gov.br/centralvagas/exibirFoto.jpg?numProntuario=",$E181,"&amp;idImagem=2"),"FOTO 2")</f>
        <v>FOTO 2</v>
      </c>
      <c r="M181" s="199" t="str">
        <f>HYPERLINK(CONCATENATE("http://www.spr.depen.pr.gov.br/centralvagas/exibirFoto.jpg?numProntuario=",$E181,"&amp;idImagem=3"),"FOTO 3")</f>
        <v>FOTO 3</v>
      </c>
      <c r="N181" s="199" t="str">
        <f>HYPERLINK(CONCATENATE("http://www.spr.depen.pr.gov.br/centralvagas/exibirFoto.jpg?numProntuario=",$E181,"&amp;idImagem=4"),"FOTO 4")</f>
        <v>FOTO 4</v>
      </c>
      <c r="O181" s="199" t="str">
        <f>HYPERLINK(CONCATENATE("http://www.spr.depen.pr.gov.br/centralvagas/exibirFoto.jpg?numProntuario=",$E181,"&amp;idImagem=5"),"FOTO 5")</f>
        <v>FOTO 5</v>
      </c>
      <c r="P181" s="199" t="str">
        <f>HYPERLINK(CONCATENATE("http://www.spr.depen.pr.gov.br/centralvagas/exibirFoto.jpg?numProntuario=",$E181,"&amp;idImagem=6"),"FOTO 6")</f>
        <v>FOTO 6</v>
      </c>
    </row>
    <row r="182" spans="1:16" ht="14.1" customHeight="1" thickTop="1" thickBot="1">
      <c r="A182" s="145"/>
      <c r="B182" s="419"/>
      <c r="C182" s="116" t="s">
        <v>870</v>
      </c>
      <c r="D182" s="371" t="s">
        <v>1219</v>
      </c>
      <c r="E182" s="466">
        <v>161897</v>
      </c>
      <c r="F182" s="145"/>
      <c r="G182" s="162"/>
      <c r="H182" s="145"/>
      <c r="I182" s="162"/>
      <c r="J182" s="145"/>
      <c r="K182" s="199" t="str">
        <f>HYPERLINK(CONCATENATE("http://www.spr.depen.pr.gov.br/centralvagas/exibirFoto.jpg?numProntuario=",$E182,"&amp;idImagem=1"),"FOTO 1")</f>
        <v>FOTO 1</v>
      </c>
      <c r="L182" s="199" t="str">
        <f>HYPERLINK(CONCATENATE("http://www.spr.depen.pr.gov.br/centralvagas/exibirFoto.jpg?numProntuario=",$E182,"&amp;idImagem=2"),"FOTO 2")</f>
        <v>FOTO 2</v>
      </c>
      <c r="M182" s="199" t="str">
        <f>HYPERLINK(CONCATENATE("http://www.spr.depen.pr.gov.br/centralvagas/exibirFoto.jpg?numProntuario=",$E182,"&amp;idImagem=3"),"FOTO 3")</f>
        <v>FOTO 3</v>
      </c>
      <c r="N182" s="199" t="str">
        <f>HYPERLINK(CONCATENATE("http://www.spr.depen.pr.gov.br/centralvagas/exibirFoto.jpg?numProntuario=",$E182,"&amp;idImagem=4"),"FOTO 4")</f>
        <v>FOTO 4</v>
      </c>
      <c r="O182" s="199" t="str">
        <f>HYPERLINK(CONCATENATE("http://www.spr.depen.pr.gov.br/centralvagas/exibirFoto.jpg?numProntuario=",$E182,"&amp;idImagem=5"),"FOTO 5")</f>
        <v>FOTO 5</v>
      </c>
      <c r="P182" s="199" t="str">
        <f>HYPERLINK(CONCATENATE("http://www.spr.depen.pr.gov.br/centralvagas/exibirFoto.jpg?numProntuario=",$E182,"&amp;idImagem=6"),"FOTO 6")</f>
        <v>FOTO 6</v>
      </c>
    </row>
    <row r="183" spans="1:16" ht="14.1" customHeight="1" thickTop="1" thickBot="1">
      <c r="A183" s="251"/>
      <c r="B183" s="245"/>
      <c r="C183" s="116" t="s">
        <v>870</v>
      </c>
      <c r="D183" s="128" t="s">
        <v>3627</v>
      </c>
      <c r="E183" s="117">
        <v>101627</v>
      </c>
      <c r="F183" s="145"/>
      <c r="G183" s="119"/>
      <c r="H183" s="116"/>
      <c r="I183" s="162"/>
      <c r="J183" s="116"/>
      <c r="K183" s="199" t="str">
        <f>HYPERLINK(CONCATENATE("http://www.spr.depen.pr.gov.br/centralvagas/exibirFoto.jpg?numProntuario=",$E183,"&amp;idImagem=1"),"FOTO 1")</f>
        <v>FOTO 1</v>
      </c>
      <c r="L183" s="199" t="str">
        <f>HYPERLINK(CONCATENATE("http://www.spr.depen.pr.gov.br/centralvagas/exibirFoto.jpg?numProntuario=",$E183,"&amp;idImagem=2"),"FOTO 2")</f>
        <v>FOTO 2</v>
      </c>
      <c r="M183" s="199" t="str">
        <f>HYPERLINK(CONCATENATE("http://www.spr.depen.pr.gov.br/centralvagas/exibirFoto.jpg?numProntuario=",$E183,"&amp;idImagem=3"),"FOTO 3")</f>
        <v>FOTO 3</v>
      </c>
      <c r="N183" s="199" t="str">
        <f>HYPERLINK(CONCATENATE("http://www.spr.depen.pr.gov.br/centralvagas/exibirFoto.jpg?numProntuario=",$E183,"&amp;idImagem=4"),"FOTO 4")</f>
        <v>FOTO 4</v>
      </c>
      <c r="O183" s="199" t="str">
        <f>HYPERLINK(CONCATENATE("http://www.spr.depen.pr.gov.br/centralvagas/exibirFoto.jpg?numProntuario=",$E183,"&amp;idImagem=5"),"FOTO 5")</f>
        <v>FOTO 5</v>
      </c>
      <c r="P183" s="199" t="str">
        <f>HYPERLINK(CONCATENATE("http://www.spr.depen.pr.gov.br/centralvagas/exibirFoto.jpg?numProntuario=",$E183,"&amp;idImagem=6"),"FOTO 6")</f>
        <v>FOTO 6</v>
      </c>
    </row>
    <row r="184" spans="1:16" ht="14.1" customHeight="1" thickTop="1" thickBot="1">
      <c r="A184" s="390"/>
      <c r="B184" s="416"/>
      <c r="C184" s="116" t="s">
        <v>870</v>
      </c>
      <c r="D184" s="231" t="s">
        <v>3626</v>
      </c>
      <c r="E184" s="144">
        <v>27280</v>
      </c>
      <c r="F184" s="118"/>
      <c r="G184" s="118"/>
      <c r="H184" s="118"/>
      <c r="I184" s="118"/>
      <c r="J184" s="118"/>
      <c r="K184" s="603" t="str">
        <f>HYPERLINK(CONCATENATE("http://www.spr.depen.pr.gov.br/centralvagas/exibirFoto.jpg?numProntuario=",$E184,"&amp;idImagem=1"),"FOTO 1")</f>
        <v>FOTO 1</v>
      </c>
      <c r="L184" s="603" t="str">
        <f>HYPERLINK(CONCATENATE("http://www.spr.depen.pr.gov.br/centralvagas/exibirFoto.jpg?numProntuario=",$E184,"&amp;idImagem=2"),"FOTO 2")</f>
        <v>FOTO 2</v>
      </c>
      <c r="M184" s="603" t="str">
        <f>HYPERLINK(CONCATENATE("http://www.spr.depen.pr.gov.br/centralvagas/exibirFoto.jpg?numProntuario=",$E184,"&amp;idImagem=3"),"FOTO 3")</f>
        <v>FOTO 3</v>
      </c>
      <c r="N184" s="603" t="str">
        <f>HYPERLINK(CONCATENATE("http://www.spr.depen.pr.gov.br/centralvagas/exibirFoto.jpg?numProntuario=",$E184,"&amp;idImagem=4"),"FOTO 4")</f>
        <v>FOTO 4</v>
      </c>
      <c r="O184" s="603" t="str">
        <f>HYPERLINK(CONCATENATE("http://www.spr.depen.pr.gov.br/centralvagas/exibirFoto.jpg?numProntuario=",$E184,"&amp;idImagem=5"),"FOTO 5")</f>
        <v>FOTO 5</v>
      </c>
      <c r="P184" s="603" t="str">
        <f>HYPERLINK(CONCATENATE("http://www.spr.depen.pr.gov.br/centralvagas/exibirFoto.jpg?numProntuario=",$E184,"&amp;idImagem=6"),"FOTO 6")</f>
        <v>FOTO 6</v>
      </c>
    </row>
    <row r="185" spans="1:16" ht="14.1" customHeight="1" thickTop="1" thickBot="1">
      <c r="A185" s="390"/>
      <c r="B185" s="321"/>
      <c r="C185" s="116" t="s">
        <v>870</v>
      </c>
      <c r="D185" s="231" t="s">
        <v>3467</v>
      </c>
      <c r="E185" s="144">
        <v>27071</v>
      </c>
      <c r="F185" s="118"/>
      <c r="G185" s="118"/>
      <c r="H185" s="118"/>
      <c r="I185" s="118"/>
      <c r="J185" s="118"/>
      <c r="K185" s="603" t="str">
        <f>HYPERLINK(CONCATENATE("http://www.spr.depen.pr.gov.br/centralvagas/exibirFoto.jpg?numProntuario=",$E185,"&amp;idImagem=1"),"FOTO 1")</f>
        <v>FOTO 1</v>
      </c>
      <c r="L185" s="603" t="str">
        <f>HYPERLINK(CONCATENATE("http://www.spr.depen.pr.gov.br/centralvagas/exibirFoto.jpg?numProntuario=",$E185,"&amp;idImagem=2"),"FOTO 2")</f>
        <v>FOTO 2</v>
      </c>
      <c r="M185" s="603" t="str">
        <f>HYPERLINK(CONCATENATE("http://www.spr.depen.pr.gov.br/centralvagas/exibirFoto.jpg?numProntuario=",$E185,"&amp;idImagem=3"),"FOTO 3")</f>
        <v>FOTO 3</v>
      </c>
      <c r="N185" s="603" t="str">
        <f>HYPERLINK(CONCATENATE("http://www.spr.depen.pr.gov.br/centralvagas/exibirFoto.jpg?numProntuario=",$E185,"&amp;idImagem=4"),"FOTO 4")</f>
        <v>FOTO 4</v>
      </c>
      <c r="O185" s="603" t="str">
        <f>HYPERLINK(CONCATENATE("http://www.spr.depen.pr.gov.br/centralvagas/exibirFoto.jpg?numProntuario=",$E185,"&amp;idImagem=5"),"FOTO 5")</f>
        <v>FOTO 5</v>
      </c>
      <c r="P185" s="603" t="str">
        <f>HYPERLINK(CONCATENATE("http://www.spr.depen.pr.gov.br/centralvagas/exibirFoto.jpg?numProntuario=",$E185,"&amp;idImagem=6"),"FOTO 6")</f>
        <v>FOTO 6</v>
      </c>
    </row>
    <row r="186" spans="1:16" ht="14.1" customHeight="1" thickTop="1" thickBot="1">
      <c r="A186" s="214"/>
      <c r="B186" s="229"/>
      <c r="C186" s="116" t="s">
        <v>870</v>
      </c>
      <c r="D186" s="128" t="s">
        <v>850</v>
      </c>
      <c r="E186" s="144">
        <v>102298</v>
      </c>
      <c r="F186" s="118"/>
      <c r="G186" s="118"/>
      <c r="H186" s="118"/>
      <c r="I186" s="118"/>
      <c r="J186" s="118"/>
      <c r="K186" s="603" t="str">
        <f>HYPERLINK(CONCATENATE("http://www.spr.depen.pr.gov.br/centralvagas/exibirFoto.jpg?numProntuario=",$E186,"&amp;idImagem=1"),"FOTO 1")</f>
        <v>FOTO 1</v>
      </c>
      <c r="L186" s="603" t="str">
        <f>HYPERLINK(CONCATENATE("http://www.spr.depen.pr.gov.br/centralvagas/exibirFoto.jpg?numProntuario=",$E186,"&amp;idImagem=2"),"FOTO 2")</f>
        <v>FOTO 2</v>
      </c>
      <c r="M186" s="603" t="str">
        <f>HYPERLINK(CONCATENATE("http://www.spr.depen.pr.gov.br/centralvagas/exibirFoto.jpg?numProntuario=",$E186,"&amp;idImagem=3"),"FOTO 3")</f>
        <v>FOTO 3</v>
      </c>
      <c r="N186" s="603" t="str">
        <f>HYPERLINK(CONCATENATE("http://www.spr.depen.pr.gov.br/centralvagas/exibirFoto.jpg?numProntuario=",$E186,"&amp;idImagem=4"),"FOTO 4")</f>
        <v>FOTO 4</v>
      </c>
      <c r="O186" s="603" t="str">
        <f>HYPERLINK(CONCATENATE("http://www.spr.depen.pr.gov.br/centralvagas/exibirFoto.jpg?numProntuario=",$E186,"&amp;idImagem=5"),"FOTO 5")</f>
        <v>FOTO 5</v>
      </c>
      <c r="P186" s="603" t="str">
        <f>HYPERLINK(CONCATENATE("http://www.spr.depen.pr.gov.br/centralvagas/exibirFoto.jpg?numProntuario=",$E186,"&amp;idImagem=6"),"FOTO 6")</f>
        <v>FOTO 6</v>
      </c>
    </row>
    <row r="187" spans="1:16" ht="14.1" customHeight="1" thickTop="1" thickBot="1">
      <c r="A187" s="118"/>
      <c r="B187" s="416"/>
      <c r="C187" s="116" t="s">
        <v>2269</v>
      </c>
      <c r="D187" s="131" t="s">
        <v>3525</v>
      </c>
      <c r="E187" s="144">
        <v>63692</v>
      </c>
      <c r="F187" s="118"/>
      <c r="G187" s="118"/>
      <c r="H187" s="118"/>
      <c r="I187" s="118"/>
      <c r="J187" s="118"/>
      <c r="K187" s="603" t="str">
        <f>HYPERLINK(CONCATENATE("http://www.spr.depen.pr.gov.br/centralvagas/exibirFoto.jpg?numProntuario=",$E187,"&amp;idImagem=1"),"FOTO 1")</f>
        <v>FOTO 1</v>
      </c>
      <c r="L187" s="603" t="str">
        <f>HYPERLINK(CONCATENATE("http://www.spr.depen.pr.gov.br/centralvagas/exibirFoto.jpg?numProntuario=",$E187,"&amp;idImagem=2"),"FOTO 2")</f>
        <v>FOTO 2</v>
      </c>
      <c r="M187" s="603" t="str">
        <f>HYPERLINK(CONCATENATE("http://www.spr.depen.pr.gov.br/centralvagas/exibirFoto.jpg?numProntuario=",$E187,"&amp;idImagem=3"),"FOTO 3")</f>
        <v>FOTO 3</v>
      </c>
      <c r="N187" s="603" t="str">
        <f>HYPERLINK(CONCATENATE("http://www.spr.depen.pr.gov.br/centralvagas/exibirFoto.jpg?numProntuario=",$E187,"&amp;idImagem=4"),"FOTO 4")</f>
        <v>FOTO 4</v>
      </c>
      <c r="O187" s="603" t="str">
        <f>HYPERLINK(CONCATENATE("http://www.spr.depen.pr.gov.br/centralvagas/exibirFoto.jpg?numProntuario=",$E187,"&amp;idImagem=5"),"FOTO 5")</f>
        <v>FOTO 5</v>
      </c>
      <c r="P187" s="603" t="str">
        <f>HYPERLINK(CONCATENATE("http://www.spr.depen.pr.gov.br/centralvagas/exibirFoto.jpg?numProntuario=",$E187,"&amp;idImagem=6"),"FOTO 6")</f>
        <v>FOTO 6</v>
      </c>
    </row>
    <row r="188" spans="1:16" ht="14.1" customHeight="1" thickTop="1" thickBot="1">
      <c r="A188" s="251"/>
      <c r="B188" s="245"/>
      <c r="C188" s="118" t="s">
        <v>2269</v>
      </c>
      <c r="D188" s="122" t="s">
        <v>2847</v>
      </c>
      <c r="E188" s="117">
        <v>268487</v>
      </c>
      <c r="F188" s="145"/>
      <c r="G188" s="162"/>
      <c r="H188" s="116"/>
      <c r="I188" s="162"/>
      <c r="J188" s="116"/>
      <c r="K188" s="199" t="str">
        <f>HYPERLINK(CONCATENATE("http://www.spr.depen.pr.gov.br/centralvagas/exibirFoto.jpg?numProntuario=",$E188,"&amp;idImagem=1"),"FOTO 1")</f>
        <v>FOTO 1</v>
      </c>
      <c r="L188" s="199" t="str">
        <f>HYPERLINK(CONCATENATE("http://www.spr.depen.pr.gov.br/centralvagas/exibirFoto.jpg?numProntuario=",$E188,"&amp;idImagem=2"),"FOTO 2")</f>
        <v>FOTO 2</v>
      </c>
      <c r="M188" s="199" t="str">
        <f>HYPERLINK(CONCATENATE("http://www.spr.depen.pr.gov.br/centralvagas/exibirFoto.jpg?numProntuario=",$E188,"&amp;idImagem=3"),"FOTO 3")</f>
        <v>FOTO 3</v>
      </c>
      <c r="N188" s="199" t="str">
        <f>HYPERLINK(CONCATENATE("http://www.spr.depen.pr.gov.br/centralvagas/exibirFoto.jpg?numProntuario=",$E188,"&amp;idImagem=4"),"FOTO 4")</f>
        <v>FOTO 4</v>
      </c>
      <c r="O188" s="199" t="str">
        <f>HYPERLINK(CONCATENATE("http://www.spr.depen.pr.gov.br/centralvagas/exibirFoto.jpg?numProntuario=",$E188,"&amp;idImagem=5"),"FOTO 5")</f>
        <v>FOTO 5</v>
      </c>
      <c r="P188" s="199" t="str">
        <f>HYPERLINK(CONCATENATE("http://www.spr.depen.pr.gov.br/centralvagas/exibirFoto.jpg?numProntuario=",$E188,"&amp;idImagem=6"),"FOTO 6")</f>
        <v>FOTO 6</v>
      </c>
    </row>
    <row r="189" spans="1:16" ht="14.1" customHeight="1" thickTop="1" thickBot="1">
      <c r="A189" s="151"/>
      <c r="B189" s="245"/>
      <c r="C189" s="214" t="s">
        <v>2269</v>
      </c>
      <c r="D189" s="131" t="s">
        <v>3580</v>
      </c>
      <c r="E189" s="117">
        <v>111052</v>
      </c>
      <c r="F189" s="116"/>
      <c r="G189" s="119"/>
      <c r="H189" s="116"/>
      <c r="I189" s="119"/>
      <c r="J189" s="116"/>
      <c r="K189" s="199" t="str">
        <f>HYPERLINK(CONCATENATE("http://www.spr.depen.pr.gov.br/centralvagas/exibirFoto.jpg?numProntuario=",$E189,"&amp;idImagem=1"),"FOTO 1")</f>
        <v>FOTO 1</v>
      </c>
      <c r="L189" s="199" t="str">
        <f>HYPERLINK(CONCATENATE("http://www.spr.depen.pr.gov.br/centralvagas/exibirFoto.jpg?numProntuario=",$E189,"&amp;idImagem=2"),"FOTO 2")</f>
        <v>FOTO 2</v>
      </c>
      <c r="M189" s="199" t="str">
        <f>HYPERLINK(CONCATENATE("http://www.spr.depen.pr.gov.br/centralvagas/exibirFoto.jpg?numProntuario=",$E189,"&amp;idImagem=3"),"FOTO 3")</f>
        <v>FOTO 3</v>
      </c>
      <c r="N189" s="199" t="str">
        <f>HYPERLINK(CONCATENATE("http://www.spr.depen.pr.gov.br/centralvagas/exibirFoto.jpg?numProntuario=",$E189,"&amp;idImagem=4"),"FOTO 4")</f>
        <v>FOTO 4</v>
      </c>
      <c r="O189" s="199" t="str">
        <f>HYPERLINK(CONCATENATE("http://www.spr.depen.pr.gov.br/centralvagas/exibirFoto.jpg?numProntuario=",$E189,"&amp;idImagem=5"),"FOTO 5")</f>
        <v>FOTO 5</v>
      </c>
      <c r="P189" s="199" t="str">
        <f>HYPERLINK(CONCATENATE("http://www.spr.depen.pr.gov.br/centralvagas/exibirFoto.jpg?numProntuario=",$E189,"&amp;idImagem=6"),"FOTO 6")</f>
        <v>FOTO 6</v>
      </c>
    </row>
    <row r="190" spans="1:16" ht="14.1" customHeight="1" thickTop="1" thickBot="1">
      <c r="A190" s="251"/>
      <c r="B190" s="254"/>
      <c r="C190" s="116" t="s">
        <v>2269</v>
      </c>
      <c r="D190" s="131" t="s">
        <v>964</v>
      </c>
      <c r="E190" s="117">
        <v>102344</v>
      </c>
      <c r="F190" s="116"/>
      <c r="G190" s="119"/>
      <c r="H190" s="116"/>
      <c r="I190" s="119"/>
      <c r="J190" s="116"/>
      <c r="K190" s="199" t="str">
        <f>HYPERLINK(CONCATENATE("http://www.spr.depen.pr.gov.br/centralvagas/exibirFoto.jpg?numProntuario=",$E190,"&amp;idImagem=1"),"FOTO 1")</f>
        <v>FOTO 1</v>
      </c>
      <c r="L190" s="199" t="str">
        <f>HYPERLINK(CONCATENATE("http://www.spr.depen.pr.gov.br/centralvagas/exibirFoto.jpg?numProntuario=",$E190,"&amp;idImagem=2"),"FOTO 2")</f>
        <v>FOTO 2</v>
      </c>
      <c r="M190" s="199" t="str">
        <f>HYPERLINK(CONCATENATE("http://www.spr.depen.pr.gov.br/centralvagas/exibirFoto.jpg?numProntuario=",$E190,"&amp;idImagem=3"),"FOTO 3")</f>
        <v>FOTO 3</v>
      </c>
      <c r="N190" s="199" t="str">
        <f>HYPERLINK(CONCATENATE("http://www.spr.depen.pr.gov.br/centralvagas/exibirFoto.jpg?numProntuario=",$E190,"&amp;idImagem=4"),"FOTO 4")</f>
        <v>FOTO 4</v>
      </c>
      <c r="O190" s="199" t="str">
        <f>HYPERLINK(CONCATENATE("http://www.spr.depen.pr.gov.br/centralvagas/exibirFoto.jpg?numProntuario=",$E190,"&amp;idImagem=5"),"FOTO 5")</f>
        <v>FOTO 5</v>
      </c>
      <c r="P190" s="199" t="str">
        <f>HYPERLINK(CONCATENATE("http://www.spr.depen.pr.gov.br/centralvagas/exibirFoto.jpg?numProntuario=",$E190,"&amp;idImagem=6"),"FOTO 6")</f>
        <v>FOTO 6</v>
      </c>
    </row>
    <row r="191" spans="1:16" ht="14.1" customHeight="1" thickTop="1" thickBot="1">
      <c r="A191" s="123"/>
      <c r="B191" s="147"/>
      <c r="C191" s="118" t="s">
        <v>2269</v>
      </c>
      <c r="D191" s="122" t="s">
        <v>529</v>
      </c>
      <c r="E191" s="117">
        <v>27343</v>
      </c>
      <c r="F191" s="116"/>
      <c r="G191" s="119"/>
      <c r="H191" s="116"/>
      <c r="I191" s="119"/>
      <c r="J191" s="116"/>
      <c r="K191" s="199" t="str">
        <f>HYPERLINK(CONCATENATE("http://www.spr.depen.pr.gov.br/centralvagas/exibirFoto.jpg?numProntuario=",$E191,"&amp;idImagem=1"),"FOTO 1")</f>
        <v>FOTO 1</v>
      </c>
      <c r="L191" s="199" t="str">
        <f>HYPERLINK(CONCATENATE("http://www.spr.depen.pr.gov.br/centralvagas/exibirFoto.jpg?numProntuario=",$E191,"&amp;idImagem=2"),"FOTO 2")</f>
        <v>FOTO 2</v>
      </c>
      <c r="M191" s="199" t="str">
        <f>HYPERLINK(CONCATENATE("http://www.spr.depen.pr.gov.br/centralvagas/exibirFoto.jpg?numProntuario=",$E191,"&amp;idImagem=3"),"FOTO 3")</f>
        <v>FOTO 3</v>
      </c>
      <c r="N191" s="199" t="str">
        <f>HYPERLINK(CONCATENATE("http://www.spr.depen.pr.gov.br/centralvagas/exibirFoto.jpg?numProntuario=",$E191,"&amp;idImagem=4"),"FOTO 4")</f>
        <v>FOTO 4</v>
      </c>
      <c r="O191" s="199" t="str">
        <f>HYPERLINK(CONCATENATE("http://www.spr.depen.pr.gov.br/centralvagas/exibirFoto.jpg?numProntuario=",$E191,"&amp;idImagem=5"),"FOTO 5")</f>
        <v>FOTO 5</v>
      </c>
      <c r="P191" s="199" t="str">
        <f>HYPERLINK(CONCATENATE("http://www.spr.depen.pr.gov.br/centralvagas/exibirFoto.jpg?numProntuario=",$E191,"&amp;idImagem=6"),"FOTO 6")</f>
        <v>FOTO 6</v>
      </c>
    </row>
    <row r="192" spans="1:16" s="604" customFormat="1" ht="14.1" customHeight="1" thickTop="1" thickBot="1">
      <c r="A192" s="123"/>
      <c r="B192" s="254"/>
      <c r="C192" s="418" t="s">
        <v>2270</v>
      </c>
      <c r="D192" s="422" t="s">
        <v>267</v>
      </c>
      <c r="E192" s="117">
        <v>63698</v>
      </c>
      <c r="F192" s="116"/>
      <c r="G192" s="119"/>
      <c r="H192" s="116"/>
      <c r="I192" s="119"/>
      <c r="J192" s="116"/>
      <c r="K192" s="199" t="str">
        <f>HYPERLINK(CONCATENATE("http://www.spr.depen.pr.gov.br/centralvagas/exibirFoto.jpg?numProntuario=",$E192,"&amp;idImagem=1"),"FOTO 1")</f>
        <v>FOTO 1</v>
      </c>
      <c r="L192" s="199" t="str">
        <f>HYPERLINK(CONCATENATE("http://www.spr.depen.pr.gov.br/centralvagas/exibirFoto.jpg?numProntuario=",$E192,"&amp;idImagem=2"),"FOTO 2")</f>
        <v>FOTO 2</v>
      </c>
      <c r="M192" s="199" t="str">
        <f>HYPERLINK(CONCATENATE("http://www.spr.depen.pr.gov.br/centralvagas/exibirFoto.jpg?numProntuario=",$E192,"&amp;idImagem=3"),"FOTO 3")</f>
        <v>FOTO 3</v>
      </c>
      <c r="N192" s="199" t="str">
        <f>HYPERLINK(CONCATENATE("http://www.spr.depen.pr.gov.br/centralvagas/exibirFoto.jpg?numProntuario=",$E192,"&amp;idImagem=4"),"FOTO 4")</f>
        <v>FOTO 4</v>
      </c>
      <c r="O192" s="199" t="str">
        <f>HYPERLINK(CONCATENATE("http://www.spr.depen.pr.gov.br/centralvagas/exibirFoto.jpg?numProntuario=",$E192,"&amp;idImagem=5"),"FOTO 5")</f>
        <v>FOTO 5</v>
      </c>
      <c r="P192" s="199" t="str">
        <f>HYPERLINK(CONCATENATE("http://www.spr.depen.pr.gov.br/centralvagas/exibirFoto.jpg?numProntuario=",$E192,"&amp;idImagem=6"),"FOTO 6")</f>
        <v>FOTO 6</v>
      </c>
    </row>
    <row r="193" spans="1:16" s="604" customFormat="1" ht="14.1" customHeight="1" thickTop="1" thickBot="1">
      <c r="A193" s="116"/>
      <c r="B193" s="419"/>
      <c r="C193" s="126" t="s">
        <v>2270</v>
      </c>
      <c r="D193" s="158" t="s">
        <v>3437</v>
      </c>
      <c r="E193" s="466">
        <v>27347</v>
      </c>
      <c r="F193" s="132"/>
      <c r="G193" s="136"/>
      <c r="H193" s="116"/>
      <c r="I193" s="119"/>
      <c r="J193" s="116"/>
      <c r="K193" s="199" t="str">
        <f>HYPERLINK(CONCATENATE("http://www.spr.depen.pr.gov.br/centralvagas/exibirFoto.jpg?numProntuario=",$E193,"&amp;idImagem=1"),"FOTO 1")</f>
        <v>FOTO 1</v>
      </c>
      <c r="L193" s="199" t="str">
        <f>HYPERLINK(CONCATENATE("http://www.spr.depen.pr.gov.br/centralvagas/exibirFoto.jpg?numProntuario=",$E193,"&amp;idImagem=2"),"FOTO 2")</f>
        <v>FOTO 2</v>
      </c>
      <c r="M193" s="199" t="str">
        <f>HYPERLINK(CONCATENATE("http://www.spr.depen.pr.gov.br/centralvagas/exibirFoto.jpg?numProntuario=",$E193,"&amp;idImagem=3"),"FOTO 3")</f>
        <v>FOTO 3</v>
      </c>
      <c r="N193" s="199" t="str">
        <f>HYPERLINK(CONCATENATE("http://www.spr.depen.pr.gov.br/centralvagas/exibirFoto.jpg?numProntuario=",$E193,"&amp;idImagem=4"),"FOTO 4")</f>
        <v>FOTO 4</v>
      </c>
      <c r="O193" s="199" t="str">
        <f>HYPERLINK(CONCATENATE("http://www.spr.depen.pr.gov.br/centralvagas/exibirFoto.jpg?numProntuario=",$E193,"&amp;idImagem=5"),"FOTO 5")</f>
        <v>FOTO 5</v>
      </c>
      <c r="P193" s="199" t="str">
        <f>HYPERLINK(CONCATENATE("http://www.spr.depen.pr.gov.br/centralvagas/exibirFoto.jpg?numProntuario=",$E193,"&amp;idImagem=6"),"FOTO 6")</f>
        <v>FOTO 6</v>
      </c>
    </row>
    <row r="194" spans="1:16" s="604" customFormat="1" ht="14.1" customHeight="1" thickTop="1" thickBot="1">
      <c r="A194" s="358"/>
      <c r="B194" s="419"/>
      <c r="C194" s="116" t="s">
        <v>2270</v>
      </c>
      <c r="D194" s="130" t="s">
        <v>2374</v>
      </c>
      <c r="E194" s="117">
        <v>400584</v>
      </c>
      <c r="F194" s="116"/>
      <c r="G194" s="119"/>
      <c r="H194" s="116"/>
      <c r="I194" s="119"/>
      <c r="J194" s="116"/>
      <c r="K194" s="199" t="str">
        <f>HYPERLINK(CONCATENATE("http://www.spr.depen.pr.gov.br/centralvagas/exibirFoto.jpg?numProntuario=",$E194,"&amp;idImagem=1"),"FOTO 1")</f>
        <v>FOTO 1</v>
      </c>
      <c r="L194" s="199" t="str">
        <f>HYPERLINK(CONCATENATE("http://www.spr.depen.pr.gov.br/centralvagas/exibirFoto.jpg?numProntuario=",$E194,"&amp;idImagem=2"),"FOTO 2")</f>
        <v>FOTO 2</v>
      </c>
      <c r="M194" s="199" t="str">
        <f>HYPERLINK(CONCATENATE("http://www.spr.depen.pr.gov.br/centralvagas/exibirFoto.jpg?numProntuario=",$E194,"&amp;idImagem=3"),"FOTO 3")</f>
        <v>FOTO 3</v>
      </c>
      <c r="N194" s="199" t="str">
        <f>HYPERLINK(CONCATENATE("http://www.spr.depen.pr.gov.br/centralvagas/exibirFoto.jpg?numProntuario=",$E194,"&amp;idImagem=4"),"FOTO 4")</f>
        <v>FOTO 4</v>
      </c>
      <c r="O194" s="199" t="str">
        <f>HYPERLINK(CONCATENATE("http://www.spr.depen.pr.gov.br/centralvagas/exibirFoto.jpg?numProntuario=",$E194,"&amp;idImagem=5"),"FOTO 5")</f>
        <v>FOTO 5</v>
      </c>
      <c r="P194" s="199" t="str">
        <f>HYPERLINK(CONCATENATE("http://www.spr.depen.pr.gov.br/centralvagas/exibirFoto.jpg?numProntuario=",$E194,"&amp;idImagem=6"),"FOTO 6")</f>
        <v>FOTO 6</v>
      </c>
    </row>
    <row r="195" spans="1:16" s="604" customFormat="1" ht="14.1" customHeight="1" thickTop="1" thickBot="1">
      <c r="A195" s="372"/>
      <c r="B195" s="143"/>
      <c r="C195" s="126" t="s">
        <v>2270</v>
      </c>
      <c r="D195" s="141" t="s">
        <v>3396</v>
      </c>
      <c r="E195" s="117">
        <v>120297</v>
      </c>
      <c r="F195" s="116"/>
      <c r="G195" s="119"/>
      <c r="H195" s="116"/>
      <c r="I195" s="119"/>
      <c r="J195" s="132"/>
      <c r="K195" s="199" t="str">
        <f>HYPERLINK(CONCATENATE("http://www.spr.depen.pr.gov.br/centralvagas/exibirFoto.jpg?numProntuario=",$E195,"&amp;idImagem=1"),"FOTO 1")</f>
        <v>FOTO 1</v>
      </c>
      <c r="L195" s="199" t="str">
        <f>HYPERLINK(CONCATENATE("http://www.spr.depen.pr.gov.br/centralvagas/exibirFoto.jpg?numProntuario=",$E195,"&amp;idImagem=2"),"FOTO 2")</f>
        <v>FOTO 2</v>
      </c>
      <c r="M195" s="199" t="str">
        <f>HYPERLINK(CONCATENATE("http://www.spr.depen.pr.gov.br/centralvagas/exibirFoto.jpg?numProntuario=",$E195,"&amp;idImagem=3"),"FOTO 3")</f>
        <v>FOTO 3</v>
      </c>
      <c r="N195" s="199" t="str">
        <f>HYPERLINK(CONCATENATE("http://www.spr.depen.pr.gov.br/centralvagas/exibirFoto.jpg?numProntuario=",$E195,"&amp;idImagem=4"),"FOTO 4")</f>
        <v>FOTO 4</v>
      </c>
      <c r="O195" s="199" t="str">
        <f>HYPERLINK(CONCATENATE("http://www.spr.depen.pr.gov.br/centralvagas/exibirFoto.jpg?numProntuario=",$E195,"&amp;idImagem=5"),"FOTO 5")</f>
        <v>FOTO 5</v>
      </c>
      <c r="P195" s="199" t="str">
        <f>HYPERLINK(CONCATENATE("http://www.spr.depen.pr.gov.br/centralvagas/exibirFoto.jpg?numProntuario=",$E195,"&amp;idImagem=6"),"FOTO 6")</f>
        <v>FOTO 6</v>
      </c>
    </row>
    <row r="196" spans="1:16" s="604" customFormat="1" ht="14.1" customHeight="1" thickTop="1" thickBot="1">
      <c r="A196" s="123"/>
      <c r="B196" s="419"/>
      <c r="C196" s="118" t="s">
        <v>2270</v>
      </c>
      <c r="D196" s="131" t="s">
        <v>3593</v>
      </c>
      <c r="E196" s="117">
        <v>147711</v>
      </c>
      <c r="F196" s="145"/>
      <c r="G196" s="162"/>
      <c r="H196" s="145"/>
      <c r="I196" s="162"/>
      <c r="J196" s="145"/>
      <c r="K196" s="199" t="str">
        <f>HYPERLINK(CONCATENATE("http://www.spr.depen.pr.gov.br/centralvagas/exibirFoto.jpg?numProntuario=",$E196,"&amp;idImagem=1"),"FOTO 1")</f>
        <v>FOTO 1</v>
      </c>
      <c r="L196" s="199" t="str">
        <f>HYPERLINK(CONCATENATE("http://www.spr.depen.pr.gov.br/centralvagas/exibirFoto.jpg?numProntuario=",$E196,"&amp;idImagem=2"),"FOTO 2")</f>
        <v>FOTO 2</v>
      </c>
      <c r="M196" s="199" t="str">
        <f>HYPERLINK(CONCATENATE("http://www.spr.depen.pr.gov.br/centralvagas/exibirFoto.jpg?numProntuario=",$E196,"&amp;idImagem=3"),"FOTO 3")</f>
        <v>FOTO 3</v>
      </c>
      <c r="N196" s="199" t="str">
        <f>HYPERLINK(CONCATENATE("http://www.spr.depen.pr.gov.br/centralvagas/exibirFoto.jpg?numProntuario=",$E196,"&amp;idImagem=4"),"FOTO 4")</f>
        <v>FOTO 4</v>
      </c>
      <c r="O196" s="199" t="str">
        <f>HYPERLINK(CONCATENATE("http://www.spr.depen.pr.gov.br/centralvagas/exibirFoto.jpg?numProntuario=",$E196,"&amp;idImagem=5"),"FOTO 5")</f>
        <v>FOTO 5</v>
      </c>
      <c r="P196" s="199" t="str">
        <f>HYPERLINK(CONCATENATE("http://www.spr.depen.pr.gov.br/centralvagas/exibirFoto.jpg?numProntuario=",$E196,"&amp;idImagem=6"),"FOTO 6")</f>
        <v>FOTO 6</v>
      </c>
    </row>
    <row r="197" spans="1:16" ht="14.1" customHeight="1" thickTop="1" thickBot="1">
      <c r="A197" s="123"/>
      <c r="B197" s="245"/>
      <c r="C197" s="118" t="s">
        <v>2271</v>
      </c>
      <c r="D197" s="130" t="s">
        <v>1872</v>
      </c>
      <c r="E197" s="117">
        <v>51445</v>
      </c>
      <c r="F197" s="116"/>
      <c r="G197" s="119"/>
      <c r="H197" s="116"/>
      <c r="I197" s="119"/>
      <c r="J197" s="132"/>
      <c r="K197" s="199" t="str">
        <f>HYPERLINK(CONCATENATE("http://www.spr.depen.pr.gov.br/centralvagas/exibirFoto.jpg?numProntuario=",$E197,"&amp;idImagem=1"),"FOTO 1")</f>
        <v>FOTO 1</v>
      </c>
      <c r="L197" s="199" t="str">
        <f>HYPERLINK(CONCATENATE("http://www.spr.depen.pr.gov.br/centralvagas/exibirFoto.jpg?numProntuario=",$E197,"&amp;idImagem=2"),"FOTO 2")</f>
        <v>FOTO 2</v>
      </c>
      <c r="M197" s="199" t="str">
        <f>HYPERLINK(CONCATENATE("http://www.spr.depen.pr.gov.br/centralvagas/exibirFoto.jpg?numProntuario=",$E197,"&amp;idImagem=3"),"FOTO 3")</f>
        <v>FOTO 3</v>
      </c>
      <c r="N197" s="199" t="str">
        <f>HYPERLINK(CONCATENATE("http://www.spr.depen.pr.gov.br/centralvagas/exibirFoto.jpg?numProntuario=",$E197,"&amp;idImagem=4"),"FOTO 4")</f>
        <v>FOTO 4</v>
      </c>
      <c r="O197" s="199" t="str">
        <f>HYPERLINK(CONCATENATE("http://www.spr.depen.pr.gov.br/centralvagas/exibirFoto.jpg?numProntuario=",$E197,"&amp;idImagem=5"),"FOTO 5")</f>
        <v>FOTO 5</v>
      </c>
      <c r="P197" s="199" t="str">
        <f>HYPERLINK(CONCATENATE("http://www.spr.depen.pr.gov.br/centralvagas/exibirFoto.jpg?numProntuario=",$E197,"&amp;idImagem=6"),"FOTO 6")</f>
        <v>FOTO 6</v>
      </c>
    </row>
    <row r="198" spans="1:16" ht="14.1" customHeight="1" thickTop="1" thickBot="1">
      <c r="A198" s="123"/>
      <c r="B198" s="438"/>
      <c r="C198" s="118" t="s">
        <v>2271</v>
      </c>
      <c r="D198" s="130" t="s">
        <v>2481</v>
      </c>
      <c r="E198" s="466">
        <v>21885</v>
      </c>
      <c r="F198" s="132"/>
      <c r="G198" s="136"/>
      <c r="H198" s="116"/>
      <c r="I198" s="119"/>
      <c r="J198" s="116"/>
      <c r="K198" s="199" t="str">
        <f>HYPERLINK(CONCATENATE("http://www.spr.depen.pr.gov.br/centralvagas/exibirFoto.jpg?numProntuario=",$E198,"&amp;idImagem=1"),"FOTO 1")</f>
        <v>FOTO 1</v>
      </c>
      <c r="L198" s="199" t="str">
        <f>HYPERLINK(CONCATENATE("http://www.spr.depen.pr.gov.br/centralvagas/exibirFoto.jpg?numProntuario=",$E198,"&amp;idImagem=2"),"FOTO 2")</f>
        <v>FOTO 2</v>
      </c>
      <c r="M198" s="199" t="str">
        <f>HYPERLINK(CONCATENATE("http://www.spr.depen.pr.gov.br/centralvagas/exibirFoto.jpg?numProntuario=",$E198,"&amp;idImagem=3"),"FOTO 3")</f>
        <v>FOTO 3</v>
      </c>
      <c r="N198" s="199" t="str">
        <f>HYPERLINK(CONCATENATE("http://www.spr.depen.pr.gov.br/centralvagas/exibirFoto.jpg?numProntuario=",$E198,"&amp;idImagem=4"),"FOTO 4")</f>
        <v>FOTO 4</v>
      </c>
      <c r="O198" s="199" t="str">
        <f>HYPERLINK(CONCATENATE("http://www.spr.depen.pr.gov.br/centralvagas/exibirFoto.jpg?numProntuario=",$E198,"&amp;idImagem=5"),"FOTO 5")</f>
        <v>FOTO 5</v>
      </c>
      <c r="P198" s="199" t="str">
        <f>HYPERLINK(CONCATENATE("http://www.spr.depen.pr.gov.br/centralvagas/exibirFoto.jpg?numProntuario=",$E198,"&amp;idImagem=6"),"FOTO 6")</f>
        <v>FOTO 6</v>
      </c>
    </row>
    <row r="199" spans="1:16" ht="14.1" customHeight="1" thickTop="1" thickBot="1">
      <c r="A199" s="120"/>
      <c r="B199" s="419"/>
      <c r="C199" s="116" t="s">
        <v>2271</v>
      </c>
      <c r="D199" s="131" t="s">
        <v>2854</v>
      </c>
      <c r="E199" s="117">
        <v>131496</v>
      </c>
      <c r="F199" s="116"/>
      <c r="G199" s="119"/>
      <c r="H199" s="116"/>
      <c r="I199" s="119"/>
      <c r="J199" s="132"/>
      <c r="K199" s="199" t="str">
        <f>HYPERLINK(CONCATENATE("http://www.spr.depen.pr.gov.br/centralvagas/exibirFoto.jpg?numProntuario=",$E199,"&amp;idImagem=1"),"FOTO 1")</f>
        <v>FOTO 1</v>
      </c>
      <c r="L199" s="199" t="str">
        <f>HYPERLINK(CONCATENATE("http://www.spr.depen.pr.gov.br/centralvagas/exibirFoto.jpg?numProntuario=",$E199,"&amp;idImagem=2"),"FOTO 2")</f>
        <v>FOTO 2</v>
      </c>
      <c r="M199" s="199" t="str">
        <f>HYPERLINK(CONCATENATE("http://www.spr.depen.pr.gov.br/centralvagas/exibirFoto.jpg?numProntuario=",$E199,"&amp;idImagem=3"),"FOTO 3")</f>
        <v>FOTO 3</v>
      </c>
      <c r="N199" s="199" t="str">
        <f>HYPERLINK(CONCATENATE("http://www.spr.depen.pr.gov.br/centralvagas/exibirFoto.jpg?numProntuario=",$E199,"&amp;idImagem=4"),"FOTO 4")</f>
        <v>FOTO 4</v>
      </c>
      <c r="O199" s="199" t="str">
        <f>HYPERLINK(CONCATENATE("http://www.spr.depen.pr.gov.br/centralvagas/exibirFoto.jpg?numProntuario=",$E199,"&amp;idImagem=5"),"FOTO 5")</f>
        <v>FOTO 5</v>
      </c>
      <c r="P199" s="199" t="str">
        <f>HYPERLINK(CONCATENATE("http://www.spr.depen.pr.gov.br/centralvagas/exibirFoto.jpg?numProntuario=",$E199,"&amp;idImagem=6"),"FOTO 6")</f>
        <v>FOTO 6</v>
      </c>
    </row>
    <row r="200" spans="1:16" ht="14.1" customHeight="1" thickTop="1" thickBot="1">
      <c r="A200" s="123"/>
      <c r="B200" s="419"/>
      <c r="C200" s="116" t="s">
        <v>2271</v>
      </c>
      <c r="D200" s="131" t="s">
        <v>2856</v>
      </c>
      <c r="E200" s="117">
        <v>184258</v>
      </c>
      <c r="F200" s="116"/>
      <c r="G200" s="119"/>
      <c r="H200" s="116"/>
      <c r="I200" s="119"/>
      <c r="J200" s="132"/>
      <c r="K200" s="199" t="str">
        <f>HYPERLINK(CONCATENATE("http://www.spr.depen.pr.gov.br/centralvagas/exibirFoto.jpg?numProntuario=",$E200,"&amp;idImagem=1"),"FOTO 1")</f>
        <v>FOTO 1</v>
      </c>
      <c r="L200" s="199" t="str">
        <f>HYPERLINK(CONCATENATE("http://www.spr.depen.pr.gov.br/centralvagas/exibirFoto.jpg?numProntuario=",$E200,"&amp;idImagem=2"),"FOTO 2")</f>
        <v>FOTO 2</v>
      </c>
      <c r="M200" s="199" t="str">
        <f>HYPERLINK(CONCATENATE("http://www.spr.depen.pr.gov.br/centralvagas/exibirFoto.jpg?numProntuario=",$E200,"&amp;idImagem=3"),"FOTO 3")</f>
        <v>FOTO 3</v>
      </c>
      <c r="N200" s="199" t="str">
        <f>HYPERLINK(CONCATENATE("http://www.spr.depen.pr.gov.br/centralvagas/exibirFoto.jpg?numProntuario=",$E200,"&amp;idImagem=4"),"FOTO 4")</f>
        <v>FOTO 4</v>
      </c>
      <c r="O200" s="199" t="str">
        <f>HYPERLINK(CONCATENATE("http://www.spr.depen.pr.gov.br/centralvagas/exibirFoto.jpg?numProntuario=",$E200,"&amp;idImagem=5"),"FOTO 5")</f>
        <v>FOTO 5</v>
      </c>
      <c r="P200" s="199" t="str">
        <f>HYPERLINK(CONCATENATE("http://www.spr.depen.pr.gov.br/centralvagas/exibirFoto.jpg?numProntuario=",$E200,"&amp;idImagem=6"),"FOTO 6")</f>
        <v>FOTO 6</v>
      </c>
    </row>
    <row r="201" spans="1:16" ht="14.1" customHeight="1" thickTop="1" thickBot="1">
      <c r="A201" s="123"/>
      <c r="B201" s="438"/>
      <c r="C201" s="118" t="s">
        <v>2271</v>
      </c>
      <c r="D201" s="130" t="s">
        <v>3612</v>
      </c>
      <c r="E201" s="117">
        <v>174189</v>
      </c>
      <c r="F201" s="116"/>
      <c r="G201" s="119"/>
      <c r="H201" s="116"/>
      <c r="I201" s="119"/>
      <c r="J201" s="132"/>
      <c r="K201" s="199" t="str">
        <f>HYPERLINK(CONCATENATE("http://www.spr.depen.pr.gov.br/centralvagas/exibirFoto.jpg?numProntuario=",$E201,"&amp;idImagem=1"),"FOTO 1")</f>
        <v>FOTO 1</v>
      </c>
      <c r="L201" s="199" t="str">
        <f>HYPERLINK(CONCATENATE("http://www.spr.depen.pr.gov.br/centralvagas/exibirFoto.jpg?numProntuario=",$E201,"&amp;idImagem=2"),"FOTO 2")</f>
        <v>FOTO 2</v>
      </c>
      <c r="M201" s="199" t="str">
        <f>HYPERLINK(CONCATENATE("http://www.spr.depen.pr.gov.br/centralvagas/exibirFoto.jpg?numProntuario=",$E201,"&amp;idImagem=3"),"FOTO 3")</f>
        <v>FOTO 3</v>
      </c>
      <c r="N201" s="199" t="str">
        <f>HYPERLINK(CONCATENATE("http://www.spr.depen.pr.gov.br/centralvagas/exibirFoto.jpg?numProntuario=",$E201,"&amp;idImagem=4"),"FOTO 4")</f>
        <v>FOTO 4</v>
      </c>
      <c r="O201" s="199" t="str">
        <f>HYPERLINK(CONCATENATE("http://www.spr.depen.pr.gov.br/centralvagas/exibirFoto.jpg?numProntuario=",$E201,"&amp;idImagem=5"),"FOTO 5")</f>
        <v>FOTO 5</v>
      </c>
      <c r="P201" s="199" t="str">
        <f>HYPERLINK(CONCATENATE("http://www.spr.depen.pr.gov.br/centralvagas/exibirFoto.jpg?numProntuario=",$E201,"&amp;idImagem=6"),"FOTO 6")</f>
        <v>FOTO 6</v>
      </c>
    </row>
    <row r="202" spans="1:16" ht="14.1" customHeight="1" thickTop="1" thickBot="1">
      <c r="A202" s="118"/>
      <c r="B202" s="438"/>
      <c r="C202" s="420" t="s">
        <v>2283</v>
      </c>
      <c r="D202" s="421" t="s">
        <v>3401</v>
      </c>
      <c r="E202" s="117">
        <v>107482</v>
      </c>
      <c r="F202" s="116"/>
      <c r="G202" s="119"/>
      <c r="H202" s="116"/>
      <c r="I202" s="119"/>
      <c r="J202" s="116"/>
      <c r="K202" s="199" t="str">
        <f>HYPERLINK(CONCATENATE("http://www.spr.depen.pr.gov.br/centralvagas/exibirFoto.jpg?numProntuario=",$E202,"&amp;idImagem=1"),"FOTO 1")</f>
        <v>FOTO 1</v>
      </c>
      <c r="L202" s="199" t="str">
        <f>HYPERLINK(CONCATENATE("http://www.spr.depen.pr.gov.br/centralvagas/exibirFoto.jpg?numProntuario=",$E202,"&amp;idImagem=2"),"FOTO 2")</f>
        <v>FOTO 2</v>
      </c>
      <c r="M202" s="199" t="str">
        <f>HYPERLINK(CONCATENATE("http://www.spr.depen.pr.gov.br/centralvagas/exibirFoto.jpg?numProntuario=",$E202,"&amp;idImagem=3"),"FOTO 3")</f>
        <v>FOTO 3</v>
      </c>
      <c r="N202" s="199" t="str">
        <f>HYPERLINK(CONCATENATE("http://www.spr.depen.pr.gov.br/centralvagas/exibirFoto.jpg?numProntuario=",$E202,"&amp;idImagem=4"),"FOTO 4")</f>
        <v>FOTO 4</v>
      </c>
      <c r="O202" s="199" t="str">
        <f>HYPERLINK(CONCATENATE("http://www.spr.depen.pr.gov.br/centralvagas/exibirFoto.jpg?numProntuario=",$E202,"&amp;idImagem=5"),"FOTO 5")</f>
        <v>FOTO 5</v>
      </c>
      <c r="P202" s="199" t="str">
        <f>HYPERLINK(CONCATENATE("http://www.spr.depen.pr.gov.br/centralvagas/exibirFoto.jpg?numProntuario=",$E202,"&amp;idImagem=6"),"FOTO 6")</f>
        <v>FOTO 6</v>
      </c>
    </row>
    <row r="203" spans="1:16" ht="14.1" customHeight="1" thickTop="1" thickBot="1">
      <c r="A203" s="123"/>
      <c r="B203" s="419"/>
      <c r="C203" s="116" t="s">
        <v>2283</v>
      </c>
      <c r="D203" s="131" t="s">
        <v>2050</v>
      </c>
      <c r="E203" s="117">
        <v>174039</v>
      </c>
      <c r="F203" s="116"/>
      <c r="G203" s="119"/>
      <c r="H203" s="116"/>
      <c r="I203" s="119"/>
      <c r="J203" s="116"/>
      <c r="K203" s="199" t="str">
        <f>HYPERLINK(CONCATENATE("http://www.spr.depen.pr.gov.br/centralvagas/exibirFoto.jpg?numProntuario=",$E203,"&amp;idImagem=1"),"FOTO 1")</f>
        <v>FOTO 1</v>
      </c>
      <c r="L203" s="199" t="str">
        <f>HYPERLINK(CONCATENATE("http://www.spr.depen.pr.gov.br/centralvagas/exibirFoto.jpg?numProntuario=",$E203,"&amp;idImagem=2"),"FOTO 2")</f>
        <v>FOTO 2</v>
      </c>
      <c r="M203" s="199" t="str">
        <f>HYPERLINK(CONCATENATE("http://www.spr.depen.pr.gov.br/centralvagas/exibirFoto.jpg?numProntuario=",$E203,"&amp;idImagem=3"),"FOTO 3")</f>
        <v>FOTO 3</v>
      </c>
      <c r="N203" s="199" t="str">
        <f>HYPERLINK(CONCATENATE("http://www.spr.depen.pr.gov.br/centralvagas/exibirFoto.jpg?numProntuario=",$E203,"&amp;idImagem=4"),"FOTO 4")</f>
        <v>FOTO 4</v>
      </c>
      <c r="O203" s="199" t="str">
        <f>HYPERLINK(CONCATENATE("http://www.spr.depen.pr.gov.br/centralvagas/exibirFoto.jpg?numProntuario=",$E203,"&amp;idImagem=5"),"FOTO 5")</f>
        <v>FOTO 5</v>
      </c>
      <c r="P203" s="199" t="str">
        <f>HYPERLINK(CONCATENATE("http://www.spr.depen.pr.gov.br/centralvagas/exibirFoto.jpg?numProntuario=",$E203,"&amp;idImagem=6"),"FOTO 6")</f>
        <v>FOTO 6</v>
      </c>
    </row>
    <row r="204" spans="1:16" ht="14.1" customHeight="1" thickTop="1" thickBot="1">
      <c r="A204" s="372"/>
      <c r="B204" s="419"/>
      <c r="C204" s="118" t="s">
        <v>2283</v>
      </c>
      <c r="D204" s="122" t="s">
        <v>2784</v>
      </c>
      <c r="E204" s="117">
        <v>139700</v>
      </c>
      <c r="F204" s="116"/>
      <c r="G204" s="119"/>
      <c r="H204" s="116"/>
      <c r="I204" s="119"/>
      <c r="J204" s="132"/>
      <c r="K204" s="199" t="str">
        <f>HYPERLINK(CONCATENATE("http://www.spr.depen.pr.gov.br/centralvagas/exibirFoto.jpg?numProntuario=",$E204,"&amp;idImagem=1"),"FOTO 1")</f>
        <v>FOTO 1</v>
      </c>
      <c r="L204" s="199" t="str">
        <f>HYPERLINK(CONCATENATE("http://www.spr.depen.pr.gov.br/centralvagas/exibirFoto.jpg?numProntuario=",$E204,"&amp;idImagem=2"),"FOTO 2")</f>
        <v>FOTO 2</v>
      </c>
      <c r="M204" s="199" t="str">
        <f>HYPERLINK(CONCATENATE("http://www.spr.depen.pr.gov.br/centralvagas/exibirFoto.jpg?numProntuario=",$E204,"&amp;idImagem=3"),"FOTO 3")</f>
        <v>FOTO 3</v>
      </c>
      <c r="N204" s="199" t="str">
        <f>HYPERLINK(CONCATENATE("http://www.spr.depen.pr.gov.br/centralvagas/exibirFoto.jpg?numProntuario=",$E204,"&amp;idImagem=4"),"FOTO 4")</f>
        <v>FOTO 4</v>
      </c>
      <c r="O204" s="199" t="str">
        <f>HYPERLINK(CONCATENATE("http://www.spr.depen.pr.gov.br/centralvagas/exibirFoto.jpg?numProntuario=",$E204,"&amp;idImagem=5"),"FOTO 5")</f>
        <v>FOTO 5</v>
      </c>
      <c r="P204" s="199" t="str">
        <f>HYPERLINK(CONCATENATE("http://www.spr.depen.pr.gov.br/centralvagas/exibirFoto.jpg?numProntuario=",$E204,"&amp;idImagem=6"),"FOTO 6")</f>
        <v>FOTO 6</v>
      </c>
    </row>
    <row r="205" spans="1:16" ht="14.1" customHeight="1" thickTop="1" thickBot="1">
      <c r="A205" s="118"/>
      <c r="B205" s="419"/>
      <c r="C205" s="125" t="s">
        <v>2283</v>
      </c>
      <c r="D205" s="129" t="s">
        <v>3412</v>
      </c>
      <c r="E205" s="117">
        <v>172416</v>
      </c>
      <c r="F205" s="116"/>
      <c r="G205" s="119"/>
      <c r="H205" s="116"/>
      <c r="I205" s="119"/>
      <c r="J205" s="116"/>
      <c r="K205" s="199" t="str">
        <f>HYPERLINK(CONCATENATE("http://www.spr.depen.pr.gov.br/centralvagas/exibirFoto.jpg?numProntuario=",$E205,"&amp;idImagem=1"),"FOTO 1")</f>
        <v>FOTO 1</v>
      </c>
      <c r="L205" s="199" t="str">
        <f>HYPERLINK(CONCATENATE("http://www.spr.depen.pr.gov.br/centralvagas/exibirFoto.jpg?numProntuario=",$E205,"&amp;idImagem=2"),"FOTO 2")</f>
        <v>FOTO 2</v>
      </c>
      <c r="M205" s="199" t="str">
        <f>HYPERLINK(CONCATENATE("http://www.spr.depen.pr.gov.br/centralvagas/exibirFoto.jpg?numProntuario=",$E205,"&amp;idImagem=3"),"FOTO 3")</f>
        <v>FOTO 3</v>
      </c>
      <c r="N205" s="199" t="str">
        <f>HYPERLINK(CONCATENATE("http://www.spr.depen.pr.gov.br/centralvagas/exibirFoto.jpg?numProntuario=",$E205,"&amp;idImagem=4"),"FOTO 4")</f>
        <v>FOTO 4</v>
      </c>
      <c r="O205" s="199" t="str">
        <f>HYPERLINK(CONCATENATE("http://www.spr.depen.pr.gov.br/centralvagas/exibirFoto.jpg?numProntuario=",$E205,"&amp;idImagem=5"),"FOTO 5")</f>
        <v>FOTO 5</v>
      </c>
      <c r="P205" s="199" t="str">
        <f>HYPERLINK(CONCATENATE("http://www.spr.depen.pr.gov.br/centralvagas/exibirFoto.jpg?numProntuario=",$E205,"&amp;idImagem=6"),"FOTO 6")</f>
        <v>FOTO 6</v>
      </c>
    </row>
    <row r="206" spans="1:16" ht="14.1" customHeight="1" thickTop="1" thickBot="1">
      <c r="A206" s="123"/>
      <c r="B206" s="438"/>
      <c r="C206" s="125" t="s">
        <v>2283</v>
      </c>
      <c r="D206" s="129" t="s">
        <v>2868</v>
      </c>
      <c r="E206" s="117">
        <v>168338</v>
      </c>
      <c r="F206" s="116"/>
      <c r="G206" s="119"/>
      <c r="H206" s="116"/>
      <c r="I206" s="119"/>
      <c r="J206" s="116"/>
      <c r="K206" s="199" t="str">
        <f>HYPERLINK(CONCATENATE("http://www.spr.depen.pr.gov.br/centralvagas/exibirFoto.jpg?numProntuario=",$E206,"&amp;idImagem=1"),"FOTO 1")</f>
        <v>FOTO 1</v>
      </c>
      <c r="L206" s="199" t="str">
        <f>HYPERLINK(CONCATENATE("http://www.spr.depen.pr.gov.br/centralvagas/exibirFoto.jpg?numProntuario=",$E206,"&amp;idImagem=2"),"FOTO 2")</f>
        <v>FOTO 2</v>
      </c>
      <c r="M206" s="199" t="str">
        <f>HYPERLINK(CONCATENATE("http://www.spr.depen.pr.gov.br/centralvagas/exibirFoto.jpg?numProntuario=",$E206,"&amp;idImagem=3"),"FOTO 3")</f>
        <v>FOTO 3</v>
      </c>
      <c r="N206" s="199" t="str">
        <f>HYPERLINK(CONCATENATE("http://www.spr.depen.pr.gov.br/centralvagas/exibirFoto.jpg?numProntuario=",$E206,"&amp;idImagem=4"),"FOTO 4")</f>
        <v>FOTO 4</v>
      </c>
      <c r="O206" s="199" t="str">
        <f>HYPERLINK(CONCATENATE("http://www.spr.depen.pr.gov.br/centralvagas/exibirFoto.jpg?numProntuario=",$E206,"&amp;idImagem=5"),"FOTO 5")</f>
        <v>FOTO 5</v>
      </c>
      <c r="P206" s="199" t="str">
        <f>HYPERLINK(CONCATENATE("http://www.spr.depen.pr.gov.br/centralvagas/exibirFoto.jpg?numProntuario=",$E206,"&amp;idImagem=6"),"FOTO 6")</f>
        <v>FOTO 6</v>
      </c>
    </row>
    <row r="207" spans="1:16" ht="14.1" customHeight="1" thickTop="1" thickBot="1">
      <c r="A207" s="123"/>
      <c r="B207" s="438"/>
      <c r="C207" s="118" t="s">
        <v>2735</v>
      </c>
      <c r="D207" s="129" t="s">
        <v>3415</v>
      </c>
      <c r="E207" s="117">
        <v>39862</v>
      </c>
      <c r="F207" s="116"/>
      <c r="G207" s="119"/>
      <c r="H207" s="116"/>
      <c r="I207" s="119"/>
      <c r="J207" s="116"/>
      <c r="K207" s="199" t="str">
        <f>HYPERLINK(CONCATENATE("http://www.spr.depen.pr.gov.br/centralvagas/exibirFoto.jpg?numProntuario=",$E207,"&amp;idImagem=1"),"FOTO 1")</f>
        <v>FOTO 1</v>
      </c>
      <c r="L207" s="199" t="str">
        <f>HYPERLINK(CONCATENATE("http://www.spr.depen.pr.gov.br/centralvagas/exibirFoto.jpg?numProntuario=",$E207,"&amp;idImagem=2"),"FOTO 2")</f>
        <v>FOTO 2</v>
      </c>
      <c r="M207" s="199" t="str">
        <f>HYPERLINK(CONCATENATE("http://www.spr.depen.pr.gov.br/centralvagas/exibirFoto.jpg?numProntuario=",$E207,"&amp;idImagem=3"),"FOTO 3")</f>
        <v>FOTO 3</v>
      </c>
      <c r="N207" s="199" t="str">
        <f>HYPERLINK(CONCATENATE("http://www.spr.depen.pr.gov.br/centralvagas/exibirFoto.jpg?numProntuario=",$E207,"&amp;idImagem=4"),"FOTO 4")</f>
        <v>FOTO 4</v>
      </c>
      <c r="O207" s="199" t="str">
        <f>HYPERLINK(CONCATENATE("http://www.spr.depen.pr.gov.br/centralvagas/exibirFoto.jpg?numProntuario=",$E207,"&amp;idImagem=5"),"FOTO 5")</f>
        <v>FOTO 5</v>
      </c>
      <c r="P207" s="199" t="str">
        <f>HYPERLINK(CONCATENATE("http://www.spr.depen.pr.gov.br/centralvagas/exibirFoto.jpg?numProntuario=",$E207,"&amp;idImagem=6"),"FOTO 6")</f>
        <v>FOTO 6</v>
      </c>
    </row>
    <row r="208" spans="1:16" ht="14.1" customHeight="1" thickTop="1" thickBot="1">
      <c r="A208" s="120"/>
      <c r="B208" s="229"/>
      <c r="C208" s="639" t="s">
        <v>2735</v>
      </c>
      <c r="D208" s="640" t="s">
        <v>2600</v>
      </c>
      <c r="E208" s="117">
        <v>167114</v>
      </c>
      <c r="F208" s="116"/>
      <c r="G208" s="119"/>
      <c r="H208" s="116"/>
      <c r="I208" s="119"/>
      <c r="J208" s="116"/>
      <c r="K208" s="199" t="str">
        <f>HYPERLINK(CONCATENATE("http://www.spr.depen.pr.gov.br/centralvagas/exibirFoto.jpg?numProntuario=",$E208,"&amp;idImagem=1"),"FOTO 1")</f>
        <v>FOTO 1</v>
      </c>
      <c r="L208" s="199" t="str">
        <f>HYPERLINK(CONCATENATE("http://www.spr.depen.pr.gov.br/centralvagas/exibirFoto.jpg?numProntuario=",$E208,"&amp;idImagem=2"),"FOTO 2")</f>
        <v>FOTO 2</v>
      </c>
      <c r="M208" s="199" t="str">
        <f>HYPERLINK(CONCATENATE("http://www.spr.depen.pr.gov.br/centralvagas/exibirFoto.jpg?numProntuario=",$E208,"&amp;idImagem=3"),"FOTO 3")</f>
        <v>FOTO 3</v>
      </c>
      <c r="N208" s="199" t="str">
        <f>HYPERLINK(CONCATENATE("http://www.spr.depen.pr.gov.br/centralvagas/exibirFoto.jpg?numProntuario=",$E208,"&amp;idImagem=4"),"FOTO 4")</f>
        <v>FOTO 4</v>
      </c>
      <c r="O208" s="199" t="str">
        <f>HYPERLINK(CONCATENATE("http://www.spr.depen.pr.gov.br/centralvagas/exibirFoto.jpg?numProntuario=",$E208,"&amp;idImagem=5"),"FOTO 5")</f>
        <v>FOTO 5</v>
      </c>
      <c r="P208" s="199" t="str">
        <f>HYPERLINK(CONCATENATE("http://www.spr.depen.pr.gov.br/centralvagas/exibirFoto.jpg?numProntuario=",$E208,"&amp;idImagem=6"),"FOTO 6")</f>
        <v>FOTO 6</v>
      </c>
    </row>
    <row r="209" spans="1:16" ht="14.1" customHeight="1" thickTop="1" thickBot="1">
      <c r="A209" s="363" t="s">
        <v>3577</v>
      </c>
      <c r="B209" s="364">
        <v>44163</v>
      </c>
      <c r="C209" s="363" t="s">
        <v>2735</v>
      </c>
      <c r="D209" s="365" t="s">
        <v>3737</v>
      </c>
      <c r="E209" s="117">
        <v>127645</v>
      </c>
      <c r="F209" s="116"/>
      <c r="G209" s="119"/>
      <c r="H209" s="116"/>
      <c r="I209" s="119"/>
      <c r="J209" s="132"/>
      <c r="K209" s="199" t="str">
        <f>HYPERLINK(CONCATENATE("http://www.spr.depen.pr.gov.br/centralvagas/exibirFoto.jpg?numProntuario=",$E209,"&amp;idImagem=1"),"FOTO 1")</f>
        <v>FOTO 1</v>
      </c>
      <c r="L209" s="199" t="str">
        <f>HYPERLINK(CONCATENATE("http://www.spr.depen.pr.gov.br/centralvagas/exibirFoto.jpg?numProntuario=",$E209,"&amp;idImagem=2"),"FOTO 2")</f>
        <v>FOTO 2</v>
      </c>
      <c r="M209" s="199" t="str">
        <f>HYPERLINK(CONCATENATE("http://www.spr.depen.pr.gov.br/centralvagas/exibirFoto.jpg?numProntuario=",$E209,"&amp;idImagem=3"),"FOTO 3")</f>
        <v>FOTO 3</v>
      </c>
      <c r="N209" s="199" t="str">
        <f>HYPERLINK(CONCATENATE("http://www.spr.depen.pr.gov.br/centralvagas/exibirFoto.jpg?numProntuario=",$E209,"&amp;idImagem=4"),"FOTO 4")</f>
        <v>FOTO 4</v>
      </c>
      <c r="O209" s="199" t="str">
        <f>HYPERLINK(CONCATENATE("http://www.spr.depen.pr.gov.br/centralvagas/exibirFoto.jpg?numProntuario=",$E209,"&amp;idImagem=5"),"FOTO 5")</f>
        <v>FOTO 5</v>
      </c>
      <c r="P209" s="199" t="str">
        <f>HYPERLINK(CONCATENATE("http://www.spr.depen.pr.gov.br/centralvagas/exibirFoto.jpg?numProntuario=",$E209,"&amp;idImagem=6"),"FOTO 6")</f>
        <v>FOTO 6</v>
      </c>
    </row>
    <row r="210" spans="1:16" ht="14.1" customHeight="1" thickTop="1" thickBot="1">
      <c r="A210" s="363" t="s">
        <v>3577</v>
      </c>
      <c r="B210" s="364">
        <v>44168</v>
      </c>
      <c r="C210" s="151" t="s">
        <v>2735</v>
      </c>
      <c r="D210" s="609" t="s">
        <v>3423</v>
      </c>
      <c r="E210" s="117">
        <v>142478</v>
      </c>
      <c r="F210" s="145"/>
      <c r="G210" s="162"/>
      <c r="H210" s="145"/>
      <c r="I210" s="162"/>
      <c r="J210" s="145"/>
      <c r="K210" s="199" t="str">
        <f>HYPERLINK(CONCATENATE("http://www.spr.depen.pr.gov.br/centralvagas/exibirFoto.jpg?numProntuario=",$E210,"&amp;idImagem=1"),"FOTO 1")</f>
        <v>FOTO 1</v>
      </c>
      <c r="L210" s="199" t="str">
        <f>HYPERLINK(CONCATENATE("http://www.spr.depen.pr.gov.br/centralvagas/exibirFoto.jpg?numProntuario=",$E210,"&amp;idImagem=2"),"FOTO 2")</f>
        <v>FOTO 2</v>
      </c>
      <c r="M210" s="199" t="str">
        <f>HYPERLINK(CONCATENATE("http://www.spr.depen.pr.gov.br/centralvagas/exibirFoto.jpg?numProntuario=",$E210,"&amp;idImagem=3"),"FOTO 3")</f>
        <v>FOTO 3</v>
      </c>
      <c r="N210" s="199" t="str">
        <f>HYPERLINK(CONCATENATE("http://www.spr.depen.pr.gov.br/centralvagas/exibirFoto.jpg?numProntuario=",$E210,"&amp;idImagem=4"),"FOTO 4")</f>
        <v>FOTO 4</v>
      </c>
      <c r="O210" s="199" t="str">
        <f>HYPERLINK(CONCATENATE("http://www.spr.depen.pr.gov.br/centralvagas/exibirFoto.jpg?numProntuario=",$E210,"&amp;idImagem=5"),"FOTO 5")</f>
        <v>FOTO 5</v>
      </c>
      <c r="P210" s="199" t="str">
        <f>HYPERLINK(CONCATENATE("http://www.spr.depen.pr.gov.br/centralvagas/exibirFoto.jpg?numProntuario=",$E210,"&amp;idImagem=6"),"FOTO 6")</f>
        <v>FOTO 6</v>
      </c>
    </row>
    <row r="211" spans="1:16" ht="14.1" customHeight="1" thickTop="1" thickBot="1">
      <c r="A211" s="120"/>
      <c r="B211" s="438"/>
      <c r="C211" s="118" t="s">
        <v>2735</v>
      </c>
      <c r="D211" s="129" t="s">
        <v>3418</v>
      </c>
      <c r="E211" s="117">
        <v>170564</v>
      </c>
      <c r="F211" s="116"/>
      <c r="G211" s="119"/>
      <c r="H211" s="116"/>
      <c r="I211" s="119"/>
      <c r="J211" s="116"/>
      <c r="K211" s="199" t="str">
        <f>HYPERLINK(CONCATENATE("http://www.spr.depen.pr.gov.br/centralvagas/exibirFoto.jpg?numProntuario=",$E211,"&amp;idImagem=1"),"FOTO 1")</f>
        <v>FOTO 1</v>
      </c>
      <c r="L211" s="199" t="str">
        <f>HYPERLINK(CONCATENATE("http://www.spr.depen.pr.gov.br/centralvagas/exibirFoto.jpg?numProntuario=",$E211,"&amp;idImagem=2"),"FOTO 2")</f>
        <v>FOTO 2</v>
      </c>
      <c r="M211" s="199" t="str">
        <f>HYPERLINK(CONCATENATE("http://www.spr.depen.pr.gov.br/centralvagas/exibirFoto.jpg?numProntuario=",$E211,"&amp;idImagem=3"),"FOTO 3")</f>
        <v>FOTO 3</v>
      </c>
      <c r="N211" s="199" t="str">
        <f>HYPERLINK(CONCATENATE("http://www.spr.depen.pr.gov.br/centralvagas/exibirFoto.jpg?numProntuario=",$E211,"&amp;idImagem=4"),"FOTO 4")</f>
        <v>FOTO 4</v>
      </c>
      <c r="O211" s="199" t="str">
        <f>HYPERLINK(CONCATENATE("http://www.spr.depen.pr.gov.br/centralvagas/exibirFoto.jpg?numProntuario=",$E211,"&amp;idImagem=5"),"FOTO 5")</f>
        <v>FOTO 5</v>
      </c>
      <c r="P211" s="199" t="str">
        <f>HYPERLINK(CONCATENATE("http://www.spr.depen.pr.gov.br/centralvagas/exibirFoto.jpg?numProntuario=",$E211,"&amp;idImagem=6"),"FOTO 6")</f>
        <v>FOTO 6</v>
      </c>
    </row>
    <row r="212" spans="1:16" ht="14.1" customHeight="1" thickTop="1" thickBot="1">
      <c r="A212" s="120"/>
      <c r="B212" s="438"/>
      <c r="C212" s="118" t="s">
        <v>2738</v>
      </c>
      <c r="D212" s="122" t="s">
        <v>2682</v>
      </c>
      <c r="E212" s="325">
        <v>93162</v>
      </c>
      <c r="F212" s="116"/>
      <c r="G212" s="119"/>
      <c r="H212" s="116"/>
      <c r="I212" s="119"/>
      <c r="J212" s="116"/>
      <c r="K212" s="199" t="str">
        <f>HYPERLINK(CONCATENATE("http://www.spr.depen.pr.gov.br/centralvagas/exibirFoto.jpg?numProntuario=",$E212,"&amp;idImagem=1"),"FOTO 1")</f>
        <v>FOTO 1</v>
      </c>
      <c r="L212" s="199" t="str">
        <f>HYPERLINK(CONCATENATE("http://www.spr.depen.pr.gov.br/centralvagas/exibirFoto.jpg?numProntuario=",$E212,"&amp;idImagem=2"),"FOTO 2")</f>
        <v>FOTO 2</v>
      </c>
      <c r="M212" s="199" t="str">
        <f>HYPERLINK(CONCATENATE("http://www.spr.depen.pr.gov.br/centralvagas/exibirFoto.jpg?numProntuario=",$E212,"&amp;idImagem=3"),"FOTO 3")</f>
        <v>FOTO 3</v>
      </c>
      <c r="N212" s="199" t="str">
        <f>HYPERLINK(CONCATENATE("http://www.spr.depen.pr.gov.br/centralvagas/exibirFoto.jpg?numProntuario=",$E212,"&amp;idImagem=4"),"FOTO 4")</f>
        <v>FOTO 4</v>
      </c>
      <c r="O212" s="199" t="str">
        <f>HYPERLINK(CONCATENATE("http://www.spr.depen.pr.gov.br/centralvagas/exibirFoto.jpg?numProntuario=",$E212,"&amp;idImagem=5"),"FOTO 5")</f>
        <v>FOTO 5</v>
      </c>
      <c r="P212" s="199" t="str">
        <f>HYPERLINK(CONCATENATE("http://www.spr.depen.pr.gov.br/centralvagas/exibirFoto.jpg?numProntuario=",$E212,"&amp;idImagem=6"),"FOTO 6")</f>
        <v>FOTO 6</v>
      </c>
    </row>
    <row r="213" spans="1:16" ht="14.1" customHeight="1" thickTop="1" thickBot="1">
      <c r="A213" s="368"/>
      <c r="B213" s="245"/>
      <c r="C213" s="118" t="s">
        <v>2738</v>
      </c>
      <c r="D213" s="122" t="s">
        <v>3554</v>
      </c>
      <c r="E213" s="325">
        <v>311160</v>
      </c>
      <c r="F213" s="116"/>
      <c r="G213" s="119"/>
      <c r="H213" s="116"/>
      <c r="I213" s="119"/>
      <c r="J213" s="116"/>
      <c r="K213" s="199" t="str">
        <f>HYPERLINK(CONCATENATE("http://www.spr.depen.pr.gov.br/centralvagas/exibirFoto.jpg?numProntuario=",$E213,"&amp;idImagem=1"),"FOTO 1")</f>
        <v>FOTO 1</v>
      </c>
      <c r="L213" s="199" t="str">
        <f>HYPERLINK(CONCATENATE("http://www.spr.depen.pr.gov.br/centralvagas/exibirFoto.jpg?numProntuario=",$E213,"&amp;idImagem=2"),"FOTO 2")</f>
        <v>FOTO 2</v>
      </c>
      <c r="M213" s="199" t="str">
        <f>HYPERLINK(CONCATENATE("http://www.spr.depen.pr.gov.br/centralvagas/exibirFoto.jpg?numProntuario=",$E213,"&amp;idImagem=3"),"FOTO 3")</f>
        <v>FOTO 3</v>
      </c>
      <c r="N213" s="199" t="str">
        <f>HYPERLINK(CONCATENATE("http://www.spr.depen.pr.gov.br/centralvagas/exibirFoto.jpg?numProntuario=",$E213,"&amp;idImagem=4"),"FOTO 4")</f>
        <v>FOTO 4</v>
      </c>
      <c r="O213" s="199" t="str">
        <f>HYPERLINK(CONCATENATE("http://www.spr.depen.pr.gov.br/centralvagas/exibirFoto.jpg?numProntuario=",$E213,"&amp;idImagem=5"),"FOTO 5")</f>
        <v>FOTO 5</v>
      </c>
      <c r="P213" s="199" t="str">
        <f>HYPERLINK(CONCATENATE("http://www.spr.depen.pr.gov.br/centralvagas/exibirFoto.jpg?numProntuario=",$E213,"&amp;idImagem=6"),"FOTO 6")</f>
        <v>FOTO 6</v>
      </c>
    </row>
    <row r="214" spans="1:16" ht="14.1" customHeight="1" thickTop="1" thickBot="1">
      <c r="A214" s="368"/>
      <c r="B214" s="245"/>
      <c r="C214" s="118" t="s">
        <v>2738</v>
      </c>
      <c r="D214" s="122" t="s">
        <v>3569</v>
      </c>
      <c r="E214" s="325">
        <v>659378</v>
      </c>
      <c r="F214" s="116"/>
      <c r="G214" s="119"/>
      <c r="H214" s="116"/>
      <c r="I214" s="119"/>
      <c r="J214" s="116"/>
      <c r="K214" s="199" t="str">
        <f>HYPERLINK(CONCATENATE("http://www.spr.depen.pr.gov.br/centralvagas/exibirFoto.jpg?numProntuario=",$E214,"&amp;idImagem=1"),"FOTO 1")</f>
        <v>FOTO 1</v>
      </c>
      <c r="L214" s="199" t="str">
        <f>HYPERLINK(CONCATENATE("http://www.spr.depen.pr.gov.br/centralvagas/exibirFoto.jpg?numProntuario=",$E214,"&amp;idImagem=2"),"FOTO 2")</f>
        <v>FOTO 2</v>
      </c>
      <c r="M214" s="199" t="str">
        <f>HYPERLINK(CONCATENATE("http://www.spr.depen.pr.gov.br/centralvagas/exibirFoto.jpg?numProntuario=",$E214,"&amp;idImagem=3"),"FOTO 3")</f>
        <v>FOTO 3</v>
      </c>
      <c r="N214" s="199" t="str">
        <f>HYPERLINK(CONCATENATE("http://www.spr.depen.pr.gov.br/centralvagas/exibirFoto.jpg?numProntuario=",$E214,"&amp;idImagem=4"),"FOTO 4")</f>
        <v>FOTO 4</v>
      </c>
      <c r="O214" s="199" t="str">
        <f>HYPERLINK(CONCATENATE("http://www.spr.depen.pr.gov.br/centralvagas/exibirFoto.jpg?numProntuario=",$E214,"&amp;idImagem=5"),"FOTO 5")</f>
        <v>FOTO 5</v>
      </c>
      <c r="P214" s="199" t="str">
        <f>HYPERLINK(CONCATENATE("http://www.spr.depen.pr.gov.br/centralvagas/exibirFoto.jpg?numProntuario=",$E214,"&amp;idImagem=6"),"FOTO 6")</f>
        <v>FOTO 6</v>
      </c>
    </row>
    <row r="215" spans="1:16" ht="14.1" customHeight="1" thickTop="1" thickBot="1">
      <c r="A215" s="368"/>
      <c r="B215" s="245"/>
      <c r="C215" s="118" t="s">
        <v>2738</v>
      </c>
      <c r="D215" s="122" t="s">
        <v>3570</v>
      </c>
      <c r="E215" s="325">
        <v>232392</v>
      </c>
      <c r="F215" s="116"/>
      <c r="G215" s="119"/>
      <c r="H215" s="116"/>
      <c r="I215" s="119"/>
      <c r="J215" s="116"/>
      <c r="K215" s="199" t="str">
        <f>HYPERLINK(CONCATENATE("http://www.spr.depen.pr.gov.br/centralvagas/exibirFoto.jpg?numProntuario=",$E215,"&amp;idImagem=1"),"FOTO 1")</f>
        <v>FOTO 1</v>
      </c>
      <c r="L215" s="199" t="str">
        <f>HYPERLINK(CONCATENATE("http://www.spr.depen.pr.gov.br/centralvagas/exibirFoto.jpg?numProntuario=",$E215,"&amp;idImagem=2"),"FOTO 2")</f>
        <v>FOTO 2</v>
      </c>
      <c r="M215" s="199" t="str">
        <f>HYPERLINK(CONCATENATE("http://www.spr.depen.pr.gov.br/centralvagas/exibirFoto.jpg?numProntuario=",$E215,"&amp;idImagem=3"),"FOTO 3")</f>
        <v>FOTO 3</v>
      </c>
      <c r="N215" s="199" t="str">
        <f>HYPERLINK(CONCATENATE("http://www.spr.depen.pr.gov.br/centralvagas/exibirFoto.jpg?numProntuario=",$E215,"&amp;idImagem=4"),"FOTO 4")</f>
        <v>FOTO 4</v>
      </c>
      <c r="O215" s="199" t="str">
        <f>HYPERLINK(CONCATENATE("http://www.spr.depen.pr.gov.br/centralvagas/exibirFoto.jpg?numProntuario=",$E215,"&amp;idImagem=5"),"FOTO 5")</f>
        <v>FOTO 5</v>
      </c>
      <c r="P215" s="199" t="str">
        <f>HYPERLINK(CONCATENATE("http://www.spr.depen.pr.gov.br/centralvagas/exibirFoto.jpg?numProntuario=",$E215,"&amp;idImagem=6"),"FOTO 6")</f>
        <v>FOTO 6</v>
      </c>
    </row>
    <row r="216" spans="1:16" ht="14.1" customHeight="1" thickTop="1" thickBot="1">
      <c r="A216" s="368"/>
      <c r="B216" s="245"/>
      <c r="C216" s="118" t="s">
        <v>2738</v>
      </c>
      <c r="D216" s="122" t="s">
        <v>3568</v>
      </c>
      <c r="E216" s="325">
        <v>324546</v>
      </c>
      <c r="F216" s="116"/>
      <c r="G216" s="119"/>
      <c r="H216" s="116"/>
      <c r="I216" s="119"/>
      <c r="J216" s="116"/>
      <c r="K216" s="199" t="str">
        <f>HYPERLINK(CONCATENATE("http://www.spr.depen.pr.gov.br/centralvagas/exibirFoto.jpg?numProntuario=",$E216,"&amp;idImagem=1"),"FOTO 1")</f>
        <v>FOTO 1</v>
      </c>
      <c r="L216" s="199" t="str">
        <f>HYPERLINK(CONCATENATE("http://www.spr.depen.pr.gov.br/centralvagas/exibirFoto.jpg?numProntuario=",$E216,"&amp;idImagem=2"),"FOTO 2")</f>
        <v>FOTO 2</v>
      </c>
      <c r="M216" s="199" t="str">
        <f>HYPERLINK(CONCATENATE("http://www.spr.depen.pr.gov.br/centralvagas/exibirFoto.jpg?numProntuario=",$E216,"&amp;idImagem=3"),"FOTO 3")</f>
        <v>FOTO 3</v>
      </c>
      <c r="N216" s="199" t="str">
        <f>HYPERLINK(CONCATENATE("http://www.spr.depen.pr.gov.br/centralvagas/exibirFoto.jpg?numProntuario=",$E216,"&amp;idImagem=4"),"FOTO 4")</f>
        <v>FOTO 4</v>
      </c>
      <c r="O216" s="199" t="str">
        <f>HYPERLINK(CONCATENATE("http://www.spr.depen.pr.gov.br/centralvagas/exibirFoto.jpg?numProntuario=",$E216,"&amp;idImagem=5"),"FOTO 5")</f>
        <v>FOTO 5</v>
      </c>
      <c r="P216" s="199" t="str">
        <f>HYPERLINK(CONCATENATE("http://www.spr.depen.pr.gov.br/centralvagas/exibirFoto.jpg?numProntuario=",$E216,"&amp;idImagem=6"),"FOTO 6")</f>
        <v>FOTO 6</v>
      </c>
    </row>
    <row r="217" spans="1:16" ht="14.1" customHeight="1" thickTop="1" thickBot="1">
      <c r="A217" s="368"/>
      <c r="B217" s="245"/>
      <c r="C217" s="118" t="s">
        <v>2738</v>
      </c>
      <c r="D217" s="122" t="s">
        <v>3560</v>
      </c>
      <c r="E217" s="325">
        <v>27269</v>
      </c>
      <c r="F217" s="116"/>
      <c r="G217" s="119"/>
      <c r="H217" s="116"/>
      <c r="I217" s="119"/>
      <c r="J217" s="116"/>
      <c r="K217" s="199" t="str">
        <f>HYPERLINK(CONCATENATE("http://www.spr.depen.pr.gov.br/centralvagas/exibirFoto.jpg?numProntuario=",$E217,"&amp;idImagem=1"),"FOTO 1")</f>
        <v>FOTO 1</v>
      </c>
      <c r="L217" s="199" t="str">
        <f>HYPERLINK(CONCATENATE("http://www.spr.depen.pr.gov.br/centralvagas/exibirFoto.jpg?numProntuario=",$E217,"&amp;idImagem=2"),"FOTO 2")</f>
        <v>FOTO 2</v>
      </c>
      <c r="M217" s="199" t="str">
        <f>HYPERLINK(CONCATENATE("http://www.spr.depen.pr.gov.br/centralvagas/exibirFoto.jpg?numProntuario=",$E217,"&amp;idImagem=3"),"FOTO 3")</f>
        <v>FOTO 3</v>
      </c>
      <c r="N217" s="199" t="str">
        <f>HYPERLINK(CONCATENATE("http://www.spr.depen.pr.gov.br/centralvagas/exibirFoto.jpg?numProntuario=",$E217,"&amp;idImagem=4"),"FOTO 4")</f>
        <v>FOTO 4</v>
      </c>
      <c r="O217" s="199" t="str">
        <f>HYPERLINK(CONCATENATE("http://www.spr.depen.pr.gov.br/centralvagas/exibirFoto.jpg?numProntuario=",$E217,"&amp;idImagem=5"),"FOTO 5")</f>
        <v>FOTO 5</v>
      </c>
      <c r="P217" s="199" t="str">
        <f>HYPERLINK(CONCATENATE("http://www.spr.depen.pr.gov.br/centralvagas/exibirFoto.jpg?numProntuario=",$E217,"&amp;idImagem=6"),"FOTO 6")</f>
        <v>FOTO 6</v>
      </c>
    </row>
    <row r="218" spans="1:16" ht="14.1" customHeight="1" thickTop="1" thickBot="1">
      <c r="A218" s="368"/>
      <c r="B218" s="245"/>
      <c r="C218" s="251" t="s">
        <v>2346</v>
      </c>
      <c r="D218" s="566" t="s">
        <v>3731</v>
      </c>
      <c r="E218" s="325">
        <v>439231</v>
      </c>
      <c r="F218" s="116"/>
      <c r="G218" s="119"/>
      <c r="H218" s="116"/>
      <c r="I218" s="119"/>
      <c r="J218" s="116"/>
      <c r="K218" s="199" t="str">
        <f>HYPERLINK(CONCATENATE("http://www.spr.depen.pr.gov.br/centralvagas/exibirFoto.jpg?numProntuario=",$E218,"&amp;idImagem=1"),"FOTO 1")</f>
        <v>FOTO 1</v>
      </c>
      <c r="L218" s="199" t="str">
        <f>HYPERLINK(CONCATENATE("http://www.spr.depen.pr.gov.br/centralvagas/exibirFoto.jpg?numProntuario=",$E218,"&amp;idImagem=2"),"FOTO 2")</f>
        <v>FOTO 2</v>
      </c>
      <c r="M218" s="199" t="str">
        <f>HYPERLINK(CONCATENATE("http://www.spr.depen.pr.gov.br/centralvagas/exibirFoto.jpg?numProntuario=",$E218,"&amp;idImagem=3"),"FOTO 3")</f>
        <v>FOTO 3</v>
      </c>
      <c r="N218" s="199" t="str">
        <f>HYPERLINK(CONCATENATE("http://www.spr.depen.pr.gov.br/centralvagas/exibirFoto.jpg?numProntuario=",$E218,"&amp;idImagem=4"),"FOTO 4")</f>
        <v>FOTO 4</v>
      </c>
      <c r="O218" s="199" t="str">
        <f>HYPERLINK(CONCATENATE("http://www.spr.depen.pr.gov.br/centralvagas/exibirFoto.jpg?numProntuario=",$E218,"&amp;idImagem=5"),"FOTO 5")</f>
        <v>FOTO 5</v>
      </c>
      <c r="P218" s="199" t="str">
        <f>HYPERLINK(CONCATENATE("http://www.spr.depen.pr.gov.br/centralvagas/exibirFoto.jpg?numProntuario=",$E218,"&amp;idImagem=6"),"FOTO 6")</f>
        <v>FOTO 6</v>
      </c>
    </row>
    <row r="219" spans="1:16" ht="14.1" customHeight="1" thickTop="1" thickBot="1">
      <c r="A219" s="251"/>
      <c r="B219" s="254"/>
      <c r="C219" s="251" t="s">
        <v>2346</v>
      </c>
      <c r="D219" s="566" t="s">
        <v>3725</v>
      </c>
      <c r="E219" s="567"/>
      <c r="F219" s="116"/>
      <c r="G219" s="119"/>
      <c r="H219" s="116"/>
      <c r="I219" s="119"/>
      <c r="J219" s="116"/>
      <c r="K219" s="199"/>
      <c r="L219" s="199"/>
      <c r="M219" s="199"/>
      <c r="N219" s="199"/>
      <c r="O219" s="199"/>
      <c r="P219" s="199"/>
    </row>
    <row r="220" spans="1:16" ht="14.1" customHeight="1" thickTop="1" thickBot="1">
      <c r="A220" s="251" t="s">
        <v>1524</v>
      </c>
      <c r="B220" s="254">
        <v>44146</v>
      </c>
      <c r="C220" s="251" t="s">
        <v>2346</v>
      </c>
      <c r="D220" s="566" t="s">
        <v>3726</v>
      </c>
      <c r="E220" s="567">
        <v>333911</v>
      </c>
      <c r="F220" s="116"/>
      <c r="G220" s="119"/>
      <c r="H220" s="116"/>
      <c r="I220" s="119"/>
      <c r="J220" s="116"/>
      <c r="K220" s="199"/>
      <c r="L220" s="199"/>
      <c r="M220" s="199"/>
      <c r="N220" s="199"/>
      <c r="O220" s="199"/>
      <c r="P220" s="199"/>
    </row>
    <row r="221" spans="1:16" ht="14.1" customHeight="1" thickTop="1" thickBot="1">
      <c r="A221" s="251" t="s">
        <v>1524</v>
      </c>
      <c r="B221" s="254" t="s">
        <v>3655</v>
      </c>
      <c r="C221" s="251" t="s">
        <v>2346</v>
      </c>
      <c r="D221" s="566" t="s">
        <v>3727</v>
      </c>
      <c r="E221" s="567">
        <v>446124</v>
      </c>
      <c r="F221" s="116"/>
      <c r="G221" s="119"/>
      <c r="H221" s="116"/>
      <c r="I221" s="119"/>
      <c r="J221" s="116"/>
      <c r="K221" s="199"/>
      <c r="L221" s="199"/>
      <c r="M221" s="199"/>
      <c r="N221" s="199"/>
      <c r="O221" s="199"/>
      <c r="P221" s="199"/>
    </row>
    <row r="222" spans="1:16" ht="14.1" customHeight="1" thickTop="1" thickBot="1">
      <c r="A222" s="251" t="s">
        <v>1524</v>
      </c>
      <c r="B222" s="254">
        <v>44147</v>
      </c>
      <c r="C222" s="251" t="s">
        <v>2346</v>
      </c>
      <c r="D222" s="566" t="s">
        <v>3728</v>
      </c>
      <c r="E222" s="567">
        <v>25339</v>
      </c>
      <c r="F222" s="116"/>
      <c r="G222" s="119"/>
      <c r="H222" s="116"/>
      <c r="I222" s="119"/>
      <c r="J222" s="116"/>
      <c r="K222" s="199"/>
      <c r="L222" s="199"/>
      <c r="M222" s="199"/>
      <c r="N222" s="199"/>
      <c r="O222" s="199"/>
      <c r="P222" s="199"/>
    </row>
    <row r="223" spans="1:16" ht="14.1" customHeight="1" thickTop="1" thickBot="1">
      <c r="A223" s="251" t="s">
        <v>1524</v>
      </c>
      <c r="B223" s="254" t="s">
        <v>3698</v>
      </c>
      <c r="C223" s="251" t="s">
        <v>2346</v>
      </c>
      <c r="D223" s="566" t="s">
        <v>3729</v>
      </c>
      <c r="E223" s="567">
        <v>63916</v>
      </c>
      <c r="F223" s="116"/>
      <c r="G223" s="119"/>
      <c r="H223" s="116"/>
      <c r="I223" s="119"/>
      <c r="J223" s="116"/>
      <c r="K223" s="199"/>
      <c r="L223" s="199"/>
      <c r="M223" s="199"/>
      <c r="N223" s="199"/>
      <c r="O223" s="199"/>
      <c r="P223" s="199"/>
    </row>
    <row r="224" spans="1:16" ht="14.1" customHeight="1" thickTop="1" thickBot="1">
      <c r="A224" s="251" t="s">
        <v>1524</v>
      </c>
      <c r="B224" s="254" t="s">
        <v>3656</v>
      </c>
      <c r="C224" s="125" t="s">
        <v>859</v>
      </c>
      <c r="D224" s="129" t="s">
        <v>1025</v>
      </c>
      <c r="E224" s="567">
        <v>399605</v>
      </c>
      <c r="F224" s="116"/>
      <c r="G224" s="119"/>
      <c r="H224" s="116"/>
      <c r="I224" s="119"/>
      <c r="J224" s="116"/>
      <c r="K224" s="199"/>
      <c r="L224" s="199"/>
      <c r="M224" s="199"/>
      <c r="N224" s="199"/>
      <c r="O224" s="199"/>
      <c r="P224" s="199"/>
    </row>
    <row r="225" spans="1:16" ht="14.1" customHeight="1" thickTop="1" thickBot="1">
      <c r="A225" s="120"/>
      <c r="B225" s="240"/>
      <c r="C225" s="125" t="s">
        <v>859</v>
      </c>
      <c r="D225" s="129" t="s">
        <v>2763</v>
      </c>
      <c r="E225" s="117">
        <v>27162</v>
      </c>
      <c r="F225" s="116"/>
      <c r="G225" s="119"/>
      <c r="H225" s="116"/>
      <c r="I225" s="119"/>
      <c r="J225" s="116"/>
      <c r="K225" s="199" t="str">
        <f>HYPERLINK(CONCATENATE("http://www.spr.depen.pr.gov.br/centralvagas/exibirFoto.jpg?numProntuario=",$E225,"&amp;idImagem=1"),"FOTO 1")</f>
        <v>FOTO 1</v>
      </c>
      <c r="L225" s="199" t="str">
        <f>HYPERLINK(CONCATENATE("http://www.spr.depen.pr.gov.br/centralvagas/exibirFoto.jpg?numProntuario=",$E225,"&amp;idImagem=2"),"FOTO 2")</f>
        <v>FOTO 2</v>
      </c>
      <c r="M225" s="199" t="str">
        <f>HYPERLINK(CONCATENATE("http://www.spr.depen.pr.gov.br/centralvagas/exibirFoto.jpg?numProntuario=",$E225,"&amp;idImagem=3"),"FOTO 3")</f>
        <v>FOTO 3</v>
      </c>
      <c r="N225" s="199" t="str">
        <f>HYPERLINK(CONCATENATE("http://www.spr.depen.pr.gov.br/centralvagas/exibirFoto.jpg?numProntuario=",$E225,"&amp;idImagem=4"),"FOTO 4")</f>
        <v>FOTO 4</v>
      </c>
      <c r="O225" s="199" t="str">
        <f>HYPERLINK(CONCATENATE("http://www.spr.depen.pr.gov.br/centralvagas/exibirFoto.jpg?numProntuario=",$E225,"&amp;idImagem=5"),"FOTO 5")</f>
        <v>FOTO 5</v>
      </c>
      <c r="P225" s="199" t="str">
        <f>HYPERLINK(CONCATENATE("http://www.spr.depen.pr.gov.br/centralvagas/exibirFoto.jpg?numProntuario=",$E225,"&amp;idImagem=6"),"FOTO 6")</f>
        <v>FOTO 6</v>
      </c>
    </row>
    <row r="226" spans="1:16" ht="14.1" customHeight="1" thickTop="1" thickBot="1">
      <c r="A226" s="133"/>
      <c r="B226" s="147"/>
      <c r="C226" s="125" t="s">
        <v>859</v>
      </c>
      <c r="D226" s="129" t="s">
        <v>2866</v>
      </c>
      <c r="E226" s="117">
        <v>128468</v>
      </c>
      <c r="F226" s="116"/>
      <c r="G226" s="119"/>
      <c r="H226" s="116"/>
      <c r="I226" s="119"/>
      <c r="J226" s="116"/>
      <c r="K226" s="199" t="str">
        <f>HYPERLINK(CONCATENATE("http://www.spr.depen.pr.gov.br/centralvagas/exibirFoto.jpg?numProntuario=",$E226,"&amp;idImagem=1"),"FOTO 1")</f>
        <v>FOTO 1</v>
      </c>
      <c r="L226" s="199" t="str">
        <f>HYPERLINK(CONCATENATE("http://www.spr.depen.pr.gov.br/centralvagas/exibirFoto.jpg?numProntuario=",$E226,"&amp;idImagem=2"),"FOTO 2")</f>
        <v>FOTO 2</v>
      </c>
      <c r="M226" s="199" t="str">
        <f>HYPERLINK(CONCATENATE("http://www.spr.depen.pr.gov.br/centralvagas/exibirFoto.jpg?numProntuario=",$E226,"&amp;idImagem=3"),"FOTO 3")</f>
        <v>FOTO 3</v>
      </c>
      <c r="N226" s="199" t="str">
        <f>HYPERLINK(CONCATENATE("http://www.spr.depen.pr.gov.br/centralvagas/exibirFoto.jpg?numProntuario=",$E226,"&amp;idImagem=4"),"FOTO 4")</f>
        <v>FOTO 4</v>
      </c>
      <c r="O226" s="199" t="str">
        <f>HYPERLINK(CONCATENATE("http://www.spr.depen.pr.gov.br/centralvagas/exibirFoto.jpg?numProntuario=",$E226,"&amp;idImagem=5"),"FOTO 5")</f>
        <v>FOTO 5</v>
      </c>
      <c r="P226" s="199" t="str">
        <f>HYPERLINK(CONCATENATE("http://www.spr.depen.pr.gov.br/centralvagas/exibirFoto.jpg?numProntuario=",$E226,"&amp;idImagem=6"),"FOTO 6")</f>
        <v>FOTO 6</v>
      </c>
    </row>
    <row r="227" spans="1:16" ht="14.1" customHeight="1" thickTop="1" thickBot="1">
      <c r="A227" s="123"/>
      <c r="B227" s="245"/>
      <c r="C227" s="116" t="s">
        <v>859</v>
      </c>
      <c r="D227" s="129" t="s">
        <v>2301</v>
      </c>
      <c r="E227" s="117">
        <v>11016</v>
      </c>
      <c r="F227" s="116"/>
      <c r="G227" s="119"/>
      <c r="H227" s="116"/>
      <c r="I227" s="119"/>
      <c r="J227" s="116"/>
      <c r="K227" s="199" t="str">
        <f>HYPERLINK(CONCATENATE("http://www.spr.depen.pr.gov.br/centralvagas/exibirFoto.jpg?numProntuario=",$E227,"&amp;idImagem=1"),"FOTO 1")</f>
        <v>FOTO 1</v>
      </c>
      <c r="L227" s="199" t="str">
        <f>HYPERLINK(CONCATENATE("http://www.spr.depen.pr.gov.br/centralvagas/exibirFoto.jpg?numProntuario=",$E227,"&amp;idImagem=2"),"FOTO 2")</f>
        <v>FOTO 2</v>
      </c>
      <c r="M227" s="199" t="str">
        <f>HYPERLINK(CONCATENATE("http://www.spr.depen.pr.gov.br/centralvagas/exibirFoto.jpg?numProntuario=",$E227,"&amp;idImagem=3"),"FOTO 3")</f>
        <v>FOTO 3</v>
      </c>
      <c r="N227" s="199" t="str">
        <f>HYPERLINK(CONCATENATE("http://www.spr.depen.pr.gov.br/centralvagas/exibirFoto.jpg?numProntuario=",$E227,"&amp;idImagem=4"),"FOTO 4")</f>
        <v>FOTO 4</v>
      </c>
      <c r="O227" s="199" t="str">
        <f>HYPERLINK(CONCATENATE("http://www.spr.depen.pr.gov.br/centralvagas/exibirFoto.jpg?numProntuario=",$E227,"&amp;idImagem=5"),"FOTO 5")</f>
        <v>FOTO 5</v>
      </c>
      <c r="P227" s="199" t="str">
        <f>HYPERLINK(CONCATENATE("http://www.spr.depen.pr.gov.br/centralvagas/exibirFoto.jpg?numProntuario=",$E227,"&amp;idImagem=6"),"FOTO 6")</f>
        <v>FOTO 6</v>
      </c>
    </row>
    <row r="228" spans="1:16" ht="14.1" customHeight="1" thickTop="1" thickBot="1">
      <c r="A228" s="134"/>
      <c r="B228" s="337"/>
      <c r="C228" s="118" t="s">
        <v>859</v>
      </c>
      <c r="D228" s="130" t="s">
        <v>1201</v>
      </c>
      <c r="E228" s="117">
        <v>133141</v>
      </c>
      <c r="F228" s="116"/>
      <c r="G228" s="119"/>
      <c r="H228" s="116"/>
      <c r="I228" s="119"/>
      <c r="J228" s="116"/>
      <c r="K228" s="199" t="str">
        <f>HYPERLINK(CONCATENATE("http://www.spr.depen.pr.gov.br/centralvagas/exibirFoto.jpg?numProntuario=",$E228,"&amp;idImagem=1"),"FOTO 1")</f>
        <v>FOTO 1</v>
      </c>
      <c r="L228" s="199" t="str">
        <f>HYPERLINK(CONCATENATE("http://www.spr.depen.pr.gov.br/centralvagas/exibirFoto.jpg?numProntuario=",$E228,"&amp;idImagem=2"),"FOTO 2")</f>
        <v>FOTO 2</v>
      </c>
      <c r="M228" s="199" t="str">
        <f>HYPERLINK(CONCATENATE("http://www.spr.depen.pr.gov.br/centralvagas/exibirFoto.jpg?numProntuario=",$E228,"&amp;idImagem=3"),"FOTO 3")</f>
        <v>FOTO 3</v>
      </c>
      <c r="N228" s="199" t="str">
        <f>HYPERLINK(CONCATENATE("http://www.spr.depen.pr.gov.br/centralvagas/exibirFoto.jpg?numProntuario=",$E228,"&amp;idImagem=4"),"FOTO 4")</f>
        <v>FOTO 4</v>
      </c>
      <c r="O228" s="199" t="str">
        <f>HYPERLINK(CONCATENATE("http://www.spr.depen.pr.gov.br/centralvagas/exibirFoto.jpg?numProntuario=",$E228,"&amp;idImagem=5"),"FOTO 5")</f>
        <v>FOTO 5</v>
      </c>
      <c r="P228" s="199" t="str">
        <f>HYPERLINK(CONCATENATE("http://www.spr.depen.pr.gov.br/centralvagas/exibirFoto.jpg?numProntuario=",$E228,"&amp;idImagem=6"),"FOTO 6")</f>
        <v>FOTO 6</v>
      </c>
    </row>
    <row r="229" spans="1:16" ht="14.1" customHeight="1" thickTop="1" thickBot="1">
      <c r="A229" s="120"/>
      <c r="B229" s="147"/>
      <c r="C229" s="116" t="s">
        <v>2313</v>
      </c>
      <c r="D229" s="131" t="s">
        <v>3479</v>
      </c>
      <c r="E229" s="466">
        <v>63581</v>
      </c>
      <c r="F229" s="132"/>
      <c r="G229" s="136"/>
      <c r="H229" s="116"/>
      <c r="I229" s="119"/>
      <c r="J229" s="116"/>
      <c r="K229" s="199" t="str">
        <f>HYPERLINK(CONCATENATE("http://www.spr.depen.pr.gov.br/centralvagas/exibirFoto.jpg?numProntuario=",$E229,"&amp;idImagem=1"),"FOTO 1")</f>
        <v>FOTO 1</v>
      </c>
      <c r="L229" s="199" t="str">
        <f>HYPERLINK(CONCATENATE("http://www.spr.depen.pr.gov.br/centralvagas/exibirFoto.jpg?numProntuario=",$E229,"&amp;idImagem=2"),"FOTO 2")</f>
        <v>FOTO 2</v>
      </c>
      <c r="M229" s="199" t="str">
        <f>HYPERLINK(CONCATENATE("http://www.spr.depen.pr.gov.br/centralvagas/exibirFoto.jpg?numProntuario=",$E229,"&amp;idImagem=3"),"FOTO 3")</f>
        <v>FOTO 3</v>
      </c>
      <c r="N229" s="199" t="str">
        <f>HYPERLINK(CONCATENATE("http://www.spr.depen.pr.gov.br/centralvagas/exibirFoto.jpg?numProntuario=",$E229,"&amp;idImagem=4"),"FOTO 4")</f>
        <v>FOTO 4</v>
      </c>
      <c r="O229" s="199" t="str">
        <f>HYPERLINK(CONCATENATE("http://www.spr.depen.pr.gov.br/centralvagas/exibirFoto.jpg?numProntuario=",$E229,"&amp;idImagem=5"),"FOTO 5")</f>
        <v>FOTO 5</v>
      </c>
      <c r="P229" s="199" t="str">
        <f>HYPERLINK(CONCATENATE("http://www.spr.depen.pr.gov.br/centralvagas/exibirFoto.jpg?numProntuario=",$E229,"&amp;idImagem=6"),"FOTO 6")</f>
        <v>FOTO 6</v>
      </c>
    </row>
    <row r="230" spans="1:16" ht="14.1" customHeight="1" thickTop="1" thickBot="1">
      <c r="A230" s="207"/>
      <c r="B230" s="147" t="s">
        <v>9</v>
      </c>
      <c r="C230" s="116" t="s">
        <v>2313</v>
      </c>
      <c r="D230" s="122" t="s">
        <v>2732</v>
      </c>
      <c r="E230" s="117">
        <v>103719</v>
      </c>
      <c r="F230" s="116"/>
      <c r="G230" s="119"/>
      <c r="H230" s="116"/>
      <c r="I230" s="119"/>
      <c r="J230" s="116"/>
      <c r="K230" s="199" t="str">
        <f>HYPERLINK(CONCATENATE("http://www.spr.depen.pr.gov.br/centralvagas/exibirFoto.jpg?numProntuario=",$E230,"&amp;idImagem=1"),"FOTO 1")</f>
        <v>FOTO 1</v>
      </c>
      <c r="L230" s="199" t="str">
        <f>HYPERLINK(CONCATENATE("http://www.spr.depen.pr.gov.br/centralvagas/exibirFoto.jpg?numProntuario=",$E230,"&amp;idImagem=2"),"FOTO 2")</f>
        <v>FOTO 2</v>
      </c>
      <c r="M230" s="199" t="str">
        <f>HYPERLINK(CONCATENATE("http://www.spr.depen.pr.gov.br/centralvagas/exibirFoto.jpg?numProntuario=",$E230,"&amp;idImagem=3"),"FOTO 3")</f>
        <v>FOTO 3</v>
      </c>
      <c r="N230" s="199" t="str">
        <f>HYPERLINK(CONCATENATE("http://www.spr.depen.pr.gov.br/centralvagas/exibirFoto.jpg?numProntuario=",$E230,"&amp;idImagem=4"),"FOTO 4")</f>
        <v>FOTO 4</v>
      </c>
      <c r="O230" s="199" t="str">
        <f>HYPERLINK(CONCATENATE("http://www.spr.depen.pr.gov.br/centralvagas/exibirFoto.jpg?numProntuario=",$E230,"&amp;idImagem=5"),"FOTO 5")</f>
        <v>FOTO 5</v>
      </c>
      <c r="P230" s="199" t="str">
        <f>HYPERLINK(CONCATENATE("http://www.spr.depen.pr.gov.br/centralvagas/exibirFoto.jpg?numProntuario=",$E230,"&amp;idImagem=6"),"FOTO 6")</f>
        <v>FOTO 6</v>
      </c>
    </row>
    <row r="231" spans="1:16" ht="14.1" customHeight="1" thickTop="1" thickBot="1">
      <c r="A231" s="331"/>
      <c r="B231" s="419"/>
      <c r="C231" s="116" t="s">
        <v>2313</v>
      </c>
      <c r="D231" s="122" t="s">
        <v>2729</v>
      </c>
      <c r="E231" s="117">
        <v>167248</v>
      </c>
      <c r="F231" s="116"/>
      <c r="G231" s="119"/>
      <c r="H231" s="116"/>
      <c r="I231" s="119"/>
      <c r="J231" s="132"/>
      <c r="K231" s="199" t="str">
        <f>HYPERLINK(CONCATENATE("http://www.spr.depen.pr.gov.br/centralvagas/exibirFoto.jpg?numProntuario=",$E231,"&amp;idImagem=1"),"FOTO 1")</f>
        <v>FOTO 1</v>
      </c>
      <c r="L231" s="199" t="str">
        <f>HYPERLINK(CONCATENATE("http://www.spr.depen.pr.gov.br/centralvagas/exibirFoto.jpg?numProntuario=",$E231,"&amp;idImagem=2"),"FOTO 2")</f>
        <v>FOTO 2</v>
      </c>
      <c r="M231" s="199" t="str">
        <f>HYPERLINK(CONCATENATE("http://www.spr.depen.pr.gov.br/centralvagas/exibirFoto.jpg?numProntuario=",$E231,"&amp;idImagem=3"),"FOTO 3")</f>
        <v>FOTO 3</v>
      </c>
      <c r="N231" s="199" t="str">
        <f>HYPERLINK(CONCATENATE("http://www.spr.depen.pr.gov.br/centralvagas/exibirFoto.jpg?numProntuario=",$E231,"&amp;idImagem=4"),"FOTO 4")</f>
        <v>FOTO 4</v>
      </c>
      <c r="O231" s="199" t="str">
        <f>HYPERLINK(CONCATENATE("http://www.spr.depen.pr.gov.br/centralvagas/exibirFoto.jpg?numProntuario=",$E231,"&amp;idImagem=5"),"FOTO 5")</f>
        <v>FOTO 5</v>
      </c>
      <c r="P231" s="199" t="str">
        <f>HYPERLINK(CONCATENATE("http://www.spr.depen.pr.gov.br/centralvagas/exibirFoto.jpg?numProntuario=",$E231,"&amp;idImagem=6"),"FOTO 6")</f>
        <v>FOTO 6</v>
      </c>
    </row>
    <row r="232" spans="1:16" ht="14.1" customHeight="1" thickTop="1" thickBot="1">
      <c r="A232" s="120"/>
      <c r="B232" s="147"/>
      <c r="C232" s="118" t="s">
        <v>2313</v>
      </c>
      <c r="D232" s="122" t="s">
        <v>3529</v>
      </c>
      <c r="E232" s="117">
        <v>167242</v>
      </c>
      <c r="F232" s="116"/>
      <c r="G232" s="119"/>
      <c r="H232" s="116"/>
      <c r="I232" s="119"/>
      <c r="J232" s="116"/>
      <c r="K232" s="199" t="str">
        <f>HYPERLINK(CONCATENATE("http://www.spr.depen.pr.gov.br/centralvagas/exibirFoto.jpg?numProntuario=",$E232,"&amp;idImagem=1"),"FOTO 1")</f>
        <v>FOTO 1</v>
      </c>
      <c r="L232" s="199" t="str">
        <f>HYPERLINK(CONCATENATE("http://www.spr.depen.pr.gov.br/centralvagas/exibirFoto.jpg?numProntuario=",$E232,"&amp;idImagem=2"),"FOTO 2")</f>
        <v>FOTO 2</v>
      </c>
      <c r="M232" s="199" t="str">
        <f>HYPERLINK(CONCATENATE("http://www.spr.depen.pr.gov.br/centralvagas/exibirFoto.jpg?numProntuario=",$E232,"&amp;idImagem=3"),"FOTO 3")</f>
        <v>FOTO 3</v>
      </c>
      <c r="N232" s="199" t="str">
        <f>HYPERLINK(CONCATENATE("http://www.spr.depen.pr.gov.br/centralvagas/exibirFoto.jpg?numProntuario=",$E232,"&amp;idImagem=4"),"FOTO 4")</f>
        <v>FOTO 4</v>
      </c>
      <c r="O232" s="199" t="str">
        <f>HYPERLINK(CONCATENATE("http://www.spr.depen.pr.gov.br/centralvagas/exibirFoto.jpg?numProntuario=",$E232,"&amp;idImagem=5"),"FOTO 5")</f>
        <v>FOTO 5</v>
      </c>
      <c r="P232" s="199" t="str">
        <f>HYPERLINK(CONCATENATE("http://www.spr.depen.pr.gov.br/centralvagas/exibirFoto.jpg?numProntuario=",$E232,"&amp;idImagem=6"),"FOTO 6")</f>
        <v>FOTO 6</v>
      </c>
    </row>
    <row r="233" spans="1:16" ht="14.1" customHeight="1" thickTop="1" thickBot="1">
      <c r="A233" s="120"/>
      <c r="B233" s="228"/>
      <c r="C233" s="116" t="s">
        <v>2313</v>
      </c>
      <c r="D233" s="122" t="s">
        <v>2730</v>
      </c>
      <c r="E233" s="117">
        <v>182297</v>
      </c>
      <c r="F233" s="116"/>
      <c r="G233" s="119"/>
      <c r="H233" s="116"/>
      <c r="I233" s="119"/>
      <c r="J233" s="116"/>
      <c r="K233" s="199" t="str">
        <f>HYPERLINK(CONCATENATE("http://www.spr.depen.pr.gov.br/centralvagas/exibirFoto.jpg?numProntuario=",$E233,"&amp;idImagem=1"),"FOTO 1")</f>
        <v>FOTO 1</v>
      </c>
      <c r="L233" s="199" t="str">
        <f>HYPERLINK(CONCATENATE("http://www.spr.depen.pr.gov.br/centralvagas/exibirFoto.jpg?numProntuario=",$E233,"&amp;idImagem=2"),"FOTO 2")</f>
        <v>FOTO 2</v>
      </c>
      <c r="M233" s="199" t="str">
        <f>HYPERLINK(CONCATENATE("http://www.spr.depen.pr.gov.br/centralvagas/exibirFoto.jpg?numProntuario=",$E233,"&amp;idImagem=3"),"FOTO 3")</f>
        <v>FOTO 3</v>
      </c>
      <c r="N233" s="199" t="str">
        <f>HYPERLINK(CONCATENATE("http://www.spr.depen.pr.gov.br/centralvagas/exibirFoto.jpg?numProntuario=",$E233,"&amp;idImagem=4"),"FOTO 4")</f>
        <v>FOTO 4</v>
      </c>
      <c r="O233" s="199" t="str">
        <f>HYPERLINK(CONCATENATE("http://www.spr.depen.pr.gov.br/centralvagas/exibirFoto.jpg?numProntuario=",$E233,"&amp;idImagem=5"),"FOTO 5")</f>
        <v>FOTO 5</v>
      </c>
      <c r="P233" s="199" t="str">
        <f>HYPERLINK(CONCATENATE("http://www.spr.depen.pr.gov.br/centralvagas/exibirFoto.jpg?numProntuario=",$E233,"&amp;idImagem=6"),"FOTO 6")</f>
        <v>FOTO 6</v>
      </c>
    </row>
    <row r="234" spans="1:16" ht="14.1" customHeight="1" thickTop="1" thickBot="1">
      <c r="A234" s="116"/>
      <c r="B234" s="322"/>
      <c r="C234" s="126" t="s">
        <v>2288</v>
      </c>
      <c r="D234" s="158" t="s">
        <v>2192</v>
      </c>
      <c r="E234" s="117">
        <v>153778</v>
      </c>
      <c r="F234" s="116"/>
      <c r="G234" s="119"/>
      <c r="H234" s="116"/>
      <c r="I234" s="119"/>
      <c r="J234" s="116"/>
      <c r="K234" s="199" t="str">
        <f>HYPERLINK(CONCATENATE("http://www.spr.depen.pr.gov.br/centralvagas/exibirFoto.jpg?numProntuario=",$E234,"&amp;idImagem=1"),"FOTO 1")</f>
        <v>FOTO 1</v>
      </c>
      <c r="L234" s="199" t="str">
        <f>HYPERLINK(CONCATENATE("http://www.spr.depen.pr.gov.br/centralvagas/exibirFoto.jpg?numProntuario=",$E234,"&amp;idImagem=2"),"FOTO 2")</f>
        <v>FOTO 2</v>
      </c>
      <c r="M234" s="199" t="str">
        <f>HYPERLINK(CONCATENATE("http://www.spr.depen.pr.gov.br/centralvagas/exibirFoto.jpg?numProntuario=",$E234,"&amp;idImagem=3"),"FOTO 3")</f>
        <v>FOTO 3</v>
      </c>
      <c r="N234" s="199" t="str">
        <f>HYPERLINK(CONCATENATE("http://www.spr.depen.pr.gov.br/centralvagas/exibirFoto.jpg?numProntuario=",$E234,"&amp;idImagem=4"),"FOTO 4")</f>
        <v>FOTO 4</v>
      </c>
      <c r="O234" s="199" t="str">
        <f>HYPERLINK(CONCATENATE("http://www.spr.depen.pr.gov.br/centralvagas/exibirFoto.jpg?numProntuario=",$E234,"&amp;idImagem=5"),"FOTO 5")</f>
        <v>FOTO 5</v>
      </c>
      <c r="P234" s="199" t="str">
        <f>HYPERLINK(CONCATENATE("http://www.spr.depen.pr.gov.br/centralvagas/exibirFoto.jpg?numProntuario=",$E234,"&amp;idImagem=6"),"FOTO 6")</f>
        <v>FOTO 6</v>
      </c>
    </row>
    <row r="235" spans="1:16" ht="14.1" customHeight="1" thickTop="1" thickBot="1">
      <c r="A235" s="123"/>
      <c r="B235" s="419"/>
      <c r="C235" s="217" t="s">
        <v>2288</v>
      </c>
      <c r="D235" s="421" t="s">
        <v>3462</v>
      </c>
      <c r="E235" s="117">
        <v>124951</v>
      </c>
      <c r="F235" s="116"/>
      <c r="G235" s="119"/>
      <c r="H235" s="116"/>
      <c r="I235" s="119"/>
      <c r="J235" s="116"/>
      <c r="K235" s="199" t="str">
        <f>HYPERLINK(CONCATENATE("http://www.spr.depen.pr.gov.br/centralvagas/exibirFoto.jpg?numProntuario=",$E235,"&amp;idImagem=1"),"FOTO 1")</f>
        <v>FOTO 1</v>
      </c>
      <c r="L235" s="199" t="str">
        <f>HYPERLINK(CONCATENATE("http://www.spr.depen.pr.gov.br/centralvagas/exibirFoto.jpg?numProntuario=",$E235,"&amp;idImagem=2"),"FOTO 2")</f>
        <v>FOTO 2</v>
      </c>
      <c r="M235" s="199" t="str">
        <f>HYPERLINK(CONCATENATE("http://www.spr.depen.pr.gov.br/centralvagas/exibirFoto.jpg?numProntuario=",$E235,"&amp;idImagem=3"),"FOTO 3")</f>
        <v>FOTO 3</v>
      </c>
      <c r="N235" s="199" t="str">
        <f>HYPERLINK(CONCATENATE("http://www.spr.depen.pr.gov.br/centralvagas/exibirFoto.jpg?numProntuario=",$E235,"&amp;idImagem=4"),"FOTO 4")</f>
        <v>FOTO 4</v>
      </c>
      <c r="O235" s="199" t="str">
        <f>HYPERLINK(CONCATENATE("http://www.spr.depen.pr.gov.br/centralvagas/exibirFoto.jpg?numProntuario=",$E235,"&amp;idImagem=5"),"FOTO 5")</f>
        <v>FOTO 5</v>
      </c>
      <c r="P235" s="199" t="str">
        <f>HYPERLINK(CONCATENATE("http://www.spr.depen.pr.gov.br/centralvagas/exibirFoto.jpg?numProntuario=",$E235,"&amp;idImagem=6"),"FOTO 6")</f>
        <v>FOTO 6</v>
      </c>
    </row>
    <row r="236" spans="1:16" ht="14.1" customHeight="1" thickTop="1" thickBot="1">
      <c r="A236" s="134"/>
      <c r="B236" s="419"/>
      <c r="C236" s="116" t="s">
        <v>2288</v>
      </c>
      <c r="D236" s="131" t="s">
        <v>2179</v>
      </c>
      <c r="E236" s="117">
        <v>141119</v>
      </c>
      <c r="F236" s="116"/>
      <c r="G236" s="119"/>
      <c r="H236" s="116"/>
      <c r="I236" s="119"/>
      <c r="J236" s="116"/>
      <c r="K236" s="199" t="str">
        <f>HYPERLINK(CONCATENATE("http://www.spr.depen.pr.gov.br/centralvagas/exibirFoto.jpg?numProntuario=",$E236,"&amp;idImagem=1"),"FOTO 1")</f>
        <v>FOTO 1</v>
      </c>
      <c r="L236" s="199" t="str">
        <f>HYPERLINK(CONCATENATE("http://www.spr.depen.pr.gov.br/centralvagas/exibirFoto.jpg?numProntuario=",$E236,"&amp;idImagem=2"),"FOTO 2")</f>
        <v>FOTO 2</v>
      </c>
      <c r="M236" s="199" t="str">
        <f>HYPERLINK(CONCATENATE("http://www.spr.depen.pr.gov.br/centralvagas/exibirFoto.jpg?numProntuario=",$E236,"&amp;idImagem=3"),"FOTO 3")</f>
        <v>FOTO 3</v>
      </c>
      <c r="N236" s="199" t="str">
        <f>HYPERLINK(CONCATENATE("http://www.spr.depen.pr.gov.br/centralvagas/exibirFoto.jpg?numProntuario=",$E236,"&amp;idImagem=4"),"FOTO 4")</f>
        <v>FOTO 4</v>
      </c>
      <c r="O236" s="199" t="str">
        <f>HYPERLINK(CONCATENATE("http://www.spr.depen.pr.gov.br/centralvagas/exibirFoto.jpg?numProntuario=",$E236,"&amp;idImagem=5"),"FOTO 5")</f>
        <v>FOTO 5</v>
      </c>
      <c r="P236" s="199" t="str">
        <f>HYPERLINK(CONCATENATE("http://www.spr.depen.pr.gov.br/centralvagas/exibirFoto.jpg?numProntuario=",$E236,"&amp;idImagem=6"),"FOTO 6")</f>
        <v>FOTO 6</v>
      </c>
    </row>
    <row r="237" spans="1:16" ht="14.1" customHeight="1" thickTop="1" thickBot="1">
      <c r="A237" s="207" t="s">
        <v>263</v>
      </c>
      <c r="B237" s="147">
        <v>44163</v>
      </c>
      <c r="C237" s="145" t="s">
        <v>2288</v>
      </c>
      <c r="D237" s="142" t="s">
        <v>2210</v>
      </c>
      <c r="E237" s="117">
        <v>142741</v>
      </c>
      <c r="F237" s="116"/>
      <c r="G237" s="119"/>
      <c r="H237" s="116"/>
      <c r="I237" s="119"/>
      <c r="J237" s="132"/>
      <c r="K237" s="199" t="str">
        <f>HYPERLINK(CONCATENATE("http://www.spr.depen.pr.gov.br/centralvagas/exibirFoto.jpg?numProntuario=",$E237,"&amp;idImagem=1"),"FOTO 1")</f>
        <v>FOTO 1</v>
      </c>
      <c r="L237" s="199" t="str">
        <f>HYPERLINK(CONCATENATE("http://www.spr.depen.pr.gov.br/centralvagas/exibirFoto.jpg?numProntuario=",$E237,"&amp;idImagem=2"),"FOTO 2")</f>
        <v>FOTO 2</v>
      </c>
      <c r="M237" s="199" t="str">
        <f>HYPERLINK(CONCATENATE("http://www.spr.depen.pr.gov.br/centralvagas/exibirFoto.jpg?numProntuario=",$E237,"&amp;idImagem=3"),"FOTO 3")</f>
        <v>FOTO 3</v>
      </c>
      <c r="N237" s="199" t="str">
        <f>HYPERLINK(CONCATENATE("http://www.spr.depen.pr.gov.br/centralvagas/exibirFoto.jpg?numProntuario=",$E237,"&amp;idImagem=4"),"FOTO 4")</f>
        <v>FOTO 4</v>
      </c>
      <c r="O237" s="199" t="str">
        <f>HYPERLINK(CONCATENATE("http://www.spr.depen.pr.gov.br/centralvagas/exibirFoto.jpg?numProntuario=",$E237,"&amp;idImagem=5"),"FOTO 5")</f>
        <v>FOTO 5</v>
      </c>
      <c r="P237" s="199" t="str">
        <f>HYPERLINK(CONCATENATE("http://www.spr.depen.pr.gov.br/centralvagas/exibirFoto.jpg?numProntuario=",$E237,"&amp;idImagem=6"),"FOTO 6")</f>
        <v>FOTO 6</v>
      </c>
    </row>
    <row r="238" spans="1:16" ht="14.1" customHeight="1" thickTop="1" thickBot="1">
      <c r="A238" s="207"/>
      <c r="B238" s="147"/>
      <c r="C238" s="118" t="s">
        <v>2288</v>
      </c>
      <c r="D238" s="131" t="s">
        <v>2230</v>
      </c>
      <c r="E238" s="117">
        <v>124939</v>
      </c>
      <c r="F238" s="145"/>
      <c r="G238" s="162"/>
      <c r="H238" s="145"/>
      <c r="I238" s="162"/>
      <c r="J238" s="145"/>
      <c r="K238" s="199" t="str">
        <f>HYPERLINK(CONCATENATE("http://www.spr.depen.pr.gov.br/centralvagas/exibirFoto.jpg?numProntuario=",$E238,"&amp;idImagem=1"),"FOTO 1")</f>
        <v>FOTO 1</v>
      </c>
      <c r="L238" s="199" t="str">
        <f>HYPERLINK(CONCATENATE("http://www.spr.depen.pr.gov.br/centralvagas/exibirFoto.jpg?numProntuario=",$E238,"&amp;idImagem=2"),"FOTO 2")</f>
        <v>FOTO 2</v>
      </c>
      <c r="M238" s="199" t="str">
        <f>HYPERLINK(CONCATENATE("http://www.spr.depen.pr.gov.br/centralvagas/exibirFoto.jpg?numProntuario=",$E238,"&amp;idImagem=3"),"FOTO 3")</f>
        <v>FOTO 3</v>
      </c>
      <c r="N238" s="199" t="str">
        <f>HYPERLINK(CONCATENATE("http://www.spr.depen.pr.gov.br/centralvagas/exibirFoto.jpg?numProntuario=",$E238,"&amp;idImagem=4"),"FOTO 4")</f>
        <v>FOTO 4</v>
      </c>
      <c r="O238" s="199" t="str">
        <f>HYPERLINK(CONCATENATE("http://www.spr.depen.pr.gov.br/centralvagas/exibirFoto.jpg?numProntuario=",$E238,"&amp;idImagem=5"),"FOTO 5")</f>
        <v>FOTO 5</v>
      </c>
      <c r="P238" s="199" t="str">
        <f>HYPERLINK(CONCATENATE("http://www.spr.depen.pr.gov.br/centralvagas/exibirFoto.jpg?numProntuario=",$E238,"&amp;idImagem=6"),"FOTO 6")</f>
        <v>FOTO 6</v>
      </c>
    </row>
    <row r="239" spans="1:16" ht="14.1" customHeight="1" thickTop="1" thickBot="1">
      <c r="A239" s="123"/>
      <c r="B239" s="438"/>
      <c r="C239" s="116" t="s">
        <v>2272</v>
      </c>
      <c r="D239" s="131" t="s">
        <v>2170</v>
      </c>
      <c r="E239" s="466">
        <v>147956</v>
      </c>
      <c r="F239" s="133"/>
      <c r="G239" s="119"/>
      <c r="H239" s="116"/>
      <c r="I239" s="119"/>
      <c r="J239" s="116"/>
      <c r="K239" s="199" t="str">
        <f>HYPERLINK(CONCATENATE("http://www.spr.depen.pr.gov.br/centralvagas/exibirFoto.jpg?numProntuario=",$E239,"&amp;idImagem=1"),"FOTO 1")</f>
        <v>FOTO 1</v>
      </c>
      <c r="L239" s="199" t="str">
        <f>HYPERLINK(CONCATENATE("http://www.spr.depen.pr.gov.br/centralvagas/exibirFoto.jpg?numProntuario=",$E239,"&amp;idImagem=2"),"FOTO 2")</f>
        <v>FOTO 2</v>
      </c>
      <c r="M239" s="199" t="str">
        <f>HYPERLINK(CONCATENATE("http://www.spr.depen.pr.gov.br/centralvagas/exibirFoto.jpg?numProntuario=",$E239,"&amp;idImagem=3"),"FOTO 3")</f>
        <v>FOTO 3</v>
      </c>
      <c r="N239" s="199" t="str">
        <f>HYPERLINK(CONCATENATE("http://www.spr.depen.pr.gov.br/centralvagas/exibirFoto.jpg?numProntuario=",$E239,"&amp;idImagem=4"),"FOTO 4")</f>
        <v>FOTO 4</v>
      </c>
      <c r="O239" s="199" t="str">
        <f>HYPERLINK(CONCATENATE("http://www.spr.depen.pr.gov.br/centralvagas/exibirFoto.jpg?numProntuario=",$E239,"&amp;idImagem=5"),"FOTO 5")</f>
        <v>FOTO 5</v>
      </c>
      <c r="P239" s="199" t="str">
        <f>HYPERLINK(CONCATENATE("http://www.spr.depen.pr.gov.br/centralvagas/exibirFoto.jpg?numProntuario=",$E239,"&amp;idImagem=6"),"FOTO 6")</f>
        <v>FOTO 6</v>
      </c>
    </row>
    <row r="240" spans="1:16" ht="14.1" customHeight="1" thickTop="1" thickBot="1">
      <c r="A240" s="160"/>
      <c r="B240" s="147"/>
      <c r="C240" s="116" t="s">
        <v>2272</v>
      </c>
      <c r="D240" s="260" t="s">
        <v>1576</v>
      </c>
      <c r="E240" s="466">
        <v>142698</v>
      </c>
      <c r="F240" s="132"/>
      <c r="G240" s="119"/>
      <c r="H240" s="116"/>
      <c r="I240" s="119"/>
      <c r="J240" s="116"/>
      <c r="K240" s="199" t="str">
        <f>HYPERLINK(CONCATENATE("http://www.spr.depen.pr.gov.br/centralvagas/exibirFoto.jpg?numProntuario=",$E240,"&amp;idImagem=1"),"FOTO 1")</f>
        <v>FOTO 1</v>
      </c>
      <c r="L240" s="199" t="str">
        <f>HYPERLINK(CONCATENATE("http://www.spr.depen.pr.gov.br/centralvagas/exibirFoto.jpg?numProntuario=",$E240,"&amp;idImagem=2"),"FOTO 2")</f>
        <v>FOTO 2</v>
      </c>
      <c r="M240" s="199" t="str">
        <f>HYPERLINK(CONCATENATE("http://www.spr.depen.pr.gov.br/centralvagas/exibirFoto.jpg?numProntuario=",$E240,"&amp;idImagem=3"),"FOTO 3")</f>
        <v>FOTO 3</v>
      </c>
      <c r="N240" s="199" t="str">
        <f>HYPERLINK(CONCATENATE("http://www.spr.depen.pr.gov.br/centralvagas/exibirFoto.jpg?numProntuario=",$E240,"&amp;idImagem=4"),"FOTO 4")</f>
        <v>FOTO 4</v>
      </c>
      <c r="O240" s="199" t="str">
        <f>HYPERLINK(CONCATENATE("http://www.spr.depen.pr.gov.br/centralvagas/exibirFoto.jpg?numProntuario=",$E240,"&amp;idImagem=5"),"FOTO 5")</f>
        <v>FOTO 5</v>
      </c>
      <c r="P240" s="199" t="str">
        <f>HYPERLINK(CONCATENATE("http://www.spr.depen.pr.gov.br/centralvagas/exibirFoto.jpg?numProntuario=",$E240,"&amp;idImagem=6"),"FOTO 6")</f>
        <v>FOTO 6</v>
      </c>
    </row>
    <row r="241" spans="1:19" ht="14.1" customHeight="1" thickTop="1" thickBot="1">
      <c r="A241" s="120"/>
      <c r="B241" s="228"/>
      <c r="C241" s="116" t="s">
        <v>2272</v>
      </c>
      <c r="D241" s="129" t="s">
        <v>3375</v>
      </c>
      <c r="E241" s="117">
        <v>101160</v>
      </c>
      <c r="F241" s="116"/>
      <c r="G241" s="119"/>
      <c r="H241" s="116"/>
      <c r="I241" s="119"/>
      <c r="J241" s="116"/>
      <c r="K241" s="199" t="str">
        <f>HYPERLINK(CONCATENATE("http://www.spr.depen.pr.gov.br/centralvagas/exibirFoto.jpg?numProntuario=",$E241,"&amp;idImagem=1"),"FOTO 1")</f>
        <v>FOTO 1</v>
      </c>
      <c r="L241" s="199" t="str">
        <f>HYPERLINK(CONCATENATE("http://www.spr.depen.pr.gov.br/centralvagas/exibirFoto.jpg?numProntuario=",$E241,"&amp;idImagem=2"),"FOTO 2")</f>
        <v>FOTO 2</v>
      </c>
      <c r="M241" s="199" t="str">
        <f>HYPERLINK(CONCATENATE("http://www.spr.depen.pr.gov.br/centralvagas/exibirFoto.jpg?numProntuario=",$E241,"&amp;idImagem=3"),"FOTO 3")</f>
        <v>FOTO 3</v>
      </c>
      <c r="N241" s="199" t="str">
        <f>HYPERLINK(CONCATENATE("http://www.spr.depen.pr.gov.br/centralvagas/exibirFoto.jpg?numProntuario=",$E241,"&amp;idImagem=4"),"FOTO 4")</f>
        <v>FOTO 4</v>
      </c>
      <c r="O241" s="199" t="str">
        <f>HYPERLINK(CONCATENATE("http://www.spr.depen.pr.gov.br/centralvagas/exibirFoto.jpg?numProntuario=",$E241,"&amp;idImagem=5"),"FOTO 5")</f>
        <v>FOTO 5</v>
      </c>
      <c r="P241" s="199" t="str">
        <f>HYPERLINK(CONCATENATE("http://www.spr.depen.pr.gov.br/centralvagas/exibirFoto.jpg?numProntuario=",$E241,"&amp;idImagem=6"),"FOTO 6")</f>
        <v>FOTO 6</v>
      </c>
    </row>
    <row r="242" spans="1:19" ht="14.1" customHeight="1" thickTop="1" thickBot="1">
      <c r="A242" s="123"/>
      <c r="B242" s="323"/>
      <c r="C242" s="118" t="s">
        <v>2272</v>
      </c>
      <c r="D242" s="122" t="s">
        <v>3409</v>
      </c>
      <c r="E242" s="117">
        <v>130101</v>
      </c>
      <c r="F242" s="116"/>
      <c r="G242" s="119"/>
      <c r="H242" s="116"/>
      <c r="I242" s="119"/>
      <c r="J242" s="116"/>
      <c r="K242" s="199" t="str">
        <f>HYPERLINK(CONCATENATE("http://www.spr.depen.pr.gov.br/centralvagas/exibirFoto.jpg?numProntuario=",$E242,"&amp;idImagem=1"),"FOTO 1")</f>
        <v>FOTO 1</v>
      </c>
      <c r="L242" s="199" t="str">
        <f>HYPERLINK(CONCATENATE("http://www.spr.depen.pr.gov.br/centralvagas/exibirFoto.jpg?numProntuario=",$E242,"&amp;idImagem=2"),"FOTO 2")</f>
        <v>FOTO 2</v>
      </c>
      <c r="M242" s="199" t="str">
        <f>HYPERLINK(CONCATENATE("http://www.spr.depen.pr.gov.br/centralvagas/exibirFoto.jpg?numProntuario=",$E242,"&amp;idImagem=3"),"FOTO 3")</f>
        <v>FOTO 3</v>
      </c>
      <c r="N242" s="199" t="str">
        <f>HYPERLINK(CONCATENATE("http://www.spr.depen.pr.gov.br/centralvagas/exibirFoto.jpg?numProntuario=",$E242,"&amp;idImagem=4"),"FOTO 4")</f>
        <v>FOTO 4</v>
      </c>
      <c r="O242" s="199" t="str">
        <f>HYPERLINK(CONCATENATE("http://www.spr.depen.pr.gov.br/centralvagas/exibirFoto.jpg?numProntuario=",$E242,"&amp;idImagem=5"),"FOTO 5")</f>
        <v>FOTO 5</v>
      </c>
      <c r="P242" s="199" t="str">
        <f>HYPERLINK(CONCATENATE("http://www.spr.depen.pr.gov.br/centralvagas/exibirFoto.jpg?numProntuario=",$E242,"&amp;idImagem=6"),"FOTO 6")</f>
        <v>FOTO 6</v>
      </c>
    </row>
    <row r="243" spans="1:19" ht="14.1" customHeight="1" thickTop="1" thickBot="1">
      <c r="A243" s="123"/>
      <c r="B243" s="254"/>
      <c r="C243" s="116" t="s">
        <v>2272</v>
      </c>
      <c r="D243" s="131" t="s">
        <v>2056</v>
      </c>
      <c r="E243" s="117">
        <v>142881</v>
      </c>
      <c r="F243" s="116"/>
      <c r="G243" s="119"/>
      <c r="H243" s="116"/>
      <c r="I243" s="119"/>
      <c r="J243" s="116"/>
      <c r="K243" s="199" t="str">
        <f>HYPERLINK(CONCATENATE("http://www.spr.depen.pr.gov.br/centralvagas/exibirFoto.jpg?numProntuario=",$E243,"&amp;idImagem=1"),"FOTO 1")</f>
        <v>FOTO 1</v>
      </c>
      <c r="L243" s="199" t="str">
        <f>HYPERLINK(CONCATENATE("http://www.spr.depen.pr.gov.br/centralvagas/exibirFoto.jpg?numProntuario=",$E243,"&amp;idImagem=2"),"FOTO 2")</f>
        <v>FOTO 2</v>
      </c>
      <c r="M243" s="199" t="str">
        <f>HYPERLINK(CONCATENATE("http://www.spr.depen.pr.gov.br/centralvagas/exibirFoto.jpg?numProntuario=",$E243,"&amp;idImagem=3"),"FOTO 3")</f>
        <v>FOTO 3</v>
      </c>
      <c r="N243" s="199" t="str">
        <f>HYPERLINK(CONCATENATE("http://www.spr.depen.pr.gov.br/centralvagas/exibirFoto.jpg?numProntuario=",$E243,"&amp;idImagem=4"),"FOTO 4")</f>
        <v>FOTO 4</v>
      </c>
      <c r="O243" s="199" t="str">
        <f>HYPERLINK(CONCATENATE("http://www.spr.depen.pr.gov.br/centralvagas/exibirFoto.jpg?numProntuario=",$E243,"&amp;idImagem=5"),"FOTO 5")</f>
        <v>FOTO 5</v>
      </c>
      <c r="P243" s="199" t="str">
        <f>HYPERLINK(CONCATENATE("http://www.spr.depen.pr.gov.br/centralvagas/exibirFoto.jpg?numProntuario=",$E243,"&amp;idImagem=6"),"FOTO 6")</f>
        <v>FOTO 6</v>
      </c>
    </row>
    <row r="244" spans="1:19" ht="14.1" customHeight="1" thickTop="1" thickBot="1">
      <c r="A244" s="329"/>
      <c r="B244" s="245"/>
      <c r="C244" s="116" t="s">
        <v>2348</v>
      </c>
      <c r="D244" s="131" t="s">
        <v>2855</v>
      </c>
      <c r="E244" s="117">
        <v>130487</v>
      </c>
      <c r="F244" s="116"/>
      <c r="G244" s="119"/>
      <c r="H244" s="116"/>
      <c r="I244" s="119"/>
      <c r="J244" s="116"/>
      <c r="K244" s="199" t="str">
        <f>HYPERLINK(CONCATENATE("http://www.spr.depen.pr.gov.br/centralvagas/exibirFoto.jpg?numProntuario=",$E244,"&amp;idImagem=1"),"FOTO 1")</f>
        <v>FOTO 1</v>
      </c>
      <c r="L244" s="199" t="str">
        <f>HYPERLINK(CONCATENATE("http://www.spr.depen.pr.gov.br/centralvagas/exibirFoto.jpg?numProntuario=",$E244,"&amp;idImagem=2"),"FOTO 2")</f>
        <v>FOTO 2</v>
      </c>
      <c r="M244" s="199" t="str">
        <f>HYPERLINK(CONCATENATE("http://www.spr.depen.pr.gov.br/centralvagas/exibirFoto.jpg?numProntuario=",$E244,"&amp;idImagem=3"),"FOTO 3")</f>
        <v>FOTO 3</v>
      </c>
      <c r="N244" s="199" t="str">
        <f>HYPERLINK(CONCATENATE("http://www.spr.depen.pr.gov.br/centralvagas/exibirFoto.jpg?numProntuario=",$E244,"&amp;idImagem=4"),"FOTO 4")</f>
        <v>FOTO 4</v>
      </c>
      <c r="O244" s="199" t="str">
        <f>HYPERLINK(CONCATENATE("http://www.spr.depen.pr.gov.br/centralvagas/exibirFoto.jpg?numProntuario=",$E244,"&amp;idImagem=5"),"FOTO 5")</f>
        <v>FOTO 5</v>
      </c>
      <c r="P244" s="199" t="str">
        <f>HYPERLINK(CONCATENATE("http://www.spr.depen.pr.gov.br/centralvagas/exibirFoto.jpg?numProntuario=",$E244,"&amp;idImagem=6"),"FOTO 6")</f>
        <v>FOTO 6</v>
      </c>
    </row>
    <row r="245" spans="1:19" ht="14.1" customHeight="1" thickTop="1" thickBot="1">
      <c r="A245" s="372"/>
      <c r="B245" s="143"/>
      <c r="C245" s="116" t="s">
        <v>2348</v>
      </c>
      <c r="D245" s="130" t="s">
        <v>3604</v>
      </c>
      <c r="E245" s="117">
        <v>122611</v>
      </c>
      <c r="F245" s="116"/>
      <c r="G245" s="119"/>
      <c r="H245" s="116"/>
      <c r="I245" s="119"/>
      <c r="J245" s="132"/>
      <c r="K245" s="199" t="str">
        <f>HYPERLINK(CONCATENATE("http://www.spr.depen.pr.gov.br/centralvagas/exibirFoto.jpg?numProntuario=",$E245,"&amp;idImagem=1"),"FOTO 1")</f>
        <v>FOTO 1</v>
      </c>
      <c r="L245" s="199" t="str">
        <f>HYPERLINK(CONCATENATE("http://www.spr.depen.pr.gov.br/centralvagas/exibirFoto.jpg?numProntuario=",$E245,"&amp;idImagem=2"),"FOTO 2")</f>
        <v>FOTO 2</v>
      </c>
      <c r="M245" s="199" t="str">
        <f>HYPERLINK(CONCATENATE("http://www.spr.depen.pr.gov.br/centralvagas/exibirFoto.jpg?numProntuario=",$E245,"&amp;idImagem=3"),"FOTO 3")</f>
        <v>FOTO 3</v>
      </c>
      <c r="N245" s="199" t="str">
        <f>HYPERLINK(CONCATENATE("http://www.spr.depen.pr.gov.br/centralvagas/exibirFoto.jpg?numProntuario=",$E245,"&amp;idImagem=4"),"FOTO 4")</f>
        <v>FOTO 4</v>
      </c>
      <c r="O245" s="199" t="str">
        <f>HYPERLINK(CONCATENATE("http://www.spr.depen.pr.gov.br/centralvagas/exibirFoto.jpg?numProntuario=",$E245,"&amp;idImagem=5"),"FOTO 5")</f>
        <v>FOTO 5</v>
      </c>
      <c r="P245" s="199" t="str">
        <f>HYPERLINK(CONCATENATE("http://www.spr.depen.pr.gov.br/centralvagas/exibirFoto.jpg?numProntuario=",$E245,"&amp;idImagem=6"),"FOTO 6")</f>
        <v>FOTO 6</v>
      </c>
    </row>
    <row r="246" spans="1:19" ht="14.1" customHeight="1" thickTop="1" thickBot="1">
      <c r="A246" s="372"/>
      <c r="B246" s="147"/>
      <c r="C246" s="116" t="s">
        <v>2348</v>
      </c>
      <c r="D246" s="131" t="s">
        <v>2853</v>
      </c>
      <c r="E246" s="116">
        <v>388933</v>
      </c>
      <c r="F246" s="145"/>
      <c r="G246" s="119"/>
      <c r="H246" s="116"/>
      <c r="I246" s="162"/>
      <c r="J246" s="116"/>
      <c r="K246" s="199" t="str">
        <f>HYPERLINK(CONCATENATE("http://www.spr.depen.pr.gov.br/centralvagas/exibirFoto.jpg?numProntuario=",$E246,"&amp;idImagem=1"),"FOTO 1")</f>
        <v>FOTO 1</v>
      </c>
      <c r="L246" s="199" t="str">
        <f>HYPERLINK(CONCATENATE("http://www.spr.depen.pr.gov.br/centralvagas/exibirFoto.jpg?numProntuario=",$E246,"&amp;idImagem=2"),"FOTO 2")</f>
        <v>FOTO 2</v>
      </c>
      <c r="M246" s="199" t="str">
        <f>HYPERLINK(CONCATENATE("http://www.spr.depen.pr.gov.br/centralvagas/exibirFoto.jpg?numProntuario=",$E246,"&amp;idImagem=3"),"FOTO 3")</f>
        <v>FOTO 3</v>
      </c>
      <c r="N246" s="199" t="str">
        <f>HYPERLINK(CONCATENATE("http://www.spr.depen.pr.gov.br/centralvagas/exibirFoto.jpg?numProntuario=",$E246,"&amp;idImagem=4"),"FOTO 4")</f>
        <v>FOTO 4</v>
      </c>
      <c r="O246" s="199" t="str">
        <f>HYPERLINK(CONCATENATE("http://www.spr.depen.pr.gov.br/centralvagas/exibirFoto.jpg?numProntuario=",$E246,"&amp;idImagem=5"),"FOTO 5")</f>
        <v>FOTO 5</v>
      </c>
      <c r="P246" s="199" t="str">
        <f>HYPERLINK(CONCATENATE("http://www.spr.depen.pr.gov.br/centralvagas/exibirFoto.jpg?numProntuario=",$E246,"&amp;idImagem=6"),"FOTO 6")</f>
        <v>FOTO 6</v>
      </c>
    </row>
    <row r="247" spans="1:19" ht="14.1" customHeight="1" thickTop="1" thickBot="1">
      <c r="A247" s="372"/>
      <c r="B247" s="143"/>
      <c r="C247" s="116" t="s">
        <v>2348</v>
      </c>
      <c r="D247" s="131" t="s">
        <v>3406</v>
      </c>
      <c r="E247" s="117">
        <v>184257</v>
      </c>
      <c r="F247" s="116"/>
      <c r="G247" s="119"/>
      <c r="H247" s="116"/>
      <c r="I247" s="119"/>
      <c r="J247" s="132"/>
      <c r="K247" s="199" t="str">
        <f>HYPERLINK(CONCATENATE("http://www.spr.depen.pr.gov.br/centralvagas/exibirFoto.jpg?numProntuario=",$E247,"&amp;idImagem=1"),"FOTO 1")</f>
        <v>FOTO 1</v>
      </c>
      <c r="L247" s="199" t="str">
        <f>HYPERLINK(CONCATENATE("http://www.spr.depen.pr.gov.br/centralvagas/exibirFoto.jpg?numProntuario=",$E247,"&amp;idImagem=2"),"FOTO 2")</f>
        <v>FOTO 2</v>
      </c>
      <c r="M247" s="199" t="str">
        <f>HYPERLINK(CONCATENATE("http://www.spr.depen.pr.gov.br/centralvagas/exibirFoto.jpg?numProntuario=",$E247,"&amp;idImagem=3"),"FOTO 3")</f>
        <v>FOTO 3</v>
      </c>
      <c r="N247" s="199" t="str">
        <f>HYPERLINK(CONCATENATE("http://www.spr.depen.pr.gov.br/centralvagas/exibirFoto.jpg?numProntuario=",$E247,"&amp;idImagem=4"),"FOTO 4")</f>
        <v>FOTO 4</v>
      </c>
      <c r="O247" s="199" t="str">
        <f>HYPERLINK(CONCATENATE("http://www.spr.depen.pr.gov.br/centralvagas/exibirFoto.jpg?numProntuario=",$E247,"&amp;idImagem=5"),"FOTO 5")</f>
        <v>FOTO 5</v>
      </c>
      <c r="P247" s="199" t="str">
        <f>HYPERLINK(CONCATENATE("http://www.spr.depen.pr.gov.br/centralvagas/exibirFoto.jpg?numProntuario=",$E247,"&amp;idImagem=6"),"FOTO 6")</f>
        <v>FOTO 6</v>
      </c>
    </row>
    <row r="248" spans="1:19" ht="14.1" customHeight="1" thickTop="1" thickBot="1">
      <c r="A248" s="363"/>
      <c r="B248" s="364"/>
      <c r="C248" s="118" t="s">
        <v>2348</v>
      </c>
      <c r="D248" s="122" t="s">
        <v>3410</v>
      </c>
      <c r="E248" s="466">
        <v>159385</v>
      </c>
      <c r="F248" s="133"/>
      <c r="G248" s="119"/>
      <c r="H248" s="116"/>
      <c r="I248" s="119"/>
      <c r="J248" s="116"/>
      <c r="K248" s="199" t="str">
        <f>HYPERLINK(CONCATENATE("http://www.spr.depen.pr.gov.br/centralvagas/exibirFoto.jpg?numProntuario=",$E248,"&amp;idImagem=1"),"FOTO 1")</f>
        <v>FOTO 1</v>
      </c>
      <c r="L248" s="199" t="str">
        <f>HYPERLINK(CONCATENATE("http://www.spr.depen.pr.gov.br/centralvagas/exibirFoto.jpg?numProntuario=",$E248,"&amp;idImagem=2"),"FOTO 2")</f>
        <v>FOTO 2</v>
      </c>
      <c r="M248" s="199" t="str">
        <f>HYPERLINK(CONCATENATE("http://www.spr.depen.pr.gov.br/centralvagas/exibirFoto.jpg?numProntuario=",$E248,"&amp;idImagem=3"),"FOTO 3")</f>
        <v>FOTO 3</v>
      </c>
      <c r="N248" s="199" t="str">
        <f>HYPERLINK(CONCATENATE("http://www.spr.depen.pr.gov.br/centralvagas/exibirFoto.jpg?numProntuario=",$E248,"&amp;idImagem=4"),"FOTO 4")</f>
        <v>FOTO 4</v>
      </c>
      <c r="O248" s="199" t="str">
        <f>HYPERLINK(CONCATENATE("http://www.spr.depen.pr.gov.br/centralvagas/exibirFoto.jpg?numProntuario=",$E248,"&amp;idImagem=5"),"FOTO 5")</f>
        <v>FOTO 5</v>
      </c>
      <c r="P248" s="199" t="str">
        <f>HYPERLINK(CONCATENATE("http://www.spr.depen.pr.gov.br/centralvagas/exibirFoto.jpg?numProntuario=",$E248,"&amp;idImagem=6"),"FOTO 6")</f>
        <v>FOTO 6</v>
      </c>
    </row>
    <row r="249" spans="1:19" ht="14.1" customHeight="1" thickTop="1" thickBot="1">
      <c r="A249" s="207" t="s">
        <v>3735</v>
      </c>
      <c r="B249" s="147">
        <v>44163</v>
      </c>
      <c r="C249" s="646" t="s">
        <v>2305</v>
      </c>
      <c r="D249" s="647" t="s">
        <v>3734</v>
      </c>
      <c r="E249" s="117">
        <v>129089</v>
      </c>
      <c r="F249" s="116"/>
      <c r="G249" s="119"/>
      <c r="H249" s="116"/>
      <c r="I249" s="119"/>
      <c r="J249" s="116"/>
      <c r="K249" s="199" t="str">
        <f>HYPERLINK(CONCATENATE("http://www.spr.depen.pr.gov.br/centralvagas/exibirFoto.jpg?numProntuario=",$E249,"&amp;idImagem=1"),"FOTO 1")</f>
        <v>FOTO 1</v>
      </c>
      <c r="L249" s="199" t="str">
        <f>HYPERLINK(CONCATENATE("http://www.spr.depen.pr.gov.br/centralvagas/exibirFoto.jpg?numProntuario=",$E249,"&amp;idImagem=2"),"FOTO 2")</f>
        <v>FOTO 2</v>
      </c>
      <c r="M249" s="199" t="str">
        <f>HYPERLINK(CONCATENATE("http://www.spr.depen.pr.gov.br/centralvagas/exibirFoto.jpg?numProntuario=",$E249,"&amp;idImagem=3"),"FOTO 3")</f>
        <v>FOTO 3</v>
      </c>
      <c r="N249" s="199" t="str">
        <f>HYPERLINK(CONCATENATE("http://www.spr.depen.pr.gov.br/centralvagas/exibirFoto.jpg?numProntuario=",$E249,"&amp;idImagem=4"),"FOTO 4")</f>
        <v>FOTO 4</v>
      </c>
      <c r="O249" s="199" t="str">
        <f>HYPERLINK(CONCATENATE("http://www.spr.depen.pr.gov.br/centralvagas/exibirFoto.jpg?numProntuario=",$E249,"&amp;idImagem=5"),"FOTO 5")</f>
        <v>FOTO 5</v>
      </c>
      <c r="P249" s="199" t="str">
        <f>HYPERLINK(CONCATENATE("http://www.spr.depen.pr.gov.br/centralvagas/exibirFoto.jpg?numProntuario=",$E249,"&amp;idImagem=6"),"FOTO 6")</f>
        <v>FOTO 6</v>
      </c>
    </row>
    <row r="250" spans="1:19" ht="14.1" customHeight="1" thickTop="1" thickBot="1">
      <c r="A250" s="207" t="s">
        <v>3735</v>
      </c>
      <c r="B250" s="147" t="s">
        <v>3733</v>
      </c>
      <c r="C250" s="646" t="s">
        <v>2305</v>
      </c>
      <c r="D250" s="647" t="s">
        <v>404</v>
      </c>
      <c r="E250" s="117">
        <v>103917</v>
      </c>
      <c r="F250" s="145"/>
      <c r="G250" s="162"/>
      <c r="H250" s="116"/>
      <c r="I250" s="119"/>
      <c r="J250" s="116"/>
      <c r="K250" s="199" t="str">
        <f>HYPERLINK(CONCATENATE("http://www.spr.depen.pr.gov.br/centralvagas/exibirFoto.jpg?numProntuario=",$E250,"&amp;idImagem=1"),"FOTO 1")</f>
        <v>FOTO 1</v>
      </c>
      <c r="L250" s="199" t="str">
        <f>HYPERLINK(CONCATENATE("http://www.spr.depen.pr.gov.br/centralvagas/exibirFoto.jpg?numProntuario=",$E250,"&amp;idImagem=2"),"FOTO 2")</f>
        <v>FOTO 2</v>
      </c>
      <c r="M250" s="199" t="str">
        <f>HYPERLINK(CONCATENATE("http://www.spr.depen.pr.gov.br/centralvagas/exibirFoto.jpg?numProntuario=",$E250,"&amp;idImagem=3"),"FOTO 3")</f>
        <v>FOTO 3</v>
      </c>
      <c r="N250" s="199" t="str">
        <f>HYPERLINK(CONCATENATE("http://www.spr.depen.pr.gov.br/centralvagas/exibirFoto.jpg?numProntuario=",$E250,"&amp;idImagem=4"),"FOTO 4")</f>
        <v>FOTO 4</v>
      </c>
      <c r="O250" s="199" t="str">
        <f>HYPERLINK(CONCATENATE("http://www.spr.depen.pr.gov.br/centralvagas/exibirFoto.jpg?numProntuario=",$E250,"&amp;idImagem=5"),"FOTO 5")</f>
        <v>FOTO 5</v>
      </c>
      <c r="P250" s="199" t="str">
        <f>HYPERLINK(CONCATENATE("http://www.spr.depen.pr.gov.br/centralvagas/exibirFoto.jpg?numProntuario=",$E250,"&amp;idImagem=6"),"FOTO 6")</f>
        <v>FOTO 6</v>
      </c>
      <c r="S250" s="35" t="s">
        <v>9</v>
      </c>
    </row>
    <row r="251" spans="1:19" ht="14.1" customHeight="1" thickTop="1" thickBot="1">
      <c r="A251" s="120"/>
      <c r="B251" s="245"/>
      <c r="C251" s="125" t="s">
        <v>2305</v>
      </c>
      <c r="D251" s="129" t="s">
        <v>2869</v>
      </c>
      <c r="E251" s="117">
        <v>84519</v>
      </c>
      <c r="F251" s="116"/>
      <c r="G251" s="119"/>
      <c r="H251" s="116"/>
      <c r="I251" s="119"/>
      <c r="J251" s="116"/>
      <c r="K251" s="199" t="str">
        <f>HYPERLINK(CONCATENATE("http://www.spr.depen.pr.gov.br/centralvagas/exibirFoto.jpg?numProntuario=",$E251,"&amp;idImagem=1"),"FOTO 1")</f>
        <v>FOTO 1</v>
      </c>
      <c r="L251" s="199" t="str">
        <f>HYPERLINK(CONCATENATE("http://www.spr.depen.pr.gov.br/centralvagas/exibirFoto.jpg?numProntuario=",$E251,"&amp;idImagem=2"),"FOTO 2")</f>
        <v>FOTO 2</v>
      </c>
      <c r="M251" s="199" t="str">
        <f>HYPERLINK(CONCATENATE("http://www.spr.depen.pr.gov.br/centralvagas/exibirFoto.jpg?numProntuario=",$E251,"&amp;idImagem=3"),"FOTO 3")</f>
        <v>FOTO 3</v>
      </c>
      <c r="N251" s="199" t="str">
        <f>HYPERLINK(CONCATENATE("http://www.spr.depen.pr.gov.br/centralvagas/exibirFoto.jpg?numProntuario=",$E251,"&amp;idImagem=4"),"FOTO 4")</f>
        <v>FOTO 4</v>
      </c>
      <c r="O251" s="199" t="str">
        <f>HYPERLINK(CONCATENATE("http://www.spr.depen.pr.gov.br/centralvagas/exibirFoto.jpg?numProntuario=",$E251,"&amp;idImagem=5"),"FOTO 5")</f>
        <v>FOTO 5</v>
      </c>
      <c r="P251" s="199" t="str">
        <f>HYPERLINK(CONCATENATE("http://www.spr.depen.pr.gov.br/centralvagas/exibirFoto.jpg?numProntuario=",$E251,"&amp;idImagem=6"),"FOTO 6")</f>
        <v>FOTO 6</v>
      </c>
    </row>
    <row r="252" spans="1:19" ht="14.1" customHeight="1" thickTop="1" thickBot="1">
      <c r="A252" s="123"/>
      <c r="B252" s="147"/>
      <c r="C252" s="116" t="s">
        <v>2305</v>
      </c>
      <c r="D252" s="122" t="s">
        <v>2099</v>
      </c>
      <c r="E252" s="117">
        <v>185195</v>
      </c>
      <c r="F252" s="116"/>
      <c r="G252" s="119"/>
      <c r="H252" s="116"/>
      <c r="I252" s="119"/>
      <c r="J252" s="116"/>
      <c r="K252" s="199" t="str">
        <f>HYPERLINK(CONCATENATE("http://www.spr.depen.pr.gov.br/centralvagas/exibirFoto.jpg?numProntuario=",$E252,"&amp;idImagem=1"),"FOTO 1")</f>
        <v>FOTO 1</v>
      </c>
      <c r="L252" s="199" t="str">
        <f>HYPERLINK(CONCATENATE("http://www.spr.depen.pr.gov.br/centralvagas/exibirFoto.jpg?numProntuario=",$E252,"&amp;idImagem=2"),"FOTO 2")</f>
        <v>FOTO 2</v>
      </c>
      <c r="M252" s="199" t="str">
        <f>HYPERLINK(CONCATENATE("http://www.spr.depen.pr.gov.br/centralvagas/exibirFoto.jpg?numProntuario=",$E252,"&amp;idImagem=3"),"FOTO 3")</f>
        <v>FOTO 3</v>
      </c>
      <c r="N252" s="199" t="str">
        <f>HYPERLINK(CONCATENATE("http://www.spr.depen.pr.gov.br/centralvagas/exibirFoto.jpg?numProntuario=",$E252,"&amp;idImagem=4"),"FOTO 4")</f>
        <v>FOTO 4</v>
      </c>
      <c r="O252" s="199" t="str">
        <f>HYPERLINK(CONCATENATE("http://www.spr.depen.pr.gov.br/centralvagas/exibirFoto.jpg?numProntuario=",$E252,"&amp;idImagem=5"),"FOTO 5")</f>
        <v>FOTO 5</v>
      </c>
      <c r="P252" s="199" t="str">
        <f>HYPERLINK(CONCATENATE("http://www.spr.depen.pr.gov.br/centralvagas/exibirFoto.jpg?numProntuario=",$E252,"&amp;idImagem=6"),"FOTO 6")</f>
        <v>FOTO 6</v>
      </c>
    </row>
    <row r="253" spans="1:19" ht="14.1" customHeight="1" thickTop="1" thickBot="1">
      <c r="A253" s="123"/>
      <c r="B253" s="147"/>
      <c r="C253" s="116" t="s">
        <v>2305</v>
      </c>
      <c r="D253" s="131" t="s">
        <v>3526</v>
      </c>
      <c r="E253" s="117">
        <v>137494</v>
      </c>
      <c r="F253" s="116"/>
      <c r="G253" s="119"/>
      <c r="H253" s="116"/>
      <c r="I253" s="119"/>
      <c r="J253" s="132"/>
      <c r="K253" s="199" t="str">
        <f>HYPERLINK(CONCATENATE("http://www.spr.depen.pr.gov.br/centralvagas/exibirFoto.jpg?numProntuario=",$E253,"&amp;idImagem=1"),"FOTO 1")</f>
        <v>FOTO 1</v>
      </c>
      <c r="L253" s="199" t="str">
        <f>HYPERLINK(CONCATENATE("http://www.spr.depen.pr.gov.br/centralvagas/exibirFoto.jpg?numProntuario=",$E253,"&amp;idImagem=2"),"FOTO 2")</f>
        <v>FOTO 2</v>
      </c>
      <c r="M253" s="199" t="str">
        <f>HYPERLINK(CONCATENATE("http://www.spr.depen.pr.gov.br/centralvagas/exibirFoto.jpg?numProntuario=",$E253,"&amp;idImagem=3"),"FOTO 3")</f>
        <v>FOTO 3</v>
      </c>
      <c r="N253" s="199" t="str">
        <f>HYPERLINK(CONCATENATE("http://www.spr.depen.pr.gov.br/centralvagas/exibirFoto.jpg?numProntuario=",$E253,"&amp;idImagem=4"),"FOTO 4")</f>
        <v>FOTO 4</v>
      </c>
      <c r="O253" s="199" t="str">
        <f>HYPERLINK(CONCATENATE("http://www.spr.depen.pr.gov.br/centralvagas/exibirFoto.jpg?numProntuario=",$E253,"&amp;idImagem=5"),"FOTO 5")</f>
        <v>FOTO 5</v>
      </c>
      <c r="P253" s="199" t="str">
        <f>HYPERLINK(CONCATENATE("http://www.spr.depen.pr.gov.br/centralvagas/exibirFoto.jpg?numProntuario=",$E253,"&amp;idImagem=6"),"FOTO 6")</f>
        <v>FOTO 6</v>
      </c>
    </row>
    <row r="254" spans="1:19" ht="14.1" customHeight="1" thickTop="1" thickBot="1">
      <c r="A254" s="363" t="s">
        <v>3577</v>
      </c>
      <c r="B254" s="364"/>
      <c r="C254" s="116" t="s">
        <v>99</v>
      </c>
      <c r="D254" s="131" t="s">
        <v>3438</v>
      </c>
      <c r="E254" s="157">
        <v>163794</v>
      </c>
      <c r="F254" s="116"/>
      <c r="G254" s="119"/>
      <c r="H254" s="116"/>
      <c r="I254" s="119"/>
      <c r="J254" s="116"/>
      <c r="K254" s="199" t="str">
        <f>HYPERLINK(CONCATENATE("http://www.spr.depen.pr.gov.br/centralvagas/exibirFoto.jpg?numProntuario=",$E254,"&amp;idImagem=1"),"FOTO 1")</f>
        <v>FOTO 1</v>
      </c>
      <c r="L254" s="199" t="str">
        <f>HYPERLINK(CONCATENATE("http://www.spr.depen.pr.gov.br/centralvagas/exibirFoto.jpg?numProntuario=",$E254,"&amp;idImagem=2"),"FOTO 2")</f>
        <v>FOTO 2</v>
      </c>
      <c r="M254" s="199" t="str">
        <f>HYPERLINK(CONCATENATE("http://www.spr.depen.pr.gov.br/centralvagas/exibirFoto.jpg?numProntuario=",$E254,"&amp;idImagem=3"),"FOTO 3")</f>
        <v>FOTO 3</v>
      </c>
      <c r="N254" s="199" t="str">
        <f>HYPERLINK(CONCATENATE("http://www.spr.depen.pr.gov.br/centralvagas/exibirFoto.jpg?numProntuario=",$E254,"&amp;idImagem=4"),"FOTO 4")</f>
        <v>FOTO 4</v>
      </c>
      <c r="O254" s="199" t="str">
        <f>HYPERLINK(CONCATENATE("http://www.spr.depen.pr.gov.br/centralvagas/exibirFoto.jpg?numProntuario=",$E254,"&amp;idImagem=5"),"FOTO 5")</f>
        <v>FOTO 5</v>
      </c>
      <c r="P254" s="199" t="str">
        <f>HYPERLINK(CONCATENATE("http://www.spr.depen.pr.gov.br/centralvagas/exibirFoto.jpg?numProntuario=",$E254,"&amp;idImagem=6"),"FOTO 6")</f>
        <v>FOTO 6</v>
      </c>
    </row>
    <row r="255" spans="1:19" ht="14.1" customHeight="1" thickTop="1" thickBot="1">
      <c r="A255" s="123"/>
      <c r="B255" s="245"/>
      <c r="C255" s="116" t="s">
        <v>99</v>
      </c>
      <c r="D255" s="122" t="s">
        <v>3589</v>
      </c>
      <c r="E255" s="117">
        <v>106275</v>
      </c>
      <c r="F255" s="116"/>
      <c r="G255" s="119"/>
      <c r="H255" s="116"/>
      <c r="I255" s="119"/>
      <c r="J255" s="116"/>
      <c r="K255" s="199" t="str">
        <f>HYPERLINK(CONCATENATE("http://www.spr.depen.pr.gov.br/centralvagas/exibirFoto.jpg?numProntuario=",$E255,"&amp;idImagem=1"),"FOTO 1")</f>
        <v>FOTO 1</v>
      </c>
      <c r="L255" s="199" t="str">
        <f>HYPERLINK(CONCATENATE("http://www.spr.depen.pr.gov.br/centralvagas/exibirFoto.jpg?numProntuario=",$E255,"&amp;idImagem=2"),"FOTO 2")</f>
        <v>FOTO 2</v>
      </c>
      <c r="M255" s="199" t="str">
        <f>HYPERLINK(CONCATENATE("http://www.spr.depen.pr.gov.br/centralvagas/exibirFoto.jpg?numProntuario=",$E255,"&amp;idImagem=3"),"FOTO 3")</f>
        <v>FOTO 3</v>
      </c>
      <c r="N255" s="199" t="str">
        <f>HYPERLINK(CONCATENATE("http://www.spr.depen.pr.gov.br/centralvagas/exibirFoto.jpg?numProntuario=",$E255,"&amp;idImagem=4"),"FOTO 4")</f>
        <v>FOTO 4</v>
      </c>
      <c r="O255" s="199" t="str">
        <f>HYPERLINK(CONCATENATE("http://www.spr.depen.pr.gov.br/centralvagas/exibirFoto.jpg?numProntuario=",$E255,"&amp;idImagem=5"),"FOTO 5")</f>
        <v>FOTO 5</v>
      </c>
      <c r="P255" s="199" t="str">
        <f>HYPERLINK(CONCATENATE("http://www.spr.depen.pr.gov.br/centralvagas/exibirFoto.jpg?numProntuario=",$E255,"&amp;idImagem=6"),"FOTO 6")</f>
        <v>FOTO 6</v>
      </c>
    </row>
    <row r="256" spans="1:19" ht="14.1" customHeight="1" thickTop="1" thickBot="1">
      <c r="A256" s="145"/>
      <c r="B256" s="228"/>
      <c r="C256" s="116" t="s">
        <v>99</v>
      </c>
      <c r="D256" s="131" t="s">
        <v>992</v>
      </c>
      <c r="E256" s="466">
        <v>104835</v>
      </c>
      <c r="F256" s="133"/>
      <c r="G256" s="119"/>
      <c r="H256" s="116"/>
      <c r="I256" s="119"/>
      <c r="J256" s="116"/>
      <c r="K256" s="199" t="str">
        <f>HYPERLINK(CONCATENATE("http://www.spr.depen.pr.gov.br/centralvagas/exibirFoto.jpg?numProntuario=",$E256,"&amp;idImagem=1"),"FOTO 1")</f>
        <v>FOTO 1</v>
      </c>
      <c r="L256" s="199" t="str">
        <f>HYPERLINK(CONCATENATE("http://www.spr.depen.pr.gov.br/centralvagas/exibirFoto.jpg?numProntuario=",$E256,"&amp;idImagem=2"),"FOTO 2")</f>
        <v>FOTO 2</v>
      </c>
      <c r="M256" s="199" t="str">
        <f>HYPERLINK(CONCATENATE("http://www.spr.depen.pr.gov.br/centralvagas/exibirFoto.jpg?numProntuario=",$E256,"&amp;idImagem=3"),"FOTO 3")</f>
        <v>FOTO 3</v>
      </c>
      <c r="N256" s="199" t="str">
        <f>HYPERLINK(CONCATENATE("http://www.spr.depen.pr.gov.br/centralvagas/exibirFoto.jpg?numProntuario=",$E256,"&amp;idImagem=4"),"FOTO 4")</f>
        <v>FOTO 4</v>
      </c>
      <c r="O256" s="199" t="str">
        <f>HYPERLINK(CONCATENATE("http://www.spr.depen.pr.gov.br/centralvagas/exibirFoto.jpg?numProntuario=",$E256,"&amp;idImagem=5"),"FOTO 5")</f>
        <v>FOTO 5</v>
      </c>
      <c r="P256" s="199" t="str">
        <f>HYPERLINK(CONCATENATE("http://www.spr.depen.pr.gov.br/centralvagas/exibirFoto.jpg?numProntuario=",$E256,"&amp;idImagem=6"),"FOTO 6")</f>
        <v>FOTO 6</v>
      </c>
    </row>
    <row r="257" spans="1:16" ht="14.1" customHeight="1" thickTop="1" thickBot="1">
      <c r="A257" s="251"/>
      <c r="B257" s="254"/>
      <c r="C257" s="116" t="s">
        <v>99</v>
      </c>
      <c r="D257" s="122" t="s">
        <v>3512</v>
      </c>
      <c r="E257" s="117">
        <v>27305</v>
      </c>
      <c r="F257" s="116"/>
      <c r="G257" s="119"/>
      <c r="H257" s="116"/>
      <c r="I257" s="119"/>
      <c r="J257" s="116"/>
      <c r="K257" s="199" t="str">
        <f>HYPERLINK(CONCATENATE("http://www.spr.depen.pr.gov.br/centralvagas/exibirFoto.jpg?numProntuario=",$E257,"&amp;idImagem=1"),"FOTO 1")</f>
        <v>FOTO 1</v>
      </c>
      <c r="L257" s="199" t="str">
        <f>HYPERLINK(CONCATENATE("http://www.spr.depen.pr.gov.br/centralvagas/exibirFoto.jpg?numProntuario=",$E257,"&amp;idImagem=2"),"FOTO 2")</f>
        <v>FOTO 2</v>
      </c>
      <c r="M257" s="199" t="str">
        <f>HYPERLINK(CONCATENATE("http://www.spr.depen.pr.gov.br/centralvagas/exibirFoto.jpg?numProntuario=",$E257,"&amp;idImagem=3"),"FOTO 3")</f>
        <v>FOTO 3</v>
      </c>
      <c r="N257" s="199" t="str">
        <f>HYPERLINK(CONCATENATE("http://www.spr.depen.pr.gov.br/centralvagas/exibirFoto.jpg?numProntuario=",$E257,"&amp;idImagem=4"),"FOTO 4")</f>
        <v>FOTO 4</v>
      </c>
      <c r="O257" s="199" t="str">
        <f>HYPERLINK(CONCATENATE("http://www.spr.depen.pr.gov.br/centralvagas/exibirFoto.jpg?numProntuario=",$E257,"&amp;idImagem=5"),"FOTO 5")</f>
        <v>FOTO 5</v>
      </c>
      <c r="P257" s="199" t="str">
        <f>HYPERLINK(CONCATENATE("http://www.spr.depen.pr.gov.br/centralvagas/exibirFoto.jpg?numProntuario=",$E257,"&amp;idImagem=6"),"FOTO 6")</f>
        <v>FOTO 6</v>
      </c>
    </row>
    <row r="258" spans="1:16" ht="14.1" customHeight="1" thickTop="1" thickBot="1">
      <c r="A258" s="118"/>
      <c r="B258" s="228"/>
      <c r="C258" s="116" t="s">
        <v>99</v>
      </c>
      <c r="D258" s="130" t="s">
        <v>2303</v>
      </c>
      <c r="E258" s="117">
        <v>120366</v>
      </c>
      <c r="F258" s="116"/>
      <c r="G258" s="119"/>
      <c r="H258" s="116"/>
      <c r="I258" s="119"/>
      <c r="J258" s="116"/>
      <c r="K258" s="199" t="str">
        <f>HYPERLINK(CONCATENATE("http://www.spr.depen.pr.gov.br/centralvagas/exibirFoto.jpg?numProntuario=",$E258,"&amp;idImagem=1"),"FOTO 1")</f>
        <v>FOTO 1</v>
      </c>
      <c r="L258" s="199" t="str">
        <f>HYPERLINK(CONCATENATE("http://www.spr.depen.pr.gov.br/centralvagas/exibirFoto.jpg?numProntuario=",$E258,"&amp;idImagem=2"),"FOTO 2")</f>
        <v>FOTO 2</v>
      </c>
      <c r="M258" s="199" t="str">
        <f>HYPERLINK(CONCATENATE("http://www.spr.depen.pr.gov.br/centralvagas/exibirFoto.jpg?numProntuario=",$E258,"&amp;idImagem=3"),"FOTO 3")</f>
        <v>FOTO 3</v>
      </c>
      <c r="N258" s="199" t="str">
        <f>HYPERLINK(CONCATENATE("http://www.spr.depen.pr.gov.br/centralvagas/exibirFoto.jpg?numProntuario=",$E258,"&amp;idImagem=4"),"FOTO 4")</f>
        <v>FOTO 4</v>
      </c>
      <c r="O258" s="199" t="str">
        <f>HYPERLINK(CONCATENATE("http://www.spr.depen.pr.gov.br/centralvagas/exibirFoto.jpg?numProntuario=",$E258,"&amp;idImagem=5"),"FOTO 5")</f>
        <v>FOTO 5</v>
      </c>
      <c r="P258" s="199" t="str">
        <f>HYPERLINK(CONCATENATE("http://www.spr.depen.pr.gov.br/centralvagas/exibirFoto.jpg?numProntuario=",$E258,"&amp;idImagem=6"),"FOTO 6")</f>
        <v>FOTO 6</v>
      </c>
    </row>
    <row r="259" spans="1:16" ht="14.1" customHeight="1" thickTop="1" thickBot="1">
      <c r="A259" s="373"/>
      <c r="B259" s="317"/>
      <c r="C259" s="116" t="s">
        <v>2262</v>
      </c>
      <c r="D259" s="129" t="s">
        <v>375</v>
      </c>
      <c r="E259" s="117">
        <v>27310</v>
      </c>
      <c r="F259" s="116"/>
      <c r="G259" s="119"/>
      <c r="H259" s="116"/>
      <c r="I259" s="119"/>
      <c r="J259" s="116"/>
      <c r="K259" s="199" t="str">
        <f>HYPERLINK(CONCATENATE("http://www.spr.depen.pr.gov.br/centralvagas/exibirFoto.jpg?numProntuario=",$E259,"&amp;idImagem=1"),"FOTO 1")</f>
        <v>FOTO 1</v>
      </c>
      <c r="L259" s="199" t="str">
        <f>HYPERLINK(CONCATENATE("http://www.spr.depen.pr.gov.br/centralvagas/exibirFoto.jpg?numProntuario=",$E259,"&amp;idImagem=2"),"FOTO 2")</f>
        <v>FOTO 2</v>
      </c>
      <c r="M259" s="199" t="str">
        <f>HYPERLINK(CONCATENATE("http://www.spr.depen.pr.gov.br/centralvagas/exibirFoto.jpg?numProntuario=",$E259,"&amp;idImagem=3"),"FOTO 3")</f>
        <v>FOTO 3</v>
      </c>
      <c r="N259" s="199" t="str">
        <f>HYPERLINK(CONCATENATE("http://www.spr.depen.pr.gov.br/centralvagas/exibirFoto.jpg?numProntuario=",$E259,"&amp;idImagem=4"),"FOTO 4")</f>
        <v>FOTO 4</v>
      </c>
      <c r="O259" s="199" t="str">
        <f>HYPERLINK(CONCATENATE("http://www.spr.depen.pr.gov.br/centralvagas/exibirFoto.jpg?numProntuario=",$E259,"&amp;idImagem=5"),"FOTO 5")</f>
        <v>FOTO 5</v>
      </c>
      <c r="P259" s="199" t="str">
        <f>HYPERLINK(CONCATENATE("http://www.spr.depen.pr.gov.br/centralvagas/exibirFoto.jpg?numProntuario=",$E259,"&amp;idImagem=6"),"FOTO 6")</f>
        <v>FOTO 6</v>
      </c>
    </row>
    <row r="260" spans="1:16" ht="14.1" customHeight="1" thickTop="1" thickBot="1">
      <c r="A260" s="145"/>
      <c r="B260" s="438"/>
      <c r="C260" s="116" t="s">
        <v>2262</v>
      </c>
      <c r="D260" s="129" t="s">
        <v>165</v>
      </c>
      <c r="E260" s="117">
        <v>63903</v>
      </c>
      <c r="F260" s="116"/>
      <c r="G260" s="119"/>
      <c r="H260" s="116"/>
      <c r="I260" s="119"/>
      <c r="J260" s="116"/>
      <c r="K260" s="199" t="str">
        <f>HYPERLINK(CONCATENATE("http://www.spr.depen.pr.gov.br/centralvagas/exibirFoto.jpg?numProntuario=",$E260,"&amp;idImagem=1"),"FOTO 1")</f>
        <v>FOTO 1</v>
      </c>
      <c r="L260" s="199" t="str">
        <f>HYPERLINK(CONCATENATE("http://www.spr.depen.pr.gov.br/centralvagas/exibirFoto.jpg?numProntuario=",$E260,"&amp;idImagem=2"),"FOTO 2")</f>
        <v>FOTO 2</v>
      </c>
      <c r="M260" s="199" t="str">
        <f>HYPERLINK(CONCATENATE("http://www.spr.depen.pr.gov.br/centralvagas/exibirFoto.jpg?numProntuario=",$E260,"&amp;idImagem=3"),"FOTO 3")</f>
        <v>FOTO 3</v>
      </c>
      <c r="N260" s="199" t="str">
        <f>HYPERLINK(CONCATENATE("http://www.spr.depen.pr.gov.br/centralvagas/exibirFoto.jpg?numProntuario=",$E260,"&amp;idImagem=4"),"FOTO 4")</f>
        <v>FOTO 4</v>
      </c>
      <c r="O260" s="199" t="str">
        <f>HYPERLINK(CONCATENATE("http://www.spr.depen.pr.gov.br/centralvagas/exibirFoto.jpg?numProntuario=",$E260,"&amp;idImagem=5"),"FOTO 5")</f>
        <v>FOTO 5</v>
      </c>
      <c r="P260" s="199" t="str">
        <f>HYPERLINK(CONCATENATE("http://www.spr.depen.pr.gov.br/centralvagas/exibirFoto.jpg?numProntuario=",$E260,"&amp;idImagem=6"),"FOTO 6")</f>
        <v>FOTO 6</v>
      </c>
    </row>
    <row r="261" spans="1:16" ht="14.1" customHeight="1" thickTop="1" thickBot="1">
      <c r="A261" s="120"/>
      <c r="B261" s="438"/>
      <c r="C261" s="116" t="s">
        <v>2262</v>
      </c>
      <c r="D261" s="131" t="s">
        <v>3501</v>
      </c>
      <c r="E261" s="117">
        <v>63877</v>
      </c>
      <c r="F261" s="116"/>
      <c r="G261" s="119"/>
      <c r="H261" s="116"/>
      <c r="I261" s="119"/>
      <c r="J261" s="116"/>
      <c r="K261" s="199" t="str">
        <f>HYPERLINK(CONCATENATE("http://www.spr.depen.pr.gov.br/centralvagas/exibirFoto.jpg?numProntuario=",$E261,"&amp;idImagem=1"),"FOTO 1")</f>
        <v>FOTO 1</v>
      </c>
      <c r="L261" s="199" t="str">
        <f>HYPERLINK(CONCATENATE("http://www.spr.depen.pr.gov.br/centralvagas/exibirFoto.jpg?numProntuario=",$E261,"&amp;idImagem=2"),"FOTO 2")</f>
        <v>FOTO 2</v>
      </c>
      <c r="M261" s="199" t="str">
        <f>HYPERLINK(CONCATENATE("http://www.spr.depen.pr.gov.br/centralvagas/exibirFoto.jpg?numProntuario=",$E261,"&amp;idImagem=3"),"FOTO 3")</f>
        <v>FOTO 3</v>
      </c>
      <c r="N261" s="199" t="str">
        <f>HYPERLINK(CONCATENATE("http://www.spr.depen.pr.gov.br/centralvagas/exibirFoto.jpg?numProntuario=",$E261,"&amp;idImagem=4"),"FOTO 4")</f>
        <v>FOTO 4</v>
      </c>
      <c r="O261" s="199" t="str">
        <f>HYPERLINK(CONCATENATE("http://www.spr.depen.pr.gov.br/centralvagas/exibirFoto.jpg?numProntuario=",$E261,"&amp;idImagem=5"),"FOTO 5")</f>
        <v>FOTO 5</v>
      </c>
      <c r="P261" s="199" t="str">
        <f>HYPERLINK(CONCATENATE("http://www.spr.depen.pr.gov.br/centralvagas/exibirFoto.jpg?numProntuario=",$E261,"&amp;idImagem=6"),"FOTO 6")</f>
        <v>FOTO 6</v>
      </c>
    </row>
    <row r="262" spans="1:16" ht="14.1" customHeight="1" thickTop="1" thickBot="1">
      <c r="A262" s="145"/>
      <c r="B262" s="438"/>
      <c r="C262" s="116" t="s">
        <v>2262</v>
      </c>
      <c r="D262" s="130" t="s">
        <v>3496</v>
      </c>
      <c r="E262" s="117">
        <v>171007</v>
      </c>
      <c r="F262" s="116"/>
      <c r="G262" s="119"/>
      <c r="H262" s="116"/>
      <c r="I262" s="119"/>
      <c r="J262" s="116"/>
      <c r="K262" s="199" t="str">
        <f>HYPERLINK(CONCATENATE("http://www.spr.depen.pr.gov.br/centralvagas/exibirFoto.jpg?numProntuario=",$E262,"&amp;idImagem=1"),"FOTO 1")</f>
        <v>FOTO 1</v>
      </c>
      <c r="L262" s="199" t="str">
        <f>HYPERLINK(CONCATENATE("http://www.spr.depen.pr.gov.br/centralvagas/exibirFoto.jpg?numProntuario=",$E262,"&amp;idImagem=2"),"FOTO 2")</f>
        <v>FOTO 2</v>
      </c>
      <c r="M262" s="199" t="str">
        <f>HYPERLINK(CONCATENATE("http://www.spr.depen.pr.gov.br/centralvagas/exibirFoto.jpg?numProntuario=",$E262,"&amp;idImagem=3"),"FOTO 3")</f>
        <v>FOTO 3</v>
      </c>
      <c r="N262" s="199" t="str">
        <f>HYPERLINK(CONCATENATE("http://www.spr.depen.pr.gov.br/centralvagas/exibirFoto.jpg?numProntuario=",$E262,"&amp;idImagem=4"),"FOTO 4")</f>
        <v>FOTO 4</v>
      </c>
      <c r="O262" s="199" t="str">
        <f>HYPERLINK(CONCATENATE("http://www.spr.depen.pr.gov.br/centralvagas/exibirFoto.jpg?numProntuario=",$E262,"&amp;idImagem=5"),"FOTO 5")</f>
        <v>FOTO 5</v>
      </c>
      <c r="P262" s="199" t="str">
        <f>HYPERLINK(CONCATENATE("http://www.spr.depen.pr.gov.br/centralvagas/exibirFoto.jpg?numProntuario=",$E262,"&amp;idImagem=6"),"FOTO 6")</f>
        <v>FOTO 6</v>
      </c>
    </row>
    <row r="263" spans="1:16" ht="14.1" customHeight="1" thickTop="1" thickBot="1">
      <c r="A263" s="123"/>
      <c r="B263" s="438"/>
      <c r="C263" s="116" t="s">
        <v>2262</v>
      </c>
      <c r="D263" s="131" t="s">
        <v>3497</v>
      </c>
      <c r="E263" s="117">
        <v>122962</v>
      </c>
      <c r="F263" s="116"/>
      <c r="G263" s="119"/>
      <c r="H263" s="116"/>
      <c r="I263" s="119"/>
      <c r="J263" s="116"/>
      <c r="K263" s="199" t="str">
        <f>HYPERLINK(CONCATENATE("http://www.spr.depen.pr.gov.br/centralvagas/exibirFoto.jpg?numProntuario=",$E263,"&amp;idImagem=1"),"FOTO 1")</f>
        <v>FOTO 1</v>
      </c>
      <c r="L263" s="199" t="str">
        <f>HYPERLINK(CONCATENATE("http://www.spr.depen.pr.gov.br/centralvagas/exibirFoto.jpg?numProntuario=",$E263,"&amp;idImagem=2"),"FOTO 2")</f>
        <v>FOTO 2</v>
      </c>
      <c r="M263" s="199" t="str">
        <f>HYPERLINK(CONCATENATE("http://www.spr.depen.pr.gov.br/centralvagas/exibirFoto.jpg?numProntuario=",$E263,"&amp;idImagem=3"),"FOTO 3")</f>
        <v>FOTO 3</v>
      </c>
      <c r="N263" s="199" t="str">
        <f>HYPERLINK(CONCATENATE("http://www.spr.depen.pr.gov.br/centralvagas/exibirFoto.jpg?numProntuario=",$E263,"&amp;idImagem=4"),"FOTO 4")</f>
        <v>FOTO 4</v>
      </c>
      <c r="O263" s="199" t="str">
        <f>HYPERLINK(CONCATENATE("http://www.spr.depen.pr.gov.br/centralvagas/exibirFoto.jpg?numProntuario=",$E263,"&amp;idImagem=5"),"FOTO 5")</f>
        <v>FOTO 5</v>
      </c>
      <c r="P263" s="199" t="str">
        <f>HYPERLINK(CONCATENATE("http://www.spr.depen.pr.gov.br/centralvagas/exibirFoto.jpg?numProntuario=",$E263,"&amp;idImagem=6"),"FOTO 6")</f>
        <v>FOTO 6</v>
      </c>
    </row>
    <row r="264" spans="1:16" ht="14.1" customHeight="1" thickTop="1" thickBot="1">
      <c r="A264" s="329"/>
      <c r="B264" s="419"/>
      <c r="C264" s="116" t="s">
        <v>944</v>
      </c>
      <c r="D264" s="131" t="s">
        <v>2798</v>
      </c>
      <c r="E264" s="117">
        <v>101940</v>
      </c>
      <c r="F264" s="116"/>
      <c r="G264" s="119"/>
      <c r="H264" s="116"/>
      <c r="I264" s="119"/>
      <c r="J264" s="116"/>
      <c r="K264" s="199" t="str">
        <f>HYPERLINK(CONCATENATE("http://www.spr.depen.pr.gov.br/centralvagas/exibirFoto.jpg?numProntuario=",$E264,"&amp;idImagem=1"),"FOTO 1")</f>
        <v>FOTO 1</v>
      </c>
      <c r="L264" s="199" t="str">
        <f>HYPERLINK(CONCATENATE("http://www.spr.depen.pr.gov.br/centralvagas/exibirFoto.jpg?numProntuario=",$E264,"&amp;idImagem=2"),"FOTO 2")</f>
        <v>FOTO 2</v>
      </c>
      <c r="M264" s="199" t="str">
        <f>HYPERLINK(CONCATENATE("http://www.spr.depen.pr.gov.br/centralvagas/exibirFoto.jpg?numProntuario=",$E264,"&amp;idImagem=3"),"FOTO 3")</f>
        <v>FOTO 3</v>
      </c>
      <c r="N264" s="199" t="str">
        <f>HYPERLINK(CONCATENATE("http://www.spr.depen.pr.gov.br/centralvagas/exibirFoto.jpg?numProntuario=",$E264,"&amp;idImagem=4"),"FOTO 4")</f>
        <v>FOTO 4</v>
      </c>
      <c r="O264" s="199" t="str">
        <f>HYPERLINK(CONCATENATE("http://www.spr.depen.pr.gov.br/centralvagas/exibirFoto.jpg?numProntuario=",$E264,"&amp;idImagem=5"),"FOTO 5")</f>
        <v>FOTO 5</v>
      </c>
      <c r="P264" s="199" t="str">
        <f>HYPERLINK(CONCATENATE("http://www.spr.depen.pr.gov.br/centralvagas/exibirFoto.jpg?numProntuario=",$E264,"&amp;idImagem=6"),"FOTO 6")</f>
        <v>FOTO 6</v>
      </c>
    </row>
    <row r="265" spans="1:16" ht="14.1" customHeight="1" thickTop="1" thickBot="1">
      <c r="A265" s="336"/>
      <c r="B265" s="419"/>
      <c r="C265" s="116" t="s">
        <v>944</v>
      </c>
      <c r="D265" s="130" t="s">
        <v>2852</v>
      </c>
      <c r="E265" s="117">
        <v>166647</v>
      </c>
      <c r="F265" s="116"/>
      <c r="G265" s="119"/>
      <c r="H265" s="116"/>
      <c r="I265" s="119"/>
      <c r="J265" s="116"/>
      <c r="K265" s="199" t="str">
        <f>HYPERLINK(CONCATENATE("http://www.spr.depen.pr.gov.br/centralvagas/exibirFoto.jpg?numProntuario=",$E265,"&amp;idImagem=1"),"FOTO 1")</f>
        <v>FOTO 1</v>
      </c>
      <c r="L265" s="199" t="str">
        <f>HYPERLINK(CONCATENATE("http://www.spr.depen.pr.gov.br/centralvagas/exibirFoto.jpg?numProntuario=",$E265,"&amp;idImagem=2"),"FOTO 2")</f>
        <v>FOTO 2</v>
      </c>
      <c r="M265" s="199" t="str">
        <f>HYPERLINK(CONCATENATE("http://www.spr.depen.pr.gov.br/centralvagas/exibirFoto.jpg?numProntuario=",$E265,"&amp;idImagem=3"),"FOTO 3")</f>
        <v>FOTO 3</v>
      </c>
      <c r="N265" s="199" t="str">
        <f>HYPERLINK(CONCATENATE("http://www.spr.depen.pr.gov.br/centralvagas/exibirFoto.jpg?numProntuario=",$E265,"&amp;idImagem=4"),"FOTO 4")</f>
        <v>FOTO 4</v>
      </c>
      <c r="O265" s="199" t="str">
        <f>HYPERLINK(CONCATENATE("http://www.spr.depen.pr.gov.br/centralvagas/exibirFoto.jpg?numProntuario=",$E265,"&amp;idImagem=5"),"FOTO 5")</f>
        <v>FOTO 5</v>
      </c>
      <c r="P265" s="199" t="str">
        <f>HYPERLINK(CONCATENATE("http://www.spr.depen.pr.gov.br/centralvagas/exibirFoto.jpg?numProntuario=",$E265,"&amp;idImagem=6"),"FOTO 6")</f>
        <v>FOTO 6</v>
      </c>
    </row>
    <row r="266" spans="1:16" ht="14.1" customHeight="1" thickTop="1" thickBot="1">
      <c r="A266" s="331"/>
      <c r="B266" s="147"/>
      <c r="C266" s="116" t="s">
        <v>944</v>
      </c>
      <c r="D266" s="129" t="s">
        <v>3459</v>
      </c>
      <c r="E266" s="117">
        <v>68947</v>
      </c>
      <c r="F266" s="145"/>
      <c r="G266" s="162"/>
      <c r="H266" s="145"/>
      <c r="I266" s="162"/>
      <c r="J266" s="145"/>
      <c r="K266" s="199" t="str">
        <f>HYPERLINK(CONCATENATE("http://www.spr.depen.pr.gov.br/centralvagas/exibirFoto.jpg?numProntuario=",$E266,"&amp;idImagem=1"),"FOTO 1")</f>
        <v>FOTO 1</v>
      </c>
      <c r="L266" s="199" t="str">
        <f>HYPERLINK(CONCATENATE("http://www.spr.depen.pr.gov.br/centralvagas/exibirFoto.jpg?numProntuario=",$E266,"&amp;idImagem=2"),"FOTO 2")</f>
        <v>FOTO 2</v>
      </c>
      <c r="M266" s="199" t="str">
        <f>HYPERLINK(CONCATENATE("http://www.spr.depen.pr.gov.br/centralvagas/exibirFoto.jpg?numProntuario=",$E266,"&amp;idImagem=3"),"FOTO 3")</f>
        <v>FOTO 3</v>
      </c>
      <c r="N266" s="199" t="str">
        <f>HYPERLINK(CONCATENATE("http://www.spr.depen.pr.gov.br/centralvagas/exibirFoto.jpg?numProntuario=",$E266,"&amp;idImagem=4"),"FOTO 4")</f>
        <v>FOTO 4</v>
      </c>
      <c r="O266" s="199" t="str">
        <f>HYPERLINK(CONCATENATE("http://www.spr.depen.pr.gov.br/centralvagas/exibirFoto.jpg?numProntuario=",$E266,"&amp;idImagem=5"),"FOTO 5")</f>
        <v>FOTO 5</v>
      </c>
      <c r="P266" s="199" t="str">
        <f>HYPERLINK(CONCATENATE("http://www.spr.depen.pr.gov.br/centralvagas/exibirFoto.jpg?numProntuario=",$E266,"&amp;idImagem=6"),"FOTO 6")</f>
        <v>FOTO 6</v>
      </c>
    </row>
    <row r="267" spans="1:16" ht="14.1" customHeight="1" thickTop="1" thickBot="1">
      <c r="A267" s="123"/>
      <c r="B267" s="337"/>
      <c r="C267" s="116" t="s">
        <v>944</v>
      </c>
      <c r="D267" s="122" t="s">
        <v>3533</v>
      </c>
      <c r="E267" s="117">
        <v>104252</v>
      </c>
      <c r="F267" s="116"/>
      <c r="G267" s="119"/>
      <c r="H267" s="116"/>
      <c r="I267" s="119"/>
      <c r="J267" s="116"/>
      <c r="K267" s="199" t="str">
        <f>HYPERLINK(CONCATENATE("http://www.spr.depen.pr.gov.br/centralvagas/exibirFoto.jpg?numProntuario=",$E267,"&amp;idImagem=1"),"FOTO 1")</f>
        <v>FOTO 1</v>
      </c>
      <c r="L267" s="199" t="str">
        <f>HYPERLINK(CONCATENATE("http://www.spr.depen.pr.gov.br/centralvagas/exibirFoto.jpg?numProntuario=",$E267,"&amp;idImagem=2"),"FOTO 2")</f>
        <v>FOTO 2</v>
      </c>
      <c r="M267" s="199" t="str">
        <f>HYPERLINK(CONCATENATE("http://www.spr.depen.pr.gov.br/centralvagas/exibirFoto.jpg?numProntuario=",$E267,"&amp;idImagem=3"),"FOTO 3")</f>
        <v>FOTO 3</v>
      </c>
      <c r="N267" s="199" t="str">
        <f>HYPERLINK(CONCATENATE("http://www.spr.depen.pr.gov.br/centralvagas/exibirFoto.jpg?numProntuario=",$E267,"&amp;idImagem=4"),"FOTO 4")</f>
        <v>FOTO 4</v>
      </c>
      <c r="O267" s="199" t="str">
        <f>HYPERLINK(CONCATENATE("http://www.spr.depen.pr.gov.br/centralvagas/exibirFoto.jpg?numProntuario=",$E267,"&amp;idImagem=5"),"FOTO 5")</f>
        <v>FOTO 5</v>
      </c>
      <c r="P267" s="199" t="str">
        <f>HYPERLINK(CONCATENATE("http://www.spr.depen.pr.gov.br/centralvagas/exibirFoto.jpg?numProntuario=",$E267,"&amp;idImagem=6"),"FOTO 6")</f>
        <v>FOTO 6</v>
      </c>
    </row>
    <row r="268" spans="1:16" ht="14.1" customHeight="1" thickTop="1" thickBot="1">
      <c r="A268" s="116"/>
      <c r="B268" s="254"/>
      <c r="C268" s="116" t="s">
        <v>944</v>
      </c>
      <c r="D268" s="131" t="s">
        <v>3435</v>
      </c>
      <c r="E268" s="466">
        <v>102259</v>
      </c>
      <c r="F268" s="133"/>
      <c r="G268" s="119"/>
      <c r="H268" s="116"/>
      <c r="I268" s="119"/>
      <c r="J268" s="116"/>
      <c r="K268" s="199" t="str">
        <f>HYPERLINK(CONCATENATE("http://www.spr.depen.pr.gov.br/centralvagas/exibirFoto.jpg?numProntuario=",$E268,"&amp;idImagem=1"),"FOTO 1")</f>
        <v>FOTO 1</v>
      </c>
      <c r="L268" s="199" t="str">
        <f>HYPERLINK(CONCATENATE("http://www.spr.depen.pr.gov.br/centralvagas/exibirFoto.jpg?numProntuario=",$E268,"&amp;idImagem=2"),"FOTO 2")</f>
        <v>FOTO 2</v>
      </c>
      <c r="M268" s="199" t="str">
        <f>HYPERLINK(CONCATENATE("http://www.spr.depen.pr.gov.br/centralvagas/exibirFoto.jpg?numProntuario=",$E268,"&amp;idImagem=3"),"FOTO 3")</f>
        <v>FOTO 3</v>
      </c>
      <c r="N268" s="199" t="str">
        <f>HYPERLINK(CONCATENATE("http://www.spr.depen.pr.gov.br/centralvagas/exibirFoto.jpg?numProntuario=",$E268,"&amp;idImagem=4"),"FOTO 4")</f>
        <v>FOTO 4</v>
      </c>
      <c r="O268" s="199" t="str">
        <f>HYPERLINK(CONCATENATE("http://www.spr.depen.pr.gov.br/centralvagas/exibirFoto.jpg?numProntuario=",$E268,"&amp;idImagem=5"),"FOTO 5")</f>
        <v>FOTO 5</v>
      </c>
      <c r="P268" s="199" t="str">
        <f>HYPERLINK(CONCATENATE("http://www.spr.depen.pr.gov.br/centralvagas/exibirFoto.jpg?numProntuario=",$E268,"&amp;idImagem=6"),"FOTO 6")</f>
        <v>FOTO 6</v>
      </c>
    </row>
    <row r="269" spans="1:16" ht="14.1" customHeight="1" thickTop="1" thickBot="1">
      <c r="A269" s="118"/>
      <c r="B269" s="229"/>
      <c r="C269" s="118" t="s">
        <v>597</v>
      </c>
      <c r="D269" s="130" t="s">
        <v>2331</v>
      </c>
      <c r="E269" s="468">
        <v>106636</v>
      </c>
      <c r="F269" s="118"/>
      <c r="G269" s="119"/>
      <c r="H269" s="118"/>
      <c r="I269" s="119"/>
      <c r="J269" s="118"/>
      <c r="K269" s="199" t="str">
        <f>HYPERLINK(CONCATENATE("http://www.spr.depen.pr.gov.br/centralvagas/exibirFoto.jpg?numProntuario=",$E269,"&amp;idImagem=1"),"FOTO 1")</f>
        <v>FOTO 1</v>
      </c>
      <c r="L269" s="199" t="str">
        <f>HYPERLINK(CONCATENATE("http://www.spr.depen.pr.gov.br/centralvagas/exibirFoto.jpg?numProntuario=",$E269,"&amp;idImagem=2"),"FOTO 2")</f>
        <v>FOTO 2</v>
      </c>
      <c r="M269" s="199" t="str">
        <f>HYPERLINK(CONCATENATE("http://www.spr.depen.pr.gov.br/centralvagas/exibirFoto.jpg?numProntuario=",$E269,"&amp;idImagem=3"),"FOTO 3")</f>
        <v>FOTO 3</v>
      </c>
      <c r="N269" s="199" t="str">
        <f>HYPERLINK(CONCATENATE("http://www.spr.depen.pr.gov.br/centralvagas/exibirFoto.jpg?numProntuario=",$E269,"&amp;idImagem=4"),"FOTO 4")</f>
        <v>FOTO 4</v>
      </c>
      <c r="O269" s="199" t="str">
        <f>HYPERLINK(CONCATENATE("http://www.spr.depen.pr.gov.br/centralvagas/exibirFoto.jpg?numProntuario=",$E269,"&amp;idImagem=5"),"FOTO 5")</f>
        <v>FOTO 5</v>
      </c>
      <c r="P269" s="199" t="str">
        <f>HYPERLINK(CONCATENATE("http://www.spr.depen.pr.gov.br/centralvagas/exibirFoto.jpg?numProntuario=",$E269,"&amp;idImagem=6"),"FOTO 6")</f>
        <v>FOTO 6</v>
      </c>
    </row>
    <row r="270" spans="1:16" ht="14.1" customHeight="1" thickTop="1" thickBot="1">
      <c r="A270" s="214"/>
      <c r="B270" s="229"/>
      <c r="C270" s="118" t="s">
        <v>597</v>
      </c>
      <c r="D270" s="131" t="s">
        <v>1946</v>
      </c>
      <c r="E270" s="144">
        <v>127367</v>
      </c>
      <c r="F270" s="118"/>
      <c r="G270" s="118"/>
      <c r="H270" s="118"/>
      <c r="I270" s="118"/>
      <c r="J270" s="118"/>
      <c r="K270" s="199" t="str">
        <f>HYPERLINK(CONCATENATE("http://www.spr.depen.pr.gov.br/centralvagas/exibirFoto.jpg?numProntuario=",$E270,"&amp;idImagem=1"),"FOTO 1")</f>
        <v>FOTO 1</v>
      </c>
      <c r="L270" s="199" t="str">
        <f>HYPERLINK(CONCATENATE("http://www.spr.depen.pr.gov.br/centralvagas/exibirFoto.jpg?numProntuario=",$E270,"&amp;idImagem=2"),"FOTO 2")</f>
        <v>FOTO 2</v>
      </c>
      <c r="M270" s="199" t="str">
        <f>HYPERLINK(CONCATENATE("http://www.spr.depen.pr.gov.br/centralvagas/exibirFoto.jpg?numProntuario=",$E270,"&amp;idImagem=3"),"FOTO 3")</f>
        <v>FOTO 3</v>
      </c>
      <c r="N270" s="199" t="str">
        <f>HYPERLINK(CONCATENATE("http://www.spr.depen.pr.gov.br/centralvagas/exibirFoto.jpg?numProntuario=",$E270,"&amp;idImagem=4"),"FOTO 4")</f>
        <v>FOTO 4</v>
      </c>
      <c r="O270" s="199" t="str">
        <f>HYPERLINK(CONCATENATE("http://www.spr.depen.pr.gov.br/centralvagas/exibirFoto.jpg?numProntuario=",$E270,"&amp;idImagem=5"),"FOTO 5")</f>
        <v>FOTO 5</v>
      </c>
      <c r="P270" s="199" t="str">
        <f>HYPERLINK(CONCATENATE("http://www.spr.depen.pr.gov.br/centralvagas/exibirFoto.jpg?numProntuario=",$E270,"&amp;idImagem=6"),"FOTO 6")</f>
        <v>FOTO 6</v>
      </c>
    </row>
    <row r="271" spans="1:16" ht="14.1" customHeight="1" thickTop="1" thickBot="1">
      <c r="A271" s="118"/>
      <c r="B271" s="229"/>
      <c r="C271" s="118" t="s">
        <v>597</v>
      </c>
      <c r="D271" s="131" t="s">
        <v>2105</v>
      </c>
      <c r="E271" s="468">
        <v>358817</v>
      </c>
      <c r="F271" s="118"/>
      <c r="G271" s="119"/>
      <c r="H271" s="118"/>
      <c r="I271" s="119"/>
      <c r="J271" s="118"/>
      <c r="K271" s="199" t="str">
        <f>HYPERLINK(CONCATENATE("http://www.spr.depen.pr.gov.br/centralvagas/exibirFoto.jpg?numProntuario=",$E271,"&amp;idImagem=1"),"FOTO 1")</f>
        <v>FOTO 1</v>
      </c>
      <c r="L271" s="199" t="str">
        <f>HYPERLINK(CONCATENATE("http://www.spr.depen.pr.gov.br/centralvagas/exibirFoto.jpg?numProntuario=",$E271,"&amp;idImagem=2"),"FOTO 2")</f>
        <v>FOTO 2</v>
      </c>
      <c r="M271" s="199" t="str">
        <f>HYPERLINK(CONCATENATE("http://www.spr.depen.pr.gov.br/centralvagas/exibirFoto.jpg?numProntuario=",$E271,"&amp;idImagem=3"),"FOTO 3")</f>
        <v>FOTO 3</v>
      </c>
      <c r="N271" s="199" t="str">
        <f>HYPERLINK(CONCATENATE("http://www.spr.depen.pr.gov.br/centralvagas/exibirFoto.jpg?numProntuario=",$E271,"&amp;idImagem=4"),"FOTO 4")</f>
        <v>FOTO 4</v>
      </c>
      <c r="O271" s="199" t="str">
        <f>HYPERLINK(CONCATENATE("http://www.spr.depen.pr.gov.br/centralvagas/exibirFoto.jpg?numProntuario=",$E271,"&amp;idImagem=5"),"FOTO 5")</f>
        <v>FOTO 5</v>
      </c>
      <c r="P271" s="199" t="str">
        <f>HYPERLINK(CONCATENATE("http://www.spr.depen.pr.gov.br/centralvagas/exibirFoto.jpg?numProntuario=",$E271,"&amp;idImagem=6"),"FOTO 6")</f>
        <v>FOTO 6</v>
      </c>
    </row>
    <row r="272" spans="1:16" ht="14.1" customHeight="1" thickTop="1" thickBot="1">
      <c r="A272" s="118"/>
      <c r="B272" s="229"/>
      <c r="C272" s="118" t="s">
        <v>597</v>
      </c>
      <c r="D272" s="130" t="s">
        <v>3644</v>
      </c>
      <c r="E272" s="468">
        <v>419537</v>
      </c>
      <c r="F272" s="118"/>
      <c r="G272" s="119"/>
      <c r="H272" s="118"/>
      <c r="I272" s="119"/>
      <c r="J272" s="118"/>
      <c r="K272" s="199" t="str">
        <f>HYPERLINK(CONCATENATE("http://www.spr.depen.pr.gov.br/centralvagas/exibirFoto.jpg?numProntuario=",$E272,"&amp;idImagem=1"),"FOTO 1")</f>
        <v>FOTO 1</v>
      </c>
      <c r="L272" s="199" t="str">
        <f>HYPERLINK(CONCATENATE("http://www.spr.depen.pr.gov.br/centralvagas/exibirFoto.jpg?numProntuario=",$E272,"&amp;idImagem=2"),"FOTO 2")</f>
        <v>FOTO 2</v>
      </c>
      <c r="M272" s="199" t="str">
        <f>HYPERLINK(CONCATENATE("http://www.spr.depen.pr.gov.br/centralvagas/exibirFoto.jpg?numProntuario=",$E272,"&amp;idImagem=3"),"FOTO 3")</f>
        <v>FOTO 3</v>
      </c>
      <c r="N272" s="199" t="str">
        <f>HYPERLINK(CONCATENATE("http://www.spr.depen.pr.gov.br/centralvagas/exibirFoto.jpg?numProntuario=",$E272,"&amp;idImagem=4"),"FOTO 4")</f>
        <v>FOTO 4</v>
      </c>
      <c r="O272" s="199" t="str">
        <f>HYPERLINK(CONCATENATE("http://www.spr.depen.pr.gov.br/centralvagas/exibirFoto.jpg?numProntuario=",$E272,"&amp;idImagem=5"),"FOTO 5")</f>
        <v>FOTO 5</v>
      </c>
      <c r="P272" s="199" t="str">
        <f>HYPERLINK(CONCATENATE("http://www.spr.depen.pr.gov.br/centralvagas/exibirFoto.jpg?numProntuario=",$E272,"&amp;idImagem=6"),"FOTO 6")</f>
        <v>FOTO 6</v>
      </c>
    </row>
    <row r="273" spans="1:16" ht="14.1" customHeight="1" thickTop="1" thickBot="1">
      <c r="A273" s="118"/>
      <c r="B273" s="229"/>
      <c r="C273" s="116" t="s">
        <v>475</v>
      </c>
      <c r="D273" s="130" t="s">
        <v>2332</v>
      </c>
      <c r="E273" s="144">
        <v>111130</v>
      </c>
      <c r="F273" s="118"/>
      <c r="G273" s="119"/>
      <c r="H273" s="118"/>
      <c r="I273" s="119"/>
      <c r="J273" s="118"/>
      <c r="K273" s="199" t="str">
        <f>HYPERLINK(CONCATENATE("http://www.spr.depen.pr.gov.br/centralvagas/exibirFoto.jpg?numProntuario=",$E273,"&amp;idImagem=1"),"FOTO 1")</f>
        <v>FOTO 1</v>
      </c>
      <c r="L273" s="199" t="str">
        <f>HYPERLINK(CONCATENATE("http://www.spr.depen.pr.gov.br/centralvagas/exibirFoto.jpg?numProntuario=",$E273,"&amp;idImagem=2"),"FOTO 2")</f>
        <v>FOTO 2</v>
      </c>
      <c r="M273" s="199" t="str">
        <f>HYPERLINK(CONCATENATE("http://www.spr.depen.pr.gov.br/centralvagas/exibirFoto.jpg?numProntuario=",$E273,"&amp;idImagem=3"),"FOTO 3")</f>
        <v>FOTO 3</v>
      </c>
      <c r="N273" s="199" t="str">
        <f>HYPERLINK(CONCATENATE("http://www.spr.depen.pr.gov.br/centralvagas/exibirFoto.jpg?numProntuario=",$E273,"&amp;idImagem=4"),"FOTO 4")</f>
        <v>FOTO 4</v>
      </c>
      <c r="O273" s="199" t="str">
        <f>HYPERLINK(CONCATENATE("http://www.spr.depen.pr.gov.br/centralvagas/exibirFoto.jpg?numProntuario=",$E273,"&amp;idImagem=5"),"FOTO 5")</f>
        <v>FOTO 5</v>
      </c>
      <c r="P273" s="199" t="str">
        <f>HYPERLINK(CONCATENATE("http://www.spr.depen.pr.gov.br/centralvagas/exibirFoto.jpg?numProntuario=",$E273,"&amp;idImagem=6"),"FOTO 6")</f>
        <v>FOTO 6</v>
      </c>
    </row>
    <row r="274" spans="1:16" ht="14.1" customHeight="1" thickTop="1" thickBot="1">
      <c r="A274" s="382"/>
      <c r="B274" s="228"/>
      <c r="C274" s="116" t="s">
        <v>475</v>
      </c>
      <c r="D274" s="130" t="s">
        <v>2514</v>
      </c>
      <c r="E274" s="144">
        <v>133972</v>
      </c>
      <c r="F274" s="118"/>
      <c r="G274" s="118"/>
      <c r="H274" s="118"/>
      <c r="I274" s="118"/>
      <c r="J274" s="118"/>
      <c r="K274" s="199" t="str">
        <f>HYPERLINK(CONCATENATE("http://www.spr.depen.pr.gov.br/centralvagas/exibirFoto.jpg?numProntuario=",$E274,"&amp;idImagem=1"),"FOTO 1")</f>
        <v>FOTO 1</v>
      </c>
      <c r="L274" s="199" t="str">
        <f>HYPERLINK(CONCATENATE("http://www.spr.depen.pr.gov.br/centralvagas/exibirFoto.jpg?numProntuario=",$E274,"&amp;idImagem=2"),"FOTO 2")</f>
        <v>FOTO 2</v>
      </c>
      <c r="M274" s="199" t="str">
        <f>HYPERLINK(CONCATENATE("http://www.spr.depen.pr.gov.br/centralvagas/exibirFoto.jpg?numProntuario=",$E274,"&amp;idImagem=3"),"FOTO 3")</f>
        <v>FOTO 3</v>
      </c>
      <c r="N274" s="199" t="str">
        <f>HYPERLINK(CONCATENATE("http://www.spr.depen.pr.gov.br/centralvagas/exibirFoto.jpg?numProntuario=",$E274,"&amp;idImagem=4"),"FOTO 4")</f>
        <v>FOTO 4</v>
      </c>
      <c r="O274" s="199" t="str">
        <f>HYPERLINK(CONCATENATE("http://www.spr.depen.pr.gov.br/centralvagas/exibirFoto.jpg?numProntuario=",$E274,"&amp;idImagem=5"),"FOTO 5")</f>
        <v>FOTO 5</v>
      </c>
      <c r="P274" s="199" t="str">
        <f>HYPERLINK(CONCATENATE("http://www.spr.depen.pr.gov.br/centralvagas/exibirFoto.jpg?numProntuario=",$E274,"&amp;idImagem=6"),"FOTO 6")</f>
        <v>FOTO 6</v>
      </c>
    </row>
    <row r="275" spans="1:16" ht="14.1" customHeight="1" thickTop="1" thickBot="1">
      <c r="A275" s="151"/>
      <c r="B275" s="228"/>
      <c r="C275" s="116" t="s">
        <v>475</v>
      </c>
      <c r="D275" s="131" t="s">
        <v>2713</v>
      </c>
      <c r="E275" s="466">
        <v>7062</v>
      </c>
      <c r="F275" s="133"/>
      <c r="G275" s="119"/>
      <c r="H275" s="116"/>
      <c r="I275" s="119"/>
      <c r="J275" s="116"/>
      <c r="K275" s="199" t="str">
        <f>HYPERLINK(CONCATENATE("http://www.spr.depen.pr.gov.br/centralvagas/exibirFoto.jpg?numProntuario=",$E275,"&amp;idImagem=1"),"FOTO 1")</f>
        <v>FOTO 1</v>
      </c>
      <c r="L275" s="199" t="str">
        <f>HYPERLINK(CONCATENATE("http://www.spr.depen.pr.gov.br/centralvagas/exibirFoto.jpg?numProntuario=",$E275,"&amp;idImagem=2"),"FOTO 2")</f>
        <v>FOTO 2</v>
      </c>
      <c r="M275" s="199" t="str">
        <f>HYPERLINK(CONCATENATE("http://www.spr.depen.pr.gov.br/centralvagas/exibirFoto.jpg?numProntuario=",$E275,"&amp;idImagem=3"),"FOTO 3")</f>
        <v>FOTO 3</v>
      </c>
      <c r="N275" s="199" t="str">
        <f>HYPERLINK(CONCATENATE("http://www.spr.depen.pr.gov.br/centralvagas/exibirFoto.jpg?numProntuario=",$E275,"&amp;idImagem=4"),"FOTO 4")</f>
        <v>FOTO 4</v>
      </c>
      <c r="O275" s="199" t="str">
        <f>HYPERLINK(CONCATENATE("http://www.spr.depen.pr.gov.br/centralvagas/exibirFoto.jpg?numProntuario=",$E275,"&amp;idImagem=5"),"FOTO 5")</f>
        <v>FOTO 5</v>
      </c>
      <c r="P275" s="199" t="str">
        <f>HYPERLINK(CONCATENATE("http://www.spr.depen.pr.gov.br/centralvagas/exibirFoto.jpg?numProntuario=",$E275,"&amp;idImagem=6"),"FOTO 6")</f>
        <v>FOTO 6</v>
      </c>
    </row>
    <row r="276" spans="1:16" ht="14.1" customHeight="1" thickTop="1" thickBot="1">
      <c r="A276" s="151"/>
      <c r="B276" s="228"/>
      <c r="C276" s="116" t="s">
        <v>475</v>
      </c>
      <c r="D276" s="131" t="s">
        <v>811</v>
      </c>
      <c r="E276" s="466">
        <v>391889</v>
      </c>
      <c r="F276" s="133"/>
      <c r="G276" s="119"/>
      <c r="H276" s="116"/>
      <c r="I276" s="119"/>
      <c r="J276" s="116"/>
      <c r="K276" s="199" t="str">
        <f>HYPERLINK(CONCATENATE("http://www.spr.depen.pr.gov.br/centralvagas/exibirFoto.jpg?numProntuario=",$E276,"&amp;idImagem=1"),"FOTO 1")</f>
        <v>FOTO 1</v>
      </c>
      <c r="L276" s="199" t="str">
        <f>HYPERLINK(CONCATENATE("http://www.spr.depen.pr.gov.br/centralvagas/exibirFoto.jpg?numProntuario=",$E276,"&amp;idImagem=2"),"FOTO 2")</f>
        <v>FOTO 2</v>
      </c>
      <c r="M276" s="199" t="str">
        <f>HYPERLINK(CONCATENATE("http://www.spr.depen.pr.gov.br/centralvagas/exibirFoto.jpg?numProntuario=",$E276,"&amp;idImagem=3"),"FOTO 3")</f>
        <v>FOTO 3</v>
      </c>
      <c r="N276" s="199" t="str">
        <f>HYPERLINK(CONCATENATE("http://www.spr.depen.pr.gov.br/centralvagas/exibirFoto.jpg?numProntuario=",$E276,"&amp;idImagem=4"),"FOTO 4")</f>
        <v>FOTO 4</v>
      </c>
      <c r="O276" s="199" t="str">
        <f>HYPERLINK(CONCATENATE("http://www.spr.depen.pr.gov.br/centralvagas/exibirFoto.jpg?numProntuario=",$E276,"&amp;idImagem=5"),"FOTO 5")</f>
        <v>FOTO 5</v>
      </c>
      <c r="P276" s="199" t="str">
        <f>HYPERLINK(CONCATENATE("http://www.spr.depen.pr.gov.br/centralvagas/exibirFoto.jpg?numProntuario=",$E276,"&amp;idImagem=6"),"FOTO 6")</f>
        <v>FOTO 6</v>
      </c>
    </row>
    <row r="277" spans="1:16" ht="14.1" customHeight="1" thickTop="1" thickBot="1">
      <c r="A277" s="151"/>
      <c r="B277" s="228"/>
      <c r="C277" s="116" t="s">
        <v>475</v>
      </c>
      <c r="D277" s="131" t="s">
        <v>2227</v>
      </c>
      <c r="E277" s="466">
        <v>211414</v>
      </c>
      <c r="F277" s="133"/>
      <c r="G277" s="119"/>
      <c r="H277" s="116"/>
      <c r="I277" s="119"/>
      <c r="J277" s="116"/>
      <c r="K277" s="199" t="str">
        <f>HYPERLINK(CONCATENATE("http://www.spr.depen.pr.gov.br/centralvagas/exibirFoto.jpg?numProntuario=",$E277,"&amp;idImagem=1"),"FOTO 1")</f>
        <v>FOTO 1</v>
      </c>
      <c r="L277" s="199" t="str">
        <f>HYPERLINK(CONCATENATE("http://www.spr.depen.pr.gov.br/centralvagas/exibirFoto.jpg?numProntuario=",$E277,"&amp;idImagem=2"),"FOTO 2")</f>
        <v>FOTO 2</v>
      </c>
      <c r="M277" s="199" t="str">
        <f>HYPERLINK(CONCATENATE("http://www.spr.depen.pr.gov.br/centralvagas/exibirFoto.jpg?numProntuario=",$E277,"&amp;idImagem=3"),"FOTO 3")</f>
        <v>FOTO 3</v>
      </c>
      <c r="N277" s="199" t="str">
        <f>HYPERLINK(CONCATENATE("http://www.spr.depen.pr.gov.br/centralvagas/exibirFoto.jpg?numProntuario=",$E277,"&amp;idImagem=4"),"FOTO 4")</f>
        <v>FOTO 4</v>
      </c>
      <c r="O277" s="199" t="str">
        <f>HYPERLINK(CONCATENATE("http://www.spr.depen.pr.gov.br/centralvagas/exibirFoto.jpg?numProntuario=",$E277,"&amp;idImagem=5"),"FOTO 5")</f>
        <v>FOTO 5</v>
      </c>
      <c r="P277" s="199" t="str">
        <f>HYPERLINK(CONCATENATE("http://www.spr.depen.pr.gov.br/centralvagas/exibirFoto.jpg?numProntuario=",$E277,"&amp;idImagem=6"),"FOTO 6")</f>
        <v>FOTO 6</v>
      </c>
    </row>
    <row r="278" spans="1:16" ht="14.1" customHeight="1" thickTop="1" thickBot="1">
      <c r="A278" s="151"/>
      <c r="B278" s="228"/>
      <c r="C278" s="116" t="s">
        <v>227</v>
      </c>
      <c r="D278" s="130" t="s">
        <v>1904</v>
      </c>
      <c r="E278" s="466">
        <v>134939</v>
      </c>
      <c r="F278" s="133"/>
      <c r="G278" s="119"/>
      <c r="H278" s="116"/>
      <c r="I278" s="119"/>
      <c r="J278" s="116"/>
      <c r="K278" s="199" t="str">
        <f>HYPERLINK(CONCATENATE("http://www.spr.depen.pr.gov.br/centralvagas/exibirFoto.jpg?numProntuario=",$E278,"&amp;idImagem=1"),"FOTO 1")</f>
        <v>FOTO 1</v>
      </c>
      <c r="L278" s="199" t="str">
        <f>HYPERLINK(CONCATENATE("http://www.spr.depen.pr.gov.br/centralvagas/exibirFoto.jpg?numProntuario=",$E278,"&amp;idImagem=2"),"FOTO 2")</f>
        <v>FOTO 2</v>
      </c>
      <c r="M278" s="199" t="str">
        <f>HYPERLINK(CONCATENATE("http://www.spr.depen.pr.gov.br/centralvagas/exibirFoto.jpg?numProntuario=",$E278,"&amp;idImagem=3"),"FOTO 3")</f>
        <v>FOTO 3</v>
      </c>
      <c r="N278" s="199" t="str">
        <f>HYPERLINK(CONCATENATE("http://www.spr.depen.pr.gov.br/centralvagas/exibirFoto.jpg?numProntuario=",$E278,"&amp;idImagem=4"),"FOTO 4")</f>
        <v>FOTO 4</v>
      </c>
      <c r="O278" s="199" t="str">
        <f>HYPERLINK(CONCATENATE("http://www.spr.depen.pr.gov.br/centralvagas/exibirFoto.jpg?numProntuario=",$E278,"&amp;idImagem=5"),"FOTO 5")</f>
        <v>FOTO 5</v>
      </c>
      <c r="P278" s="199" t="str">
        <f>HYPERLINK(CONCATENATE("http://www.spr.depen.pr.gov.br/centralvagas/exibirFoto.jpg?numProntuario=",$E278,"&amp;idImagem=6"),"FOTO 6")</f>
        <v>FOTO 6</v>
      </c>
    </row>
    <row r="279" spans="1:16" ht="14.1" customHeight="1" thickTop="1" thickBot="1">
      <c r="A279" s="150"/>
      <c r="B279" s="419"/>
      <c r="C279" s="116" t="s">
        <v>227</v>
      </c>
      <c r="D279" s="129" t="s">
        <v>2867</v>
      </c>
      <c r="E279" s="117">
        <v>63227</v>
      </c>
      <c r="F279" s="116"/>
      <c r="G279" s="119"/>
      <c r="H279" s="116"/>
      <c r="I279" s="119"/>
      <c r="J279" s="116"/>
      <c r="K279" s="199" t="str">
        <f>HYPERLINK(CONCATENATE("http://www.spr.depen.pr.gov.br/centralvagas/exibirFoto.jpg?numProntuario=",$E279,"&amp;idImagem=1"),"FOTO 1")</f>
        <v>FOTO 1</v>
      </c>
      <c r="L279" s="199" t="str">
        <f>HYPERLINK(CONCATENATE("http://www.spr.depen.pr.gov.br/centralvagas/exibirFoto.jpg?numProntuario=",$E279,"&amp;idImagem=2"),"FOTO 2")</f>
        <v>FOTO 2</v>
      </c>
      <c r="M279" s="199" t="str">
        <f>HYPERLINK(CONCATENATE("http://www.spr.depen.pr.gov.br/centralvagas/exibirFoto.jpg?numProntuario=",$E279,"&amp;idImagem=3"),"FOTO 3")</f>
        <v>FOTO 3</v>
      </c>
      <c r="N279" s="199" t="str">
        <f>HYPERLINK(CONCATENATE("http://www.spr.depen.pr.gov.br/centralvagas/exibirFoto.jpg?numProntuario=",$E279,"&amp;idImagem=4"),"FOTO 4")</f>
        <v>FOTO 4</v>
      </c>
      <c r="O279" s="199" t="str">
        <f>HYPERLINK(CONCATENATE("http://www.spr.depen.pr.gov.br/centralvagas/exibirFoto.jpg?numProntuario=",$E279,"&amp;idImagem=5"),"FOTO 5")</f>
        <v>FOTO 5</v>
      </c>
      <c r="P279" s="199" t="str">
        <f>HYPERLINK(CONCATENATE("http://www.spr.depen.pr.gov.br/centralvagas/exibirFoto.jpg?numProntuario=",$E279,"&amp;idImagem=6"),"FOTO 6")</f>
        <v>FOTO 6</v>
      </c>
    </row>
    <row r="280" spans="1:16" ht="14.1" customHeight="1" thickTop="1" thickBot="1">
      <c r="A280" s="123"/>
      <c r="B280" s="419"/>
      <c r="C280" s="116" t="s">
        <v>227</v>
      </c>
      <c r="D280" s="129" t="s">
        <v>3503</v>
      </c>
      <c r="E280" s="117">
        <v>169070</v>
      </c>
      <c r="F280" s="116"/>
      <c r="G280" s="119"/>
      <c r="H280" s="116"/>
      <c r="I280" s="119"/>
      <c r="J280" s="116"/>
      <c r="K280" s="199" t="str">
        <f>HYPERLINK(CONCATENATE("http://www.spr.depen.pr.gov.br/centralvagas/exibirFoto.jpg?numProntuario=",$E280,"&amp;idImagem=1"),"FOTO 1")</f>
        <v>FOTO 1</v>
      </c>
      <c r="L280" s="199" t="str">
        <f>HYPERLINK(CONCATENATE("http://www.spr.depen.pr.gov.br/centralvagas/exibirFoto.jpg?numProntuario=",$E280,"&amp;idImagem=2"),"FOTO 2")</f>
        <v>FOTO 2</v>
      </c>
      <c r="M280" s="199" t="str">
        <f>HYPERLINK(CONCATENATE("http://www.spr.depen.pr.gov.br/centralvagas/exibirFoto.jpg?numProntuario=",$E280,"&amp;idImagem=3"),"FOTO 3")</f>
        <v>FOTO 3</v>
      </c>
      <c r="N280" s="199" t="str">
        <f>HYPERLINK(CONCATENATE("http://www.spr.depen.pr.gov.br/centralvagas/exibirFoto.jpg?numProntuario=",$E280,"&amp;idImagem=4"),"FOTO 4")</f>
        <v>FOTO 4</v>
      </c>
      <c r="O280" s="199" t="str">
        <f>HYPERLINK(CONCATENATE("http://www.spr.depen.pr.gov.br/centralvagas/exibirFoto.jpg?numProntuario=",$E280,"&amp;idImagem=5"),"FOTO 5")</f>
        <v>FOTO 5</v>
      </c>
      <c r="P280" s="199" t="str">
        <f>HYPERLINK(CONCATENATE("http://www.spr.depen.pr.gov.br/centralvagas/exibirFoto.jpg?numProntuario=",$E280,"&amp;idImagem=6"),"FOTO 6")</f>
        <v>FOTO 6</v>
      </c>
    </row>
    <row r="281" spans="1:16" ht="14.1" customHeight="1" thickTop="1" thickBot="1">
      <c r="A281" s="145"/>
      <c r="B281" s="419"/>
      <c r="C281" s="116" t="s">
        <v>227</v>
      </c>
      <c r="D281" s="122" t="s">
        <v>1136</v>
      </c>
      <c r="E281" s="117">
        <v>151659</v>
      </c>
      <c r="F281" s="116"/>
      <c r="G281" s="119"/>
      <c r="H281" s="116"/>
      <c r="I281" s="119"/>
      <c r="J281" s="116"/>
      <c r="K281" s="199" t="str">
        <f>HYPERLINK(CONCATENATE("http://www.spr.depen.pr.gov.br/centralvagas/exibirFoto.jpg?numProntuario=",$E281,"&amp;idImagem=1"),"FOTO 1")</f>
        <v>FOTO 1</v>
      </c>
      <c r="L281" s="199" t="str">
        <f>HYPERLINK(CONCATENATE("http://www.spr.depen.pr.gov.br/centralvagas/exibirFoto.jpg?numProntuario=",$E281,"&amp;idImagem=2"),"FOTO 2")</f>
        <v>FOTO 2</v>
      </c>
      <c r="M281" s="199" t="str">
        <f>HYPERLINK(CONCATENATE("http://www.spr.depen.pr.gov.br/centralvagas/exibirFoto.jpg?numProntuario=",$E281,"&amp;idImagem=3"),"FOTO 3")</f>
        <v>FOTO 3</v>
      </c>
      <c r="N281" s="199" t="str">
        <f>HYPERLINK(CONCATENATE("http://www.spr.depen.pr.gov.br/centralvagas/exibirFoto.jpg?numProntuario=",$E281,"&amp;idImagem=4"),"FOTO 4")</f>
        <v>FOTO 4</v>
      </c>
      <c r="O281" s="199" t="str">
        <f>HYPERLINK(CONCATENATE("http://www.spr.depen.pr.gov.br/centralvagas/exibirFoto.jpg?numProntuario=",$E281,"&amp;idImagem=5"),"FOTO 5")</f>
        <v>FOTO 5</v>
      </c>
      <c r="P281" s="199" t="str">
        <f>HYPERLINK(CONCATENATE("http://www.spr.depen.pr.gov.br/centralvagas/exibirFoto.jpg?numProntuario=",$E281,"&amp;idImagem=6"),"FOTO 6")</f>
        <v>FOTO 6</v>
      </c>
    </row>
    <row r="282" spans="1:16" ht="14.1" customHeight="1" thickTop="1" thickBot="1">
      <c r="A282" s="134"/>
      <c r="B282" s="419"/>
      <c r="C282" s="116" t="s">
        <v>227</v>
      </c>
      <c r="D282" s="131" t="s">
        <v>3555</v>
      </c>
      <c r="E282" s="117">
        <v>151790</v>
      </c>
      <c r="F282" s="116"/>
      <c r="G282" s="119"/>
      <c r="H282" s="116"/>
      <c r="I282" s="119"/>
      <c r="J282" s="116"/>
      <c r="K282" s="199" t="str">
        <f>HYPERLINK(CONCATENATE("http://www.spr.depen.pr.gov.br/centralvagas/exibirFoto.jpg?numProntuario=",$E282,"&amp;idImagem=1"),"FOTO 1")</f>
        <v>FOTO 1</v>
      </c>
      <c r="L282" s="199" t="str">
        <f>HYPERLINK(CONCATENATE("http://www.spr.depen.pr.gov.br/centralvagas/exibirFoto.jpg?numProntuario=",$E282,"&amp;idImagem=2"),"FOTO 2")</f>
        <v>FOTO 2</v>
      </c>
      <c r="M282" s="199" t="str">
        <f>HYPERLINK(CONCATENATE("http://www.spr.depen.pr.gov.br/centralvagas/exibirFoto.jpg?numProntuario=",$E282,"&amp;idImagem=3"),"FOTO 3")</f>
        <v>FOTO 3</v>
      </c>
      <c r="N282" s="199" t="str">
        <f>HYPERLINK(CONCATENATE("http://www.spr.depen.pr.gov.br/centralvagas/exibirFoto.jpg?numProntuario=",$E282,"&amp;idImagem=4"),"FOTO 4")</f>
        <v>FOTO 4</v>
      </c>
      <c r="O282" s="199" t="str">
        <f>HYPERLINK(CONCATENATE("http://www.spr.depen.pr.gov.br/centralvagas/exibirFoto.jpg?numProntuario=",$E282,"&amp;idImagem=5"),"FOTO 5")</f>
        <v>FOTO 5</v>
      </c>
      <c r="P282" s="199" t="str">
        <f>HYPERLINK(CONCATENATE("http://www.spr.depen.pr.gov.br/centralvagas/exibirFoto.jpg?numProntuario=",$E282,"&amp;idImagem=6"),"FOTO 6")</f>
        <v>FOTO 6</v>
      </c>
    </row>
    <row r="283" spans="1:16" ht="14.1" customHeight="1" thickTop="1" thickBot="1">
      <c r="A283" s="745" t="s">
        <v>3582</v>
      </c>
      <c r="B283" s="748" t="s">
        <v>3753</v>
      </c>
      <c r="C283" s="749" t="s">
        <v>902</v>
      </c>
      <c r="D283" s="750" t="s">
        <v>3619</v>
      </c>
      <c r="E283" s="747">
        <v>160892</v>
      </c>
      <c r="F283" s="116"/>
      <c r="G283" s="119"/>
      <c r="H283" s="116"/>
      <c r="I283" s="119"/>
      <c r="J283" s="116"/>
      <c r="K283" s="199" t="str">
        <f>HYPERLINK(CONCATENATE("http://www.spr.depen.pr.gov.br/centralvagas/exibirFoto.jpg?numProntuario=",$E283,"&amp;idImagem=1"),"FOTO 1")</f>
        <v>FOTO 1</v>
      </c>
      <c r="L283" s="199" t="str">
        <f>HYPERLINK(CONCATENATE("http://www.spr.depen.pr.gov.br/centralvagas/exibirFoto.jpg?numProntuario=",$E283,"&amp;idImagem=2"),"FOTO 2")</f>
        <v>FOTO 2</v>
      </c>
      <c r="M283" s="199" t="str">
        <f>HYPERLINK(CONCATENATE("http://www.spr.depen.pr.gov.br/centralvagas/exibirFoto.jpg?numProntuario=",$E283,"&amp;idImagem=3"),"FOTO 3")</f>
        <v>FOTO 3</v>
      </c>
      <c r="N283" s="199" t="str">
        <f>HYPERLINK(CONCATENATE("http://www.spr.depen.pr.gov.br/centralvagas/exibirFoto.jpg?numProntuario=",$E283,"&amp;idImagem=4"),"FOTO 4")</f>
        <v>FOTO 4</v>
      </c>
      <c r="O283" s="199" t="str">
        <f>HYPERLINK(CONCATENATE("http://www.spr.depen.pr.gov.br/centralvagas/exibirFoto.jpg?numProntuario=",$E283,"&amp;idImagem=5"),"FOTO 5")</f>
        <v>FOTO 5</v>
      </c>
      <c r="P283" s="199" t="str">
        <f>HYPERLINK(CONCATENATE("http://www.spr.depen.pr.gov.br/centralvagas/exibirFoto.jpg?numProntuario=",$E283,"&amp;idImagem=6"),"FOTO 6")</f>
        <v>FOTO 6</v>
      </c>
    </row>
    <row r="284" spans="1:16" ht="14.1" customHeight="1" thickTop="1" thickBot="1">
      <c r="A284" s="745" t="s">
        <v>3582</v>
      </c>
      <c r="B284" s="748" t="s">
        <v>3753</v>
      </c>
      <c r="C284" s="749" t="s">
        <v>902</v>
      </c>
      <c r="D284" s="750" t="s">
        <v>3457</v>
      </c>
      <c r="E284" s="747">
        <v>156139</v>
      </c>
      <c r="F284" s="116"/>
      <c r="G284" s="119"/>
      <c r="H284" s="116"/>
      <c r="I284" s="119"/>
      <c r="J284" s="116"/>
      <c r="K284" s="199" t="str">
        <f>HYPERLINK(CONCATENATE("http://www.spr.depen.pr.gov.br/centralvagas/exibirFoto.jpg?numProntuario=",$E284,"&amp;idImagem=1"),"FOTO 1")</f>
        <v>FOTO 1</v>
      </c>
      <c r="L284" s="199" t="str">
        <f>HYPERLINK(CONCATENATE("http://www.spr.depen.pr.gov.br/centralvagas/exibirFoto.jpg?numProntuario=",$E284,"&amp;idImagem=2"),"FOTO 2")</f>
        <v>FOTO 2</v>
      </c>
      <c r="M284" s="199" t="str">
        <f>HYPERLINK(CONCATENATE("http://www.spr.depen.pr.gov.br/centralvagas/exibirFoto.jpg?numProntuario=",$E284,"&amp;idImagem=3"),"FOTO 3")</f>
        <v>FOTO 3</v>
      </c>
      <c r="N284" s="199" t="str">
        <f>HYPERLINK(CONCATENATE("http://www.spr.depen.pr.gov.br/centralvagas/exibirFoto.jpg?numProntuario=",$E284,"&amp;idImagem=4"),"FOTO 4")</f>
        <v>FOTO 4</v>
      </c>
      <c r="O284" s="199" t="str">
        <f>HYPERLINK(CONCATENATE("http://www.spr.depen.pr.gov.br/centralvagas/exibirFoto.jpg?numProntuario=",$E284,"&amp;idImagem=5"),"FOTO 5")</f>
        <v>FOTO 5</v>
      </c>
      <c r="P284" s="199" t="str">
        <f>HYPERLINK(CONCATENATE("http://www.spr.depen.pr.gov.br/centralvagas/exibirFoto.jpg?numProntuario=",$E284,"&amp;idImagem=6"),"FOTO 6")</f>
        <v>FOTO 6</v>
      </c>
    </row>
    <row r="285" spans="1:16" ht="14.1" customHeight="1" thickTop="1" thickBot="1">
      <c r="A285" s="745" t="s">
        <v>3582</v>
      </c>
      <c r="B285" s="748" t="s">
        <v>3753</v>
      </c>
      <c r="C285" s="749" t="s">
        <v>902</v>
      </c>
      <c r="D285" s="750" t="s">
        <v>3458</v>
      </c>
      <c r="E285" s="747">
        <v>102089</v>
      </c>
      <c r="F285" s="116"/>
      <c r="G285" s="119"/>
      <c r="H285" s="116"/>
      <c r="I285" s="119"/>
      <c r="J285" s="132"/>
      <c r="K285" s="199" t="str">
        <f>HYPERLINK(CONCATENATE("http://www.spr.depen.pr.gov.br/centralvagas/exibirFoto.jpg?numProntuario=",$E285,"&amp;idImagem=1"),"FOTO 1")</f>
        <v>FOTO 1</v>
      </c>
      <c r="L285" s="199" t="str">
        <f>HYPERLINK(CONCATENATE("http://www.spr.depen.pr.gov.br/centralvagas/exibirFoto.jpg?numProntuario=",$E285,"&amp;idImagem=2"),"FOTO 2")</f>
        <v>FOTO 2</v>
      </c>
      <c r="M285" s="199" t="str">
        <f>HYPERLINK(CONCATENATE("http://www.spr.depen.pr.gov.br/centralvagas/exibirFoto.jpg?numProntuario=",$E285,"&amp;idImagem=3"),"FOTO 3")</f>
        <v>FOTO 3</v>
      </c>
      <c r="N285" s="199" t="str">
        <f>HYPERLINK(CONCATENATE("http://www.spr.depen.pr.gov.br/centralvagas/exibirFoto.jpg?numProntuario=",$E285,"&amp;idImagem=4"),"FOTO 4")</f>
        <v>FOTO 4</v>
      </c>
      <c r="O285" s="199" t="str">
        <f>HYPERLINK(CONCATENATE("http://www.spr.depen.pr.gov.br/centralvagas/exibirFoto.jpg?numProntuario=",$E285,"&amp;idImagem=5"),"FOTO 5")</f>
        <v>FOTO 5</v>
      </c>
      <c r="P285" s="199" t="str">
        <f>HYPERLINK(CONCATENATE("http://www.spr.depen.pr.gov.br/centralvagas/exibirFoto.jpg?numProntuario=",$E285,"&amp;idImagem=6"),"FOTO 6")</f>
        <v>FOTO 6</v>
      </c>
    </row>
    <row r="286" spans="1:16" ht="14.1" customHeight="1" thickTop="1" thickBot="1">
      <c r="A286" s="745" t="s">
        <v>3582</v>
      </c>
      <c r="B286" s="748" t="s">
        <v>3753</v>
      </c>
      <c r="C286" s="749" t="s">
        <v>902</v>
      </c>
      <c r="D286" s="562" t="s">
        <v>3461</v>
      </c>
      <c r="E286" s="747">
        <v>127722</v>
      </c>
      <c r="F286" s="116"/>
      <c r="G286" s="119"/>
      <c r="H286" s="116"/>
      <c r="I286" s="119"/>
      <c r="J286" s="116"/>
      <c r="K286" s="199" t="str">
        <f>HYPERLINK(CONCATENATE("http://www.spr.depen.pr.gov.br/centralvagas/exibirFoto.jpg?numProntuario=",$E286,"&amp;idImagem=1"),"FOTO 1")</f>
        <v>FOTO 1</v>
      </c>
      <c r="L286" s="199" t="str">
        <f>HYPERLINK(CONCATENATE("http://www.spr.depen.pr.gov.br/centralvagas/exibirFoto.jpg?numProntuario=",$E286,"&amp;idImagem=2"),"FOTO 2")</f>
        <v>FOTO 2</v>
      </c>
      <c r="M286" s="199" t="str">
        <f>HYPERLINK(CONCATENATE("http://www.spr.depen.pr.gov.br/centralvagas/exibirFoto.jpg?numProntuario=",$E286,"&amp;idImagem=3"),"FOTO 3")</f>
        <v>FOTO 3</v>
      </c>
      <c r="N286" s="199" t="str">
        <f>HYPERLINK(CONCATENATE("http://www.spr.depen.pr.gov.br/centralvagas/exibirFoto.jpg?numProntuario=",$E286,"&amp;idImagem=4"),"FOTO 4")</f>
        <v>FOTO 4</v>
      </c>
      <c r="O286" s="199" t="str">
        <f>HYPERLINK(CONCATENATE("http://www.spr.depen.pr.gov.br/centralvagas/exibirFoto.jpg?numProntuario=",$E286,"&amp;idImagem=5"),"FOTO 5")</f>
        <v>FOTO 5</v>
      </c>
      <c r="P286" s="199" t="str">
        <f>HYPERLINK(CONCATENATE("http://www.spr.depen.pr.gov.br/centralvagas/exibirFoto.jpg?numProntuario=",$E286,"&amp;idImagem=6"),"FOTO 6")</f>
        <v>FOTO 6</v>
      </c>
    </row>
    <row r="287" spans="1:16" ht="14.1" customHeight="1" thickTop="1" thickBot="1">
      <c r="A287" s="745" t="s">
        <v>3582</v>
      </c>
      <c r="B287" s="748" t="s">
        <v>3753</v>
      </c>
      <c r="C287" s="749" t="s">
        <v>902</v>
      </c>
      <c r="D287" s="562" t="s">
        <v>3624</v>
      </c>
      <c r="E287" s="747">
        <v>117552</v>
      </c>
      <c r="F287" s="116"/>
      <c r="G287" s="119"/>
      <c r="H287" s="116"/>
      <c r="I287" s="119"/>
      <c r="J287" s="116"/>
      <c r="K287" s="199" t="str">
        <f>HYPERLINK(CONCATENATE("http://www.spr.depen.pr.gov.br/centralvagas/exibirFoto.jpg?numProntuario=",$E287,"&amp;idImagem=1"),"FOTO 1")</f>
        <v>FOTO 1</v>
      </c>
      <c r="L287" s="199" t="str">
        <f>HYPERLINK(CONCATENATE("http://www.spr.depen.pr.gov.br/centralvagas/exibirFoto.jpg?numProntuario=",$E287,"&amp;idImagem=2"),"FOTO 2")</f>
        <v>FOTO 2</v>
      </c>
      <c r="M287" s="199" t="str">
        <f>HYPERLINK(CONCATENATE("http://www.spr.depen.pr.gov.br/centralvagas/exibirFoto.jpg?numProntuario=",$E287,"&amp;idImagem=3"),"FOTO 3")</f>
        <v>FOTO 3</v>
      </c>
      <c r="N287" s="199" t="str">
        <f>HYPERLINK(CONCATENATE("http://www.spr.depen.pr.gov.br/centralvagas/exibirFoto.jpg?numProntuario=",$E287,"&amp;idImagem=4"),"FOTO 4")</f>
        <v>FOTO 4</v>
      </c>
      <c r="O287" s="199" t="str">
        <f>HYPERLINK(CONCATENATE("http://www.spr.depen.pr.gov.br/centralvagas/exibirFoto.jpg?numProntuario=",$E287,"&amp;idImagem=5"),"FOTO 5")</f>
        <v>FOTO 5</v>
      </c>
      <c r="P287" s="199" t="str">
        <f>HYPERLINK(CONCATENATE("http://www.spr.depen.pr.gov.br/centralvagas/exibirFoto.jpg?numProntuario=",$E287,"&amp;idImagem=6"),"FOTO 6")</f>
        <v>FOTO 6</v>
      </c>
    </row>
    <row r="288" spans="1:16" ht="14.1" customHeight="1" thickTop="1" thickBot="1">
      <c r="A288" s="123" t="s">
        <v>2408</v>
      </c>
      <c r="B288" s="318"/>
      <c r="C288" s="151" t="s">
        <v>578</v>
      </c>
      <c r="D288" s="569" t="s">
        <v>2810</v>
      </c>
      <c r="E288" s="117">
        <v>156140</v>
      </c>
      <c r="F288" s="116"/>
      <c r="G288" s="119"/>
      <c r="H288" s="116"/>
      <c r="I288" s="119"/>
      <c r="J288" s="132"/>
      <c r="K288" s="199" t="str">
        <f>HYPERLINK(CONCATENATE("http://www.spr.depen.pr.gov.br/centralvagas/exibirFoto.jpg?numProntuario=",$E288,"&amp;idImagem=1"),"FOTO 1")</f>
        <v>FOTO 1</v>
      </c>
      <c r="L288" s="199" t="str">
        <f>HYPERLINK(CONCATENATE("http://www.spr.depen.pr.gov.br/centralvagas/exibirFoto.jpg?numProntuario=",$E288,"&amp;idImagem=2"),"FOTO 2")</f>
        <v>FOTO 2</v>
      </c>
      <c r="M288" s="199" t="str">
        <f>HYPERLINK(CONCATENATE("http://www.spr.depen.pr.gov.br/centralvagas/exibirFoto.jpg?numProntuario=",$E288,"&amp;idImagem=3"),"FOTO 3")</f>
        <v>FOTO 3</v>
      </c>
      <c r="N288" s="199" t="str">
        <f>HYPERLINK(CONCATENATE("http://www.spr.depen.pr.gov.br/centralvagas/exibirFoto.jpg?numProntuario=",$E288,"&amp;idImagem=4"),"FOTO 4")</f>
        <v>FOTO 4</v>
      </c>
      <c r="O288" s="199" t="str">
        <f>HYPERLINK(CONCATENATE("http://www.spr.depen.pr.gov.br/centralvagas/exibirFoto.jpg?numProntuario=",$E288,"&amp;idImagem=5"),"FOTO 5")</f>
        <v>FOTO 5</v>
      </c>
      <c r="P288" s="199" t="str">
        <f>HYPERLINK(CONCATENATE("http://www.spr.depen.pr.gov.br/centralvagas/exibirFoto.jpg?numProntuario=",$E288,"&amp;idImagem=6"),"FOTO 6")</f>
        <v>FOTO 6</v>
      </c>
    </row>
    <row r="289" spans="1:16" ht="14.1" customHeight="1" thickTop="1" thickBot="1">
      <c r="A289" s="123" t="s">
        <v>2408</v>
      </c>
      <c r="B289" s="127"/>
      <c r="C289" s="151" t="s">
        <v>578</v>
      </c>
      <c r="D289" s="569" t="s">
        <v>3598</v>
      </c>
      <c r="E289" s="117">
        <v>127475</v>
      </c>
      <c r="F289" s="116"/>
      <c r="G289" s="119"/>
      <c r="H289" s="116"/>
      <c r="I289" s="119"/>
      <c r="J289" s="132"/>
      <c r="K289" s="199" t="str">
        <f>HYPERLINK(CONCATENATE("http://www.spr.depen.pr.gov.br/centralvagas/exibirFoto.jpg?numProntuario=",$E289,"&amp;idImagem=1"),"FOTO 1")</f>
        <v>FOTO 1</v>
      </c>
      <c r="L289" s="199" t="str">
        <f>HYPERLINK(CONCATENATE("http://www.spr.depen.pr.gov.br/centralvagas/exibirFoto.jpg?numProntuario=",$E289,"&amp;idImagem=2"),"FOTO 2")</f>
        <v>FOTO 2</v>
      </c>
      <c r="M289" s="199" t="str">
        <f>HYPERLINK(CONCATENATE("http://www.spr.depen.pr.gov.br/centralvagas/exibirFoto.jpg?numProntuario=",$E289,"&amp;idImagem=3"),"FOTO 3")</f>
        <v>FOTO 3</v>
      </c>
      <c r="N289" s="199" t="str">
        <f>HYPERLINK(CONCATENATE("http://www.spr.depen.pr.gov.br/centralvagas/exibirFoto.jpg?numProntuario=",$E289,"&amp;idImagem=4"),"FOTO 4")</f>
        <v>FOTO 4</v>
      </c>
      <c r="O289" s="199" t="str">
        <f>HYPERLINK(CONCATENATE("http://www.spr.depen.pr.gov.br/centralvagas/exibirFoto.jpg?numProntuario=",$E289,"&amp;idImagem=5"),"FOTO 5")</f>
        <v>FOTO 5</v>
      </c>
      <c r="P289" s="199" t="str">
        <f>HYPERLINK(CONCATENATE("http://www.spr.depen.pr.gov.br/centralvagas/exibirFoto.jpg?numProntuario=",$E289,"&amp;idImagem=6"),"FOTO 6")</f>
        <v>FOTO 6</v>
      </c>
    </row>
    <row r="290" spans="1:16" ht="14.1" customHeight="1" thickTop="1" thickBot="1">
      <c r="A290" s="116" t="s">
        <v>3723</v>
      </c>
      <c r="B290" s="143"/>
      <c r="C290" s="151" t="s">
        <v>578</v>
      </c>
      <c r="D290" s="569" t="s">
        <v>3597</v>
      </c>
      <c r="E290" s="117">
        <v>166376</v>
      </c>
      <c r="F290" s="116"/>
      <c r="G290" s="119"/>
      <c r="H290" s="116"/>
      <c r="I290" s="119"/>
      <c r="J290" s="132"/>
      <c r="K290" s="199" t="str">
        <f>HYPERLINK(CONCATENATE("http://www.spr.depen.pr.gov.br/centralvagas/exibirFoto.jpg?numProntuario=",$E290,"&amp;idImagem=1"),"FOTO 1")</f>
        <v>FOTO 1</v>
      </c>
      <c r="L290" s="199" t="str">
        <f>HYPERLINK(CONCATENATE("http://www.spr.depen.pr.gov.br/centralvagas/exibirFoto.jpg?numProntuario=",$E290,"&amp;idImagem=2"),"FOTO 2")</f>
        <v>FOTO 2</v>
      </c>
      <c r="M290" s="199" t="str">
        <f>HYPERLINK(CONCATENATE("http://www.spr.depen.pr.gov.br/centralvagas/exibirFoto.jpg?numProntuario=",$E290,"&amp;idImagem=3"),"FOTO 3")</f>
        <v>FOTO 3</v>
      </c>
      <c r="N290" s="199" t="str">
        <f>HYPERLINK(CONCATENATE("http://www.spr.depen.pr.gov.br/centralvagas/exibirFoto.jpg?numProntuario=",$E290,"&amp;idImagem=4"),"FOTO 4")</f>
        <v>FOTO 4</v>
      </c>
      <c r="O290" s="199" t="str">
        <f>HYPERLINK(CONCATENATE("http://www.spr.depen.pr.gov.br/centralvagas/exibirFoto.jpg?numProntuario=",$E290,"&amp;idImagem=5"),"FOTO 5")</f>
        <v>FOTO 5</v>
      </c>
      <c r="P290" s="199" t="str">
        <f>HYPERLINK(CONCATENATE("http://www.spr.depen.pr.gov.br/centralvagas/exibirFoto.jpg?numProntuario=",$E290,"&amp;idImagem=6"),"FOTO 6")</f>
        <v>FOTO 6</v>
      </c>
    </row>
    <row r="291" spans="1:16" ht="14.1" customHeight="1" thickTop="1" thickBot="1">
      <c r="A291" s="123" t="s">
        <v>2408</v>
      </c>
      <c r="B291" s="143"/>
      <c r="C291" s="151" t="s">
        <v>578</v>
      </c>
      <c r="D291" s="569" t="s">
        <v>2441</v>
      </c>
      <c r="E291" s="117">
        <v>11888</v>
      </c>
      <c r="F291" s="116"/>
      <c r="G291" s="119"/>
      <c r="H291" s="116"/>
      <c r="I291" s="119"/>
      <c r="J291" s="116"/>
      <c r="K291" s="199" t="str">
        <f>HYPERLINK(CONCATENATE("http://www.spr.depen.pr.gov.br/centralvagas/exibirFoto.jpg?numProntuario=",$E291,"&amp;idImagem=1"),"FOTO 1")</f>
        <v>FOTO 1</v>
      </c>
      <c r="L291" s="199" t="str">
        <f>HYPERLINK(CONCATENATE("http://www.spr.depen.pr.gov.br/centralvagas/exibirFoto.jpg?numProntuario=",$E291,"&amp;idImagem=2"),"FOTO 2")</f>
        <v>FOTO 2</v>
      </c>
      <c r="M291" s="199" t="str">
        <f>HYPERLINK(CONCATENATE("http://www.spr.depen.pr.gov.br/centralvagas/exibirFoto.jpg?numProntuario=",$E291,"&amp;idImagem=3"),"FOTO 3")</f>
        <v>FOTO 3</v>
      </c>
      <c r="N291" s="199" t="str">
        <f>HYPERLINK(CONCATENATE("http://www.spr.depen.pr.gov.br/centralvagas/exibirFoto.jpg?numProntuario=",$E291,"&amp;idImagem=4"),"FOTO 4")</f>
        <v>FOTO 4</v>
      </c>
      <c r="O291" s="199" t="str">
        <f>HYPERLINK(CONCATENATE("http://www.spr.depen.pr.gov.br/centralvagas/exibirFoto.jpg?numProntuario=",$E291,"&amp;idImagem=5"),"FOTO 5")</f>
        <v>FOTO 5</v>
      </c>
      <c r="P291" s="199" t="str">
        <f>HYPERLINK(CONCATENATE("http://www.spr.depen.pr.gov.br/centralvagas/exibirFoto.jpg?numProntuario=",$E291,"&amp;idImagem=6"),"FOTO 6")</f>
        <v>FOTO 6</v>
      </c>
    </row>
    <row r="292" spans="1:16" ht="14.1" customHeight="1" thickTop="1" thickBot="1">
      <c r="A292" s="123" t="s">
        <v>2408</v>
      </c>
      <c r="B292" s="147"/>
      <c r="C292" s="151" t="s">
        <v>578</v>
      </c>
      <c r="D292" s="569" t="s">
        <v>3602</v>
      </c>
      <c r="E292" s="117">
        <v>147668</v>
      </c>
      <c r="F292" s="145"/>
      <c r="G292" s="162"/>
      <c r="H292" s="145"/>
      <c r="I292" s="162"/>
      <c r="J292" s="145"/>
      <c r="K292" s="199" t="str">
        <f>HYPERLINK(CONCATENATE("http://www.spr.depen.pr.gov.br/centralvagas/exibirFoto.jpg?numProntuario=",$E292,"&amp;idImagem=1"),"FOTO 1")</f>
        <v>FOTO 1</v>
      </c>
      <c r="L292" s="199" t="str">
        <f>HYPERLINK(CONCATENATE("http://www.spr.depen.pr.gov.br/centralvagas/exibirFoto.jpg?numProntuario=",$E292,"&amp;idImagem=2"),"FOTO 2")</f>
        <v>FOTO 2</v>
      </c>
      <c r="M292" s="199" t="str">
        <f>HYPERLINK(CONCATENATE("http://www.spr.depen.pr.gov.br/centralvagas/exibirFoto.jpg?numProntuario=",$E292,"&amp;idImagem=3"),"FOTO 3")</f>
        <v>FOTO 3</v>
      </c>
      <c r="N292" s="199" t="str">
        <f>HYPERLINK(CONCATENATE("http://www.spr.depen.pr.gov.br/centralvagas/exibirFoto.jpg?numProntuario=",$E292,"&amp;idImagem=4"),"FOTO 4")</f>
        <v>FOTO 4</v>
      </c>
      <c r="O292" s="199" t="str">
        <f>HYPERLINK(CONCATENATE("http://www.spr.depen.pr.gov.br/centralvagas/exibirFoto.jpg?numProntuario=",$E292,"&amp;idImagem=5"),"FOTO 5")</f>
        <v>FOTO 5</v>
      </c>
      <c r="P292" s="199" t="str">
        <f>HYPERLINK(CONCATENATE("http://www.spr.depen.pr.gov.br/centralvagas/exibirFoto.jpg?numProntuario=",$E292,"&amp;idImagem=6"),"FOTO 6")</f>
        <v>FOTO 6</v>
      </c>
    </row>
    <row r="293" spans="1:16" ht="14.1" customHeight="1" thickTop="1" thickBot="1">
      <c r="A293" s="123"/>
      <c r="B293" s="127"/>
      <c r="C293" s="118" t="s">
        <v>2414</v>
      </c>
      <c r="D293" s="122" t="s">
        <v>3549</v>
      </c>
      <c r="E293" s="117">
        <v>124976</v>
      </c>
      <c r="F293" s="116"/>
      <c r="G293" s="119"/>
      <c r="H293" s="116"/>
      <c r="I293" s="119"/>
      <c r="J293" s="132"/>
      <c r="K293" s="199" t="str">
        <f>HYPERLINK(CONCATENATE("http://www.spr.depen.pr.gov.br/centralvagas/exibirFoto.jpg?numProntuario=",$E293,"&amp;idImagem=1"),"FOTO 1")</f>
        <v>FOTO 1</v>
      </c>
      <c r="L293" s="199" t="str">
        <f>HYPERLINK(CONCATENATE("http://www.spr.depen.pr.gov.br/centralvagas/exibirFoto.jpg?numProntuario=",$E293,"&amp;idImagem=2"),"FOTO 2")</f>
        <v>FOTO 2</v>
      </c>
      <c r="M293" s="199" t="str">
        <f>HYPERLINK(CONCATENATE("http://www.spr.depen.pr.gov.br/centralvagas/exibirFoto.jpg?numProntuario=",$E293,"&amp;idImagem=3"),"FOTO 3")</f>
        <v>FOTO 3</v>
      </c>
      <c r="N293" s="199" t="str">
        <f>HYPERLINK(CONCATENATE("http://www.spr.depen.pr.gov.br/centralvagas/exibirFoto.jpg?numProntuario=",$E293,"&amp;idImagem=4"),"FOTO 4")</f>
        <v>FOTO 4</v>
      </c>
      <c r="O293" s="199" t="str">
        <f>HYPERLINK(CONCATENATE("http://www.spr.depen.pr.gov.br/centralvagas/exibirFoto.jpg?numProntuario=",$E293,"&amp;idImagem=5"),"FOTO 5")</f>
        <v>FOTO 5</v>
      </c>
      <c r="P293" s="199" t="str">
        <f>HYPERLINK(CONCATENATE("http://www.spr.depen.pr.gov.br/centralvagas/exibirFoto.jpg?numProntuario=",$E293,"&amp;idImagem=6"),"FOTO 6")</f>
        <v>FOTO 6</v>
      </c>
    </row>
    <row r="294" spans="1:16" ht="14.1" customHeight="1" thickTop="1" thickBot="1">
      <c r="A294" s="123"/>
      <c r="B294" s="419"/>
      <c r="C294" s="118" t="s">
        <v>2414</v>
      </c>
      <c r="D294" s="122" t="s">
        <v>2739</v>
      </c>
      <c r="E294" s="117">
        <v>248674</v>
      </c>
      <c r="F294" s="116"/>
      <c r="G294" s="119"/>
      <c r="H294" s="116"/>
      <c r="I294" s="119"/>
      <c r="J294" s="116"/>
      <c r="K294" s="199" t="str">
        <f>HYPERLINK(CONCATENATE("http://www.spr.depen.pr.gov.br/centralvagas/exibirFoto.jpg?numProntuario=",$E294,"&amp;idImagem=1"),"FOTO 1")</f>
        <v>FOTO 1</v>
      </c>
      <c r="L294" s="199" t="str">
        <f>HYPERLINK(CONCATENATE("http://www.spr.depen.pr.gov.br/centralvagas/exibirFoto.jpg?numProntuario=",$E294,"&amp;idImagem=2"),"FOTO 2")</f>
        <v>FOTO 2</v>
      </c>
      <c r="M294" s="199" t="str">
        <f>HYPERLINK(CONCATENATE("http://www.spr.depen.pr.gov.br/centralvagas/exibirFoto.jpg?numProntuario=",$E294,"&amp;idImagem=3"),"FOTO 3")</f>
        <v>FOTO 3</v>
      </c>
      <c r="N294" s="199" t="str">
        <f>HYPERLINK(CONCATENATE("http://www.spr.depen.pr.gov.br/centralvagas/exibirFoto.jpg?numProntuario=",$E294,"&amp;idImagem=4"),"FOTO 4")</f>
        <v>FOTO 4</v>
      </c>
      <c r="O294" s="199" t="str">
        <f>HYPERLINK(CONCATENATE("http://www.spr.depen.pr.gov.br/centralvagas/exibirFoto.jpg?numProntuario=",$E294,"&amp;idImagem=5"),"FOTO 5")</f>
        <v>FOTO 5</v>
      </c>
      <c r="P294" s="199" t="str">
        <f>HYPERLINK(CONCATENATE("http://www.spr.depen.pr.gov.br/centralvagas/exibirFoto.jpg?numProntuario=",$E294,"&amp;idImagem=6"),"FOTO 6")</f>
        <v>FOTO 6</v>
      </c>
    </row>
    <row r="295" spans="1:16" ht="14.1" customHeight="1" thickTop="1" thickBot="1">
      <c r="A295" s="138"/>
      <c r="B295" s="229"/>
      <c r="C295" s="118" t="s">
        <v>2414</v>
      </c>
      <c r="D295" s="122" t="s">
        <v>3603</v>
      </c>
      <c r="E295" s="345">
        <v>159939</v>
      </c>
      <c r="F295" s="145"/>
      <c r="G295" s="162"/>
      <c r="H295" s="116"/>
      <c r="I295" s="162"/>
      <c r="J295" s="116"/>
      <c r="K295" s="199" t="str">
        <f>HYPERLINK(CONCATENATE("http://www.spr.depen.pr.gov.br/centralvagas/exibirFoto.jpg?numProntuario=",$E295,"&amp;idImagem=1"),"FOTO 1")</f>
        <v>FOTO 1</v>
      </c>
      <c r="L295" s="199" t="str">
        <f>HYPERLINK(CONCATENATE("http://www.spr.depen.pr.gov.br/centralvagas/exibirFoto.jpg?numProntuario=",$E295,"&amp;idImagem=2"),"FOTO 2")</f>
        <v>FOTO 2</v>
      </c>
      <c r="M295" s="199" t="str">
        <f>HYPERLINK(CONCATENATE("http://www.spr.depen.pr.gov.br/centralvagas/exibirFoto.jpg?numProntuario=",$E295,"&amp;idImagem=3"),"FOTO 3")</f>
        <v>FOTO 3</v>
      </c>
      <c r="N295" s="199" t="str">
        <f>HYPERLINK(CONCATENATE("http://www.spr.depen.pr.gov.br/centralvagas/exibirFoto.jpg?numProntuario=",$E295,"&amp;idImagem=4"),"FOTO 4")</f>
        <v>FOTO 4</v>
      </c>
      <c r="O295" s="199" t="str">
        <f>HYPERLINK(CONCATENATE("http://www.spr.depen.pr.gov.br/centralvagas/exibirFoto.jpg?numProntuario=",$E295,"&amp;idImagem=5"),"FOTO 5")</f>
        <v>FOTO 5</v>
      </c>
      <c r="P295" s="199" t="str">
        <f>HYPERLINK(CONCATENATE("http://www.spr.depen.pr.gov.br/centralvagas/exibirFoto.jpg?numProntuario=",$E295,"&amp;idImagem=6"),"FOTO 6")</f>
        <v>FOTO 6</v>
      </c>
    </row>
    <row r="296" spans="1:16" ht="14.1" customHeight="1" thickTop="1" thickBot="1">
      <c r="A296" s="151"/>
      <c r="B296" s="254"/>
      <c r="C296" s="118" t="s">
        <v>2414</v>
      </c>
      <c r="D296" s="122" t="s">
        <v>3551</v>
      </c>
      <c r="E296" s="466">
        <v>63660</v>
      </c>
      <c r="F296" s="133"/>
      <c r="G296" s="119"/>
      <c r="H296" s="116"/>
      <c r="I296" s="119"/>
      <c r="J296" s="116"/>
      <c r="K296" s="199" t="str">
        <f>HYPERLINK(CONCATENATE("http://www.spr.depen.pr.gov.br/centralvagas/exibirFoto.jpg?numProntuario=",$E296,"&amp;idImagem=1"),"FOTO 1")</f>
        <v>FOTO 1</v>
      </c>
      <c r="L296" s="199" t="str">
        <f>HYPERLINK(CONCATENATE("http://www.spr.depen.pr.gov.br/centralvagas/exibirFoto.jpg?numProntuario=",$E296,"&amp;idImagem=2"),"FOTO 2")</f>
        <v>FOTO 2</v>
      </c>
      <c r="M296" s="199" t="str">
        <f>HYPERLINK(CONCATENATE("http://www.spr.depen.pr.gov.br/centralvagas/exibirFoto.jpg?numProntuario=",$E296,"&amp;idImagem=3"),"FOTO 3")</f>
        <v>FOTO 3</v>
      </c>
      <c r="N296" s="199" t="str">
        <f>HYPERLINK(CONCATENATE("http://www.spr.depen.pr.gov.br/centralvagas/exibirFoto.jpg?numProntuario=",$E296,"&amp;idImagem=4"),"FOTO 4")</f>
        <v>FOTO 4</v>
      </c>
      <c r="O296" s="199" t="str">
        <f>HYPERLINK(CONCATENATE("http://www.spr.depen.pr.gov.br/centralvagas/exibirFoto.jpg?numProntuario=",$E296,"&amp;idImagem=5"),"FOTO 5")</f>
        <v>FOTO 5</v>
      </c>
      <c r="P296" s="199" t="str">
        <f>HYPERLINK(CONCATENATE("http://www.spr.depen.pr.gov.br/centralvagas/exibirFoto.jpg?numProntuario=",$E296,"&amp;idImagem=6"),"FOTO 6")</f>
        <v>FOTO 6</v>
      </c>
    </row>
    <row r="297" spans="1:16" ht="14.1" customHeight="1" thickTop="1" thickBot="1">
      <c r="A297" s="151"/>
      <c r="B297" s="419"/>
      <c r="C297" s="118" t="s">
        <v>2414</v>
      </c>
      <c r="D297" s="122" t="s">
        <v>1980</v>
      </c>
      <c r="E297" s="117">
        <v>107229</v>
      </c>
      <c r="F297" s="116"/>
      <c r="G297" s="119"/>
      <c r="H297" s="116"/>
      <c r="I297" s="119"/>
      <c r="J297" s="116"/>
      <c r="K297" s="199" t="str">
        <f>HYPERLINK(CONCATENATE("http://www.spr.depen.pr.gov.br/centralvagas/exibirFoto.jpg?numProntuario=",$E297,"&amp;idImagem=1"),"FOTO 1")</f>
        <v>FOTO 1</v>
      </c>
      <c r="L297" s="199" t="str">
        <f>HYPERLINK(CONCATENATE("http://www.spr.depen.pr.gov.br/centralvagas/exibirFoto.jpg?numProntuario=",$E297,"&amp;idImagem=2"),"FOTO 2")</f>
        <v>FOTO 2</v>
      </c>
      <c r="M297" s="199" t="str">
        <f>HYPERLINK(CONCATENATE("http://www.spr.depen.pr.gov.br/centralvagas/exibirFoto.jpg?numProntuario=",$E297,"&amp;idImagem=3"),"FOTO 3")</f>
        <v>FOTO 3</v>
      </c>
      <c r="N297" s="199" t="str">
        <f>HYPERLINK(CONCATENATE("http://www.spr.depen.pr.gov.br/centralvagas/exibirFoto.jpg?numProntuario=",$E297,"&amp;idImagem=4"),"FOTO 4")</f>
        <v>FOTO 4</v>
      </c>
      <c r="O297" s="199" t="str">
        <f>HYPERLINK(CONCATENATE("http://www.spr.depen.pr.gov.br/centralvagas/exibirFoto.jpg?numProntuario=",$E297,"&amp;idImagem=5"),"FOTO 5")</f>
        <v>FOTO 5</v>
      </c>
      <c r="P297" s="199" t="str">
        <f>HYPERLINK(CONCATENATE("http://www.spr.depen.pr.gov.br/centralvagas/exibirFoto.jpg?numProntuario=",$E297,"&amp;idImagem=6"),"FOTO 6")</f>
        <v>FOTO 6</v>
      </c>
    </row>
    <row r="298" spans="1:16" ht="14.1" customHeight="1" thickTop="1" thickBot="1">
      <c r="A298" s="370" t="s">
        <v>1524</v>
      </c>
      <c r="B298" s="254"/>
      <c r="C298" s="139" t="s">
        <v>2715</v>
      </c>
      <c r="D298" s="252" t="s">
        <v>3652</v>
      </c>
      <c r="E298" s="570">
        <v>408095</v>
      </c>
      <c r="F298" s="145"/>
      <c r="G298" s="162"/>
      <c r="H298" s="116"/>
      <c r="I298" s="162"/>
      <c r="J298" s="116"/>
      <c r="K298" s="199" t="str">
        <f>HYPERLINK(CONCATENATE("http://www.spr.depen.pr.gov.br/centralvagas/exibirFoto.jpg?numProntuario=",$E298,"&amp;idImagem=1"),"FOTO 1")</f>
        <v>FOTO 1</v>
      </c>
      <c r="L298" s="199" t="str">
        <f>HYPERLINK(CONCATENATE("http://www.spr.depen.pr.gov.br/centralvagas/exibirFoto.jpg?numProntuario=",$E298,"&amp;idImagem=2"),"FOTO 2")</f>
        <v>FOTO 2</v>
      </c>
      <c r="M298" s="199" t="str">
        <f>HYPERLINK(CONCATENATE("http://www.spr.depen.pr.gov.br/centralvagas/exibirFoto.jpg?numProntuario=",$E298,"&amp;idImagem=3"),"FOTO 3")</f>
        <v>FOTO 3</v>
      </c>
      <c r="N298" s="199" t="str">
        <f>HYPERLINK(CONCATENATE("http://www.spr.depen.pr.gov.br/centralvagas/exibirFoto.jpg?numProntuario=",$E298,"&amp;idImagem=4"),"FOTO 4")</f>
        <v>FOTO 4</v>
      </c>
      <c r="O298" s="199" t="str">
        <f>HYPERLINK(CONCATENATE("http://www.spr.depen.pr.gov.br/centralvagas/exibirFoto.jpg?numProntuario=",$E298,"&amp;idImagem=5"),"FOTO 5")</f>
        <v>FOTO 5</v>
      </c>
      <c r="P298" s="199" t="str">
        <f>HYPERLINK(CONCATENATE("http://www.spr.depen.pr.gov.br/centralvagas/exibirFoto.jpg?numProntuario=",$E298,"&amp;idImagem=6"),"FOTO 6")</f>
        <v>FOTO 6</v>
      </c>
    </row>
    <row r="299" spans="1:16" ht="14.1" customHeight="1" thickTop="1" thickBot="1">
      <c r="A299" s="370" t="s">
        <v>1524</v>
      </c>
      <c r="B299" s="254"/>
      <c r="C299" s="139" t="s">
        <v>2715</v>
      </c>
      <c r="D299" s="252" t="s">
        <v>3633</v>
      </c>
      <c r="E299" s="567">
        <v>101489</v>
      </c>
      <c r="F299" s="116"/>
      <c r="G299" s="119"/>
      <c r="H299" s="116"/>
      <c r="I299" s="119"/>
      <c r="J299" s="116"/>
      <c r="K299" s="199"/>
      <c r="L299" s="199"/>
      <c r="M299" s="199"/>
      <c r="N299" s="199"/>
      <c r="O299" s="199"/>
      <c r="P299" s="199"/>
    </row>
    <row r="300" spans="1:16" ht="14.1" customHeight="1" thickTop="1" thickBot="1">
      <c r="A300" s="370" t="s">
        <v>1524</v>
      </c>
      <c r="B300" s="254"/>
      <c r="C300" s="139" t="s">
        <v>2715</v>
      </c>
      <c r="D300" s="252" t="s">
        <v>3651</v>
      </c>
      <c r="E300" s="567">
        <v>24063</v>
      </c>
      <c r="F300" s="116"/>
      <c r="G300" s="119"/>
      <c r="H300" s="116"/>
      <c r="I300" s="119"/>
      <c r="J300" s="116"/>
      <c r="K300" s="199"/>
      <c r="L300" s="199"/>
      <c r="M300" s="199"/>
      <c r="N300" s="199"/>
      <c r="O300" s="199"/>
      <c r="P300" s="199"/>
    </row>
    <row r="301" spans="1:16" ht="14.1" customHeight="1" thickTop="1" thickBot="1">
      <c r="A301" s="370" t="s">
        <v>1524</v>
      </c>
      <c r="B301" s="254"/>
      <c r="C301" s="139" t="s">
        <v>2715</v>
      </c>
      <c r="D301" s="252" t="s">
        <v>3653</v>
      </c>
      <c r="E301" s="570">
        <v>283604</v>
      </c>
      <c r="F301" s="145"/>
      <c r="G301" s="162"/>
      <c r="H301" s="116"/>
      <c r="I301" s="162"/>
      <c r="J301" s="116"/>
      <c r="K301" s="199" t="str">
        <f>HYPERLINK(CONCATENATE("http://www.spr.depen.pr.gov.br/centralvagas/exibirFoto.jpg?numProntuario=",$E301,"&amp;idImagem=1"),"FOTO 1")</f>
        <v>FOTO 1</v>
      </c>
      <c r="L301" s="199" t="str">
        <f>HYPERLINK(CONCATENATE("http://www.spr.depen.pr.gov.br/centralvagas/exibirFoto.jpg?numProntuario=",$E301,"&amp;idImagem=2"),"FOTO 2")</f>
        <v>FOTO 2</v>
      </c>
      <c r="M301" s="199" t="str">
        <f>HYPERLINK(CONCATENATE("http://www.spr.depen.pr.gov.br/centralvagas/exibirFoto.jpg?numProntuario=",$E301,"&amp;idImagem=3"),"FOTO 3")</f>
        <v>FOTO 3</v>
      </c>
      <c r="N301" s="199" t="str">
        <f>HYPERLINK(CONCATENATE("http://www.spr.depen.pr.gov.br/centralvagas/exibirFoto.jpg?numProntuario=",$E301,"&amp;idImagem=4"),"FOTO 4")</f>
        <v>FOTO 4</v>
      </c>
      <c r="O301" s="199" t="str">
        <f>HYPERLINK(CONCATENATE("http://www.spr.depen.pr.gov.br/centralvagas/exibirFoto.jpg?numProntuario=",$E301,"&amp;idImagem=5"),"FOTO 5")</f>
        <v>FOTO 5</v>
      </c>
      <c r="P301" s="199" t="str">
        <f>HYPERLINK(CONCATENATE("http://www.spr.depen.pr.gov.br/centralvagas/exibirFoto.jpg?numProntuario=",$E301,"&amp;idImagem=6"),"FOTO 6")</f>
        <v>FOTO 6</v>
      </c>
    </row>
    <row r="302" spans="1:16" ht="14.1" customHeight="1" thickTop="1" thickBot="1">
      <c r="A302" s="251" t="s">
        <v>1524</v>
      </c>
      <c r="B302" s="254" t="s">
        <v>3701</v>
      </c>
      <c r="C302" s="251" t="s">
        <v>2317</v>
      </c>
      <c r="D302" s="566" t="s">
        <v>3649</v>
      </c>
      <c r="E302" s="567">
        <v>102265</v>
      </c>
      <c r="F302" s="116"/>
      <c r="G302" s="119"/>
      <c r="H302" s="116"/>
      <c r="I302" s="119"/>
      <c r="J302" s="116"/>
      <c r="K302" s="199"/>
      <c r="L302" s="199"/>
      <c r="M302" s="199"/>
      <c r="N302" s="199"/>
      <c r="O302" s="199"/>
      <c r="P302" s="199"/>
    </row>
    <row r="303" spans="1:16" ht="14.1" customHeight="1" thickTop="1" thickBot="1">
      <c r="A303" s="251" t="s">
        <v>1524</v>
      </c>
      <c r="B303" s="254" t="s">
        <v>3701</v>
      </c>
      <c r="C303" s="251" t="s">
        <v>2317</v>
      </c>
      <c r="D303" s="566" t="s">
        <v>3694</v>
      </c>
      <c r="E303" s="567">
        <v>317870</v>
      </c>
      <c r="F303" s="116"/>
      <c r="G303" s="119"/>
      <c r="H303" s="116"/>
      <c r="I303" s="119"/>
      <c r="J303" s="116"/>
      <c r="K303" s="199"/>
      <c r="L303" s="199"/>
      <c r="M303" s="199"/>
      <c r="N303" s="199"/>
      <c r="O303" s="199"/>
      <c r="P303" s="199"/>
    </row>
    <row r="304" spans="1:16" ht="14.1" customHeight="1" thickTop="1" thickBot="1">
      <c r="A304" s="251" t="s">
        <v>1524</v>
      </c>
      <c r="B304" s="254" t="s">
        <v>3701</v>
      </c>
      <c r="C304" s="251" t="s">
        <v>2317</v>
      </c>
      <c r="D304" s="566" t="s">
        <v>3695</v>
      </c>
      <c r="E304" s="567">
        <v>104180</v>
      </c>
      <c r="F304" s="116"/>
      <c r="G304" s="119"/>
      <c r="H304" s="116"/>
      <c r="I304" s="119"/>
      <c r="J304" s="116"/>
      <c r="K304" s="199"/>
      <c r="L304" s="199"/>
      <c r="M304" s="199"/>
      <c r="N304" s="199"/>
      <c r="O304" s="199"/>
      <c r="P304" s="199"/>
    </row>
    <row r="305" spans="1:16" ht="14.1" customHeight="1" thickTop="1" thickBot="1">
      <c r="A305" s="251" t="s">
        <v>1524</v>
      </c>
      <c r="B305" s="254" t="s">
        <v>3701</v>
      </c>
      <c r="C305" s="251" t="s">
        <v>2317</v>
      </c>
      <c r="D305" s="566" t="s">
        <v>3696</v>
      </c>
      <c r="E305" s="567">
        <v>242641</v>
      </c>
      <c r="F305" s="116"/>
      <c r="G305" s="119"/>
      <c r="H305" s="116"/>
      <c r="I305" s="119"/>
      <c r="J305" s="116"/>
      <c r="K305" s="199"/>
      <c r="L305" s="199"/>
      <c r="M305" s="199"/>
      <c r="N305" s="199"/>
      <c r="O305" s="199"/>
      <c r="P305" s="199"/>
    </row>
    <row r="306" spans="1:16" ht="14.1" customHeight="1" thickTop="1" thickBot="1">
      <c r="A306" s="251" t="s">
        <v>1524</v>
      </c>
      <c r="B306" s="254" t="s">
        <v>3701</v>
      </c>
      <c r="C306" s="251" t="s">
        <v>2317</v>
      </c>
      <c r="D306" s="566" t="s">
        <v>3697</v>
      </c>
      <c r="E306" s="567">
        <v>300423</v>
      </c>
      <c r="F306" s="116"/>
      <c r="G306" s="119"/>
      <c r="H306" s="116"/>
      <c r="I306" s="119"/>
      <c r="J306" s="116"/>
      <c r="K306" s="199"/>
      <c r="L306" s="199"/>
      <c r="M306" s="199"/>
      <c r="N306" s="199"/>
      <c r="O306" s="199"/>
      <c r="P306" s="199"/>
    </row>
    <row r="307" spans="1:16" ht="14.1" customHeight="1" thickTop="1" thickBot="1">
      <c r="A307" s="331"/>
      <c r="B307" s="127"/>
      <c r="C307" s="116" t="s">
        <v>701</v>
      </c>
      <c r="D307" s="130" t="s">
        <v>2760</v>
      </c>
      <c r="E307" s="117">
        <v>115083</v>
      </c>
      <c r="F307" s="116"/>
      <c r="G307" s="119"/>
      <c r="H307" s="116"/>
      <c r="I307" s="119"/>
      <c r="J307" s="132"/>
      <c r="K307" s="199" t="str">
        <f>HYPERLINK(CONCATENATE("http://www.spr.depen.pr.gov.br/centralvagas/exibirFoto.jpg?numProntuario=",$E307,"&amp;idImagem=1"),"FOTO 1")</f>
        <v>FOTO 1</v>
      </c>
      <c r="L307" s="199" t="str">
        <f>HYPERLINK(CONCATENATE("http://www.spr.depen.pr.gov.br/centralvagas/exibirFoto.jpg?numProntuario=",$E307,"&amp;idImagem=2"),"FOTO 2")</f>
        <v>FOTO 2</v>
      </c>
      <c r="M307" s="199" t="str">
        <f>HYPERLINK(CONCATENATE("http://www.spr.depen.pr.gov.br/centralvagas/exibirFoto.jpg?numProntuario=",$E307,"&amp;idImagem=3"),"FOTO 3")</f>
        <v>FOTO 3</v>
      </c>
      <c r="N307" s="199" t="str">
        <f>HYPERLINK(CONCATENATE("http://www.spr.depen.pr.gov.br/centralvagas/exibirFoto.jpg?numProntuario=",$E307,"&amp;idImagem=4"),"FOTO 4")</f>
        <v>FOTO 4</v>
      </c>
      <c r="O307" s="199" t="str">
        <f>HYPERLINK(CONCATENATE("http://www.spr.depen.pr.gov.br/centralvagas/exibirFoto.jpg?numProntuario=",$E307,"&amp;idImagem=5"),"FOTO 5")</f>
        <v>FOTO 5</v>
      </c>
      <c r="P307" s="199" t="str">
        <f>HYPERLINK(CONCATENATE("http://www.spr.depen.pr.gov.br/centralvagas/exibirFoto.jpg?numProntuario=",$E307,"&amp;idImagem=6"),"FOTO 6")</f>
        <v>FOTO 6</v>
      </c>
    </row>
    <row r="308" spans="1:16" ht="14.1" customHeight="1" thickTop="1" thickBot="1">
      <c r="A308" s="390"/>
      <c r="B308" s="321"/>
      <c r="C308" s="118" t="s">
        <v>701</v>
      </c>
      <c r="D308" s="122" t="s">
        <v>1577</v>
      </c>
      <c r="E308" s="144">
        <v>24061</v>
      </c>
      <c r="F308" s="118"/>
      <c r="G308" s="118"/>
      <c r="H308" s="118"/>
      <c r="I308" s="118"/>
      <c r="J308" s="118"/>
      <c r="K308" s="199" t="str">
        <f>HYPERLINK(CONCATENATE("http://www.spr.depen.pr.gov.br/centralvagas/exibirFoto.jpg?numProntuario=",$E308,"&amp;idImagem=1"),"FOTO 1")</f>
        <v>FOTO 1</v>
      </c>
      <c r="L308" s="199" t="str">
        <f>HYPERLINK(CONCATENATE("http://www.spr.depen.pr.gov.br/centralvagas/exibirFoto.jpg?numProntuario=",$E308,"&amp;idImagem=2"),"FOTO 2")</f>
        <v>FOTO 2</v>
      </c>
      <c r="M308" s="199" t="str">
        <f>HYPERLINK(CONCATENATE("http://www.spr.depen.pr.gov.br/centralvagas/exibirFoto.jpg?numProntuario=",$E308,"&amp;idImagem=3"),"FOTO 3")</f>
        <v>FOTO 3</v>
      </c>
      <c r="N308" s="199" t="str">
        <f>HYPERLINK(CONCATENATE("http://www.spr.depen.pr.gov.br/centralvagas/exibirFoto.jpg?numProntuario=",$E308,"&amp;idImagem=4"),"FOTO 4")</f>
        <v>FOTO 4</v>
      </c>
      <c r="O308" s="199" t="str">
        <f>HYPERLINK(CONCATENATE("http://www.spr.depen.pr.gov.br/centralvagas/exibirFoto.jpg?numProntuario=",$E308,"&amp;idImagem=5"),"FOTO 5")</f>
        <v>FOTO 5</v>
      </c>
      <c r="P308" s="199" t="str">
        <f>HYPERLINK(CONCATENATE("http://www.spr.depen.pr.gov.br/centralvagas/exibirFoto.jpg?numProntuario=",$E308,"&amp;idImagem=6"),"FOTO 6")</f>
        <v>FOTO 6</v>
      </c>
    </row>
    <row r="309" spans="1:16" ht="14.1" customHeight="1" thickTop="1" thickBot="1">
      <c r="A309" s="151" t="s">
        <v>9</v>
      </c>
      <c r="B309" s="229"/>
      <c r="C309" s="125" t="s">
        <v>701</v>
      </c>
      <c r="D309" s="122" t="s">
        <v>3646</v>
      </c>
      <c r="E309" s="325">
        <v>105153</v>
      </c>
      <c r="F309" s="116"/>
      <c r="G309" s="119"/>
      <c r="H309" s="116"/>
      <c r="I309" s="119"/>
      <c r="J309" s="116"/>
      <c r="K309" s="199" t="str">
        <f>HYPERLINK(CONCATENATE("http://www.spr.depen.pr.gov.br/centralvagas/exibirFoto.jpg?numProntuario=",$E309,"&amp;idImagem=1"),"FOTO 1")</f>
        <v>FOTO 1</v>
      </c>
      <c r="L309" s="199" t="str">
        <f>HYPERLINK(CONCATENATE("http://www.spr.depen.pr.gov.br/centralvagas/exibirFoto.jpg?numProntuario=",$E309,"&amp;idImagem=2"),"FOTO 2")</f>
        <v>FOTO 2</v>
      </c>
      <c r="M309" s="199" t="str">
        <f>HYPERLINK(CONCATENATE("http://www.spr.depen.pr.gov.br/centralvagas/exibirFoto.jpg?numProntuario=",$E309,"&amp;idImagem=3"),"FOTO 3")</f>
        <v>FOTO 3</v>
      </c>
      <c r="N309" s="199" t="str">
        <f>HYPERLINK(CONCATENATE("http://www.spr.depen.pr.gov.br/centralvagas/exibirFoto.jpg?numProntuario=",$E309,"&amp;idImagem=4"),"FOTO 4")</f>
        <v>FOTO 4</v>
      </c>
      <c r="O309" s="199" t="str">
        <f>HYPERLINK(CONCATENATE("http://www.spr.depen.pr.gov.br/centralvagas/exibirFoto.jpg?numProntuario=",$E309,"&amp;idImagem=5"),"FOTO 5")</f>
        <v>FOTO 5</v>
      </c>
      <c r="P309" s="199" t="str">
        <f>HYPERLINK(CONCATENATE("http://www.spr.depen.pr.gov.br/centralvagas/exibirFoto.jpg?numProntuario=",$E309,"&amp;idImagem=6"),"FOTO 6")</f>
        <v>FOTO 6</v>
      </c>
    </row>
    <row r="310" spans="1:16" ht="14.1" customHeight="1" thickTop="1" thickBot="1">
      <c r="A310" s="134"/>
      <c r="B310" s="229"/>
      <c r="C310" s="116" t="s">
        <v>701</v>
      </c>
      <c r="D310" s="129" t="s">
        <v>2100</v>
      </c>
      <c r="E310" s="117">
        <v>121126</v>
      </c>
      <c r="F310" s="116"/>
      <c r="G310" s="119"/>
      <c r="H310" s="116"/>
      <c r="I310" s="119"/>
      <c r="J310" s="116"/>
      <c r="K310" s="199" t="str">
        <f>HYPERLINK(CONCATENATE("http://www.spr.depen.pr.gov.br/centralvagas/exibirFoto.jpg?numProntuario=",$E310,"&amp;idImagem=1"),"FOTO 1")</f>
        <v>FOTO 1</v>
      </c>
      <c r="L310" s="199" t="str">
        <f>HYPERLINK(CONCATENATE("http://www.spr.depen.pr.gov.br/centralvagas/exibirFoto.jpg?numProntuario=",$E310,"&amp;idImagem=2"),"FOTO 2")</f>
        <v>FOTO 2</v>
      </c>
      <c r="M310" s="199" t="str">
        <f>HYPERLINK(CONCATENATE("http://www.spr.depen.pr.gov.br/centralvagas/exibirFoto.jpg?numProntuario=",$E310,"&amp;idImagem=3"),"FOTO 3")</f>
        <v>FOTO 3</v>
      </c>
      <c r="N310" s="199" t="str">
        <f>HYPERLINK(CONCATENATE("http://www.spr.depen.pr.gov.br/centralvagas/exibirFoto.jpg?numProntuario=",$E310,"&amp;idImagem=4"),"FOTO 4")</f>
        <v>FOTO 4</v>
      </c>
      <c r="O310" s="199" t="str">
        <f>HYPERLINK(CONCATENATE("http://www.spr.depen.pr.gov.br/centralvagas/exibirFoto.jpg?numProntuario=",$E310,"&amp;idImagem=5"),"FOTO 5")</f>
        <v>FOTO 5</v>
      </c>
      <c r="P310" s="199" t="str">
        <f>HYPERLINK(CONCATENATE("http://www.spr.depen.pr.gov.br/centralvagas/exibirFoto.jpg?numProntuario=",$E310,"&amp;idImagem=6"),"FOTO 6")</f>
        <v>FOTO 6</v>
      </c>
    </row>
    <row r="311" spans="1:16" ht="14.1" customHeight="1" thickTop="1" thickBot="1">
      <c r="A311" s="207"/>
      <c r="B311" s="147"/>
      <c r="C311" s="116" t="s">
        <v>701</v>
      </c>
      <c r="D311" s="131" t="s">
        <v>2728</v>
      </c>
      <c r="E311" s="117">
        <v>24354</v>
      </c>
      <c r="F311" s="116"/>
      <c r="G311" s="119"/>
      <c r="H311" s="116"/>
      <c r="I311" s="119"/>
      <c r="J311" s="132"/>
      <c r="K311" s="199" t="str">
        <f>HYPERLINK(CONCATENATE("http://www.spr.depen.pr.gov.br/centralvagas/exibirFoto.jpg?numProntuario=",$E311,"&amp;idImagem=1"),"FOTO 1")</f>
        <v>FOTO 1</v>
      </c>
      <c r="L311" s="199" t="str">
        <f>HYPERLINK(CONCATENATE("http://www.spr.depen.pr.gov.br/centralvagas/exibirFoto.jpg?numProntuario=",$E311,"&amp;idImagem=2"),"FOTO 2")</f>
        <v>FOTO 2</v>
      </c>
      <c r="M311" s="199" t="str">
        <f>HYPERLINK(CONCATENATE("http://www.spr.depen.pr.gov.br/centralvagas/exibirFoto.jpg?numProntuario=",$E311,"&amp;idImagem=3"),"FOTO 3")</f>
        <v>FOTO 3</v>
      </c>
      <c r="N311" s="199" t="str">
        <f>HYPERLINK(CONCATENATE("http://www.spr.depen.pr.gov.br/centralvagas/exibirFoto.jpg?numProntuario=",$E311,"&amp;idImagem=4"),"FOTO 4")</f>
        <v>FOTO 4</v>
      </c>
      <c r="O311" s="199" t="str">
        <f>HYPERLINK(CONCATENATE("http://www.spr.depen.pr.gov.br/centralvagas/exibirFoto.jpg?numProntuario=",$E311,"&amp;idImagem=5"),"FOTO 5")</f>
        <v>FOTO 5</v>
      </c>
      <c r="P311" s="199" t="str">
        <f>HYPERLINK(CONCATENATE("http://www.spr.depen.pr.gov.br/centralvagas/exibirFoto.jpg?numProntuario=",$E311,"&amp;idImagem=6"),"FOTO 6")</f>
        <v>FOTO 6</v>
      </c>
    </row>
    <row r="312" spans="1:16" ht="14.1" customHeight="1" thickTop="1" thickBot="1">
      <c r="A312" s="571"/>
      <c r="B312" s="127"/>
      <c r="C312" s="118" t="s">
        <v>701</v>
      </c>
      <c r="D312" s="130" t="s">
        <v>3642</v>
      </c>
      <c r="E312" s="117">
        <v>140214</v>
      </c>
      <c r="F312" s="116"/>
      <c r="G312" s="119"/>
      <c r="H312" s="116"/>
      <c r="I312" s="119"/>
      <c r="J312" s="116"/>
      <c r="K312" s="199"/>
      <c r="L312" s="199"/>
      <c r="M312" s="199"/>
      <c r="N312" s="199"/>
      <c r="O312" s="199"/>
      <c r="P312" s="199"/>
    </row>
    <row r="313" spans="1:16" ht="14.1" customHeight="1" thickTop="1" thickBot="1">
      <c r="A313" s="160"/>
      <c r="B313" s="147"/>
      <c r="C313" s="116" t="s">
        <v>715</v>
      </c>
      <c r="D313" s="131" t="s">
        <v>2747</v>
      </c>
      <c r="E313" s="117">
        <v>109033</v>
      </c>
      <c r="F313" s="116"/>
      <c r="G313" s="119"/>
      <c r="H313" s="116"/>
      <c r="I313" s="119"/>
      <c r="J313" s="116"/>
      <c r="K313" s="199" t="str">
        <f>HYPERLINK(CONCATENATE("http://www.spr.depen.pr.gov.br/centralvagas/exibirFoto.jpg?numProntuario=",$E313,"&amp;idImagem=1"),"FOTO 1")</f>
        <v>FOTO 1</v>
      </c>
      <c r="L313" s="199" t="str">
        <f>HYPERLINK(CONCATENATE("http://www.spr.depen.pr.gov.br/centralvagas/exibirFoto.jpg?numProntuario=",$E313,"&amp;idImagem=2"),"FOTO 2")</f>
        <v>FOTO 2</v>
      </c>
      <c r="M313" s="199" t="str">
        <f>HYPERLINK(CONCATENATE("http://www.spr.depen.pr.gov.br/centralvagas/exibirFoto.jpg?numProntuario=",$E313,"&amp;idImagem=3"),"FOTO 3")</f>
        <v>FOTO 3</v>
      </c>
      <c r="N313" s="199" t="str">
        <f>HYPERLINK(CONCATENATE("http://www.spr.depen.pr.gov.br/centralvagas/exibirFoto.jpg?numProntuario=",$E313,"&amp;idImagem=4"),"FOTO 4")</f>
        <v>FOTO 4</v>
      </c>
      <c r="O313" s="199" t="str">
        <f>HYPERLINK(CONCATENATE("http://www.spr.depen.pr.gov.br/centralvagas/exibirFoto.jpg?numProntuario=",$E313,"&amp;idImagem=5"),"FOTO 5")</f>
        <v>FOTO 5</v>
      </c>
      <c r="P313" s="199" t="str">
        <f>HYPERLINK(CONCATENATE("http://www.spr.depen.pr.gov.br/centralvagas/exibirFoto.jpg?numProntuario=",$E313,"&amp;idImagem=6"),"FOTO 6")</f>
        <v>FOTO 6</v>
      </c>
    </row>
    <row r="314" spans="1:16" ht="14.1" customHeight="1" thickTop="1" thickBot="1">
      <c r="A314" s="123"/>
      <c r="B314" s="323"/>
      <c r="C314" s="116" t="s">
        <v>715</v>
      </c>
      <c r="D314" s="129" t="s">
        <v>3376</v>
      </c>
      <c r="E314" s="117">
        <v>131299</v>
      </c>
      <c r="F314" s="116"/>
      <c r="G314" s="119"/>
      <c r="H314" s="116"/>
      <c r="I314" s="119"/>
      <c r="J314" s="116"/>
      <c r="K314" s="199" t="str">
        <f>HYPERLINK(CONCATENATE("http://www.spr.depen.pr.gov.br/centralvagas/exibirFoto.jpg?numProntuario=",$E314,"&amp;idImagem=1"),"FOTO 1")</f>
        <v>FOTO 1</v>
      </c>
      <c r="L314" s="199" t="str">
        <f>HYPERLINK(CONCATENATE("http://www.spr.depen.pr.gov.br/centralvagas/exibirFoto.jpg?numProntuario=",$E314,"&amp;idImagem=2"),"FOTO 2")</f>
        <v>FOTO 2</v>
      </c>
      <c r="M314" s="199" t="str">
        <f>HYPERLINK(CONCATENATE("http://www.spr.depen.pr.gov.br/centralvagas/exibirFoto.jpg?numProntuario=",$E314,"&amp;idImagem=3"),"FOTO 3")</f>
        <v>FOTO 3</v>
      </c>
      <c r="N314" s="199" t="str">
        <f>HYPERLINK(CONCATENATE("http://www.spr.depen.pr.gov.br/centralvagas/exibirFoto.jpg?numProntuario=",$E314,"&amp;idImagem=4"),"FOTO 4")</f>
        <v>FOTO 4</v>
      </c>
      <c r="O314" s="199" t="str">
        <f>HYPERLINK(CONCATENATE("http://www.spr.depen.pr.gov.br/centralvagas/exibirFoto.jpg?numProntuario=",$E314,"&amp;idImagem=5"),"FOTO 5")</f>
        <v>FOTO 5</v>
      </c>
      <c r="P314" s="199" t="str">
        <f>HYPERLINK(CONCATENATE("http://www.spr.depen.pr.gov.br/centralvagas/exibirFoto.jpg?numProntuario=",$E314,"&amp;idImagem=6"),"FOTO 6")</f>
        <v>FOTO 6</v>
      </c>
    </row>
    <row r="315" spans="1:16" ht="14.1" customHeight="1" thickTop="1" thickBot="1">
      <c r="A315" s="242"/>
      <c r="B315" s="229"/>
      <c r="C315" s="116" t="s">
        <v>715</v>
      </c>
      <c r="D315" s="131" t="s">
        <v>2743</v>
      </c>
      <c r="E315" s="117">
        <v>161753</v>
      </c>
      <c r="F315" s="116"/>
      <c r="G315" s="119"/>
      <c r="H315" s="116"/>
      <c r="I315" s="119"/>
      <c r="J315" s="116"/>
      <c r="K315" s="199" t="str">
        <f>HYPERLINK(CONCATENATE("http://www.spr.depen.pr.gov.br/centralvagas/exibirFoto.jpg?numProntuario=",$E315,"&amp;idImagem=1"),"FOTO 1")</f>
        <v>FOTO 1</v>
      </c>
      <c r="L315" s="199" t="str">
        <f>HYPERLINK(CONCATENATE("http://www.spr.depen.pr.gov.br/centralvagas/exibirFoto.jpg?numProntuario=",$E315,"&amp;idImagem=2"),"FOTO 2")</f>
        <v>FOTO 2</v>
      </c>
      <c r="M315" s="199" t="str">
        <f>HYPERLINK(CONCATENATE("http://www.spr.depen.pr.gov.br/centralvagas/exibirFoto.jpg?numProntuario=",$E315,"&amp;idImagem=3"),"FOTO 3")</f>
        <v>FOTO 3</v>
      </c>
      <c r="N315" s="199" t="str">
        <f>HYPERLINK(CONCATENATE("http://www.spr.depen.pr.gov.br/centralvagas/exibirFoto.jpg?numProntuario=",$E315,"&amp;idImagem=4"),"FOTO 4")</f>
        <v>FOTO 4</v>
      </c>
      <c r="O315" s="199" t="str">
        <f>HYPERLINK(CONCATENATE("http://www.spr.depen.pr.gov.br/centralvagas/exibirFoto.jpg?numProntuario=",$E315,"&amp;idImagem=5"),"FOTO 5")</f>
        <v>FOTO 5</v>
      </c>
      <c r="P315" s="199" t="str">
        <f>HYPERLINK(CONCATENATE("http://www.spr.depen.pr.gov.br/centralvagas/exibirFoto.jpg?numProntuario=",$E315,"&amp;idImagem=6"),"FOTO 6")</f>
        <v>FOTO 6</v>
      </c>
    </row>
    <row r="316" spans="1:16" ht="14.1" customHeight="1" thickTop="1" thickBot="1">
      <c r="A316" s="207"/>
      <c r="B316" s="147"/>
      <c r="C316" s="116" t="s">
        <v>715</v>
      </c>
      <c r="D316" s="130" t="s">
        <v>2826</v>
      </c>
      <c r="E316" s="117">
        <v>124131</v>
      </c>
      <c r="F316" s="116"/>
      <c r="G316" s="119"/>
      <c r="H316" s="116"/>
      <c r="I316" s="119"/>
      <c r="J316" s="132"/>
      <c r="K316" s="199" t="str">
        <f>HYPERLINK(CONCATENATE("http://www.spr.depen.pr.gov.br/centralvagas/exibirFoto.jpg?numProntuario=",$E316,"&amp;idImagem=1"),"FOTO 1")</f>
        <v>FOTO 1</v>
      </c>
      <c r="L316" s="199" t="str">
        <f>HYPERLINK(CONCATENATE("http://www.spr.depen.pr.gov.br/centralvagas/exibirFoto.jpg?numProntuario=",$E316,"&amp;idImagem=2"),"FOTO 2")</f>
        <v>FOTO 2</v>
      </c>
      <c r="M316" s="199" t="str">
        <f>HYPERLINK(CONCATENATE("http://www.spr.depen.pr.gov.br/centralvagas/exibirFoto.jpg?numProntuario=",$E316,"&amp;idImagem=3"),"FOTO 3")</f>
        <v>FOTO 3</v>
      </c>
      <c r="N316" s="199" t="str">
        <f>HYPERLINK(CONCATENATE("http://www.spr.depen.pr.gov.br/centralvagas/exibirFoto.jpg?numProntuario=",$E316,"&amp;idImagem=4"),"FOTO 4")</f>
        <v>FOTO 4</v>
      </c>
      <c r="O316" s="199" t="str">
        <f>HYPERLINK(CONCATENATE("http://www.spr.depen.pr.gov.br/centralvagas/exibirFoto.jpg?numProntuario=",$E316,"&amp;idImagem=5"),"FOTO 5")</f>
        <v>FOTO 5</v>
      </c>
      <c r="P316" s="199" t="str">
        <f>HYPERLINK(CONCATENATE("http://www.spr.depen.pr.gov.br/centralvagas/exibirFoto.jpg?numProntuario=",$E316,"&amp;idImagem=6"),"FOTO 6")</f>
        <v>FOTO 6</v>
      </c>
    </row>
    <row r="317" spans="1:16" ht="14.1" customHeight="1" thickTop="1" thickBot="1">
      <c r="A317" s="118"/>
      <c r="B317" s="322"/>
      <c r="C317" s="116" t="s">
        <v>715</v>
      </c>
      <c r="D317" s="131" t="s">
        <v>2746</v>
      </c>
      <c r="E317" s="117">
        <v>148070</v>
      </c>
      <c r="F317" s="116"/>
      <c r="G317" s="119"/>
      <c r="H317" s="116"/>
      <c r="I317" s="119"/>
      <c r="J317" s="132"/>
      <c r="K317" s="199" t="str">
        <f>HYPERLINK(CONCATENATE("http://www.spr.depen.pr.gov.br/centralvagas/exibirFoto.jpg?numProntuario=",$E317,"&amp;idImagem=1"),"FOTO 1")</f>
        <v>FOTO 1</v>
      </c>
      <c r="L317" s="199" t="str">
        <f>HYPERLINK(CONCATENATE("http://www.spr.depen.pr.gov.br/centralvagas/exibirFoto.jpg?numProntuario=",$E317,"&amp;idImagem=2"),"FOTO 2")</f>
        <v>FOTO 2</v>
      </c>
      <c r="M317" s="199" t="str">
        <f>HYPERLINK(CONCATENATE("http://www.spr.depen.pr.gov.br/centralvagas/exibirFoto.jpg?numProntuario=",$E317,"&amp;idImagem=3"),"FOTO 3")</f>
        <v>FOTO 3</v>
      </c>
      <c r="N317" s="199" t="str">
        <f>HYPERLINK(CONCATENATE("http://www.spr.depen.pr.gov.br/centralvagas/exibirFoto.jpg?numProntuario=",$E317,"&amp;idImagem=4"),"FOTO 4")</f>
        <v>FOTO 4</v>
      </c>
      <c r="O317" s="199" t="str">
        <f>HYPERLINK(CONCATENATE("http://www.spr.depen.pr.gov.br/centralvagas/exibirFoto.jpg?numProntuario=",$E317,"&amp;idImagem=5"),"FOTO 5")</f>
        <v>FOTO 5</v>
      </c>
      <c r="P317" s="199" t="str">
        <f>HYPERLINK(CONCATENATE("http://www.spr.depen.pr.gov.br/centralvagas/exibirFoto.jpg?numProntuario=",$E317,"&amp;idImagem=6"),"FOTO 6")</f>
        <v>FOTO 6</v>
      </c>
    </row>
    <row r="318" spans="1:16" ht="14.1" customHeight="1" thickTop="1" thickBot="1">
      <c r="A318" s="123"/>
      <c r="B318" s="419"/>
      <c r="C318" s="214" t="s">
        <v>1324</v>
      </c>
      <c r="D318" s="128" t="s">
        <v>3404</v>
      </c>
      <c r="E318" s="466">
        <v>120837</v>
      </c>
      <c r="F318" s="133"/>
      <c r="G318" s="119"/>
      <c r="H318" s="116"/>
      <c r="I318" s="119"/>
      <c r="J318" s="116"/>
      <c r="K318" s="199" t="str">
        <f>HYPERLINK(CONCATENATE("http://www.spr.depen.pr.gov.br/centralvagas/exibirFoto.jpg?numProntuario=",$E318,"&amp;idImagem=1"),"FOTO 1")</f>
        <v>FOTO 1</v>
      </c>
      <c r="L318" s="199" t="str">
        <f>HYPERLINK(CONCATENATE("http://www.spr.depen.pr.gov.br/centralvagas/exibirFoto.jpg?numProntuario=",$E318,"&amp;idImagem=2"),"FOTO 2")</f>
        <v>FOTO 2</v>
      </c>
      <c r="M318" s="199" t="str">
        <f>HYPERLINK(CONCATENATE("http://www.spr.depen.pr.gov.br/centralvagas/exibirFoto.jpg?numProntuario=",$E318,"&amp;idImagem=3"),"FOTO 3")</f>
        <v>FOTO 3</v>
      </c>
      <c r="N318" s="199" t="str">
        <f>HYPERLINK(CONCATENATE("http://www.spr.depen.pr.gov.br/centralvagas/exibirFoto.jpg?numProntuario=",$E318,"&amp;idImagem=4"),"FOTO 4")</f>
        <v>FOTO 4</v>
      </c>
      <c r="O318" s="199" t="str">
        <f>HYPERLINK(CONCATENATE("http://www.spr.depen.pr.gov.br/centralvagas/exibirFoto.jpg?numProntuario=",$E318,"&amp;idImagem=5"),"FOTO 5")</f>
        <v>FOTO 5</v>
      </c>
      <c r="P318" s="199" t="str">
        <f>HYPERLINK(CONCATENATE("http://www.spr.depen.pr.gov.br/centralvagas/exibirFoto.jpg?numProntuario=",$E318,"&amp;idImagem=6"),"FOTO 6")</f>
        <v>FOTO 6</v>
      </c>
    </row>
    <row r="319" spans="1:16" ht="14.1" customHeight="1" thickTop="1" thickBot="1">
      <c r="A319" s="207"/>
      <c r="B319" s="147"/>
      <c r="C319" s="116" t="s">
        <v>1324</v>
      </c>
      <c r="D319" s="130" t="s">
        <v>2827</v>
      </c>
      <c r="E319" s="117">
        <v>155443</v>
      </c>
      <c r="F319" s="116"/>
      <c r="G319" s="119"/>
      <c r="H319" s="116"/>
      <c r="I319" s="119"/>
      <c r="J319" s="132"/>
      <c r="K319" s="199" t="str">
        <f>HYPERLINK(CONCATENATE("http://www.spr.depen.pr.gov.br/centralvagas/exibirFoto.jpg?numProntuario=",$E319,"&amp;idImagem=1"),"FOTO 1")</f>
        <v>FOTO 1</v>
      </c>
      <c r="L319" s="199" t="str">
        <f>HYPERLINK(CONCATENATE("http://www.spr.depen.pr.gov.br/centralvagas/exibirFoto.jpg?numProntuario=",$E319,"&amp;idImagem=2"),"FOTO 2")</f>
        <v>FOTO 2</v>
      </c>
      <c r="M319" s="199" t="str">
        <f>HYPERLINK(CONCATENATE("http://www.spr.depen.pr.gov.br/centralvagas/exibirFoto.jpg?numProntuario=",$E319,"&amp;idImagem=3"),"FOTO 3")</f>
        <v>FOTO 3</v>
      </c>
      <c r="N319" s="199" t="str">
        <f>HYPERLINK(CONCATENATE("http://www.spr.depen.pr.gov.br/centralvagas/exibirFoto.jpg?numProntuario=",$E319,"&amp;idImagem=4"),"FOTO 4")</f>
        <v>FOTO 4</v>
      </c>
      <c r="O319" s="199" t="str">
        <f>HYPERLINK(CONCATENATE("http://www.spr.depen.pr.gov.br/centralvagas/exibirFoto.jpg?numProntuario=",$E319,"&amp;idImagem=5"),"FOTO 5")</f>
        <v>FOTO 5</v>
      </c>
      <c r="P319" s="199" t="str">
        <f>HYPERLINK(CONCATENATE("http://www.spr.depen.pr.gov.br/centralvagas/exibirFoto.jpg?numProntuario=",$E319,"&amp;idImagem=6"),"FOTO 6")</f>
        <v>FOTO 6</v>
      </c>
    </row>
    <row r="320" spans="1:16" ht="14.1" customHeight="1" thickTop="1" thickBot="1">
      <c r="A320" s="207"/>
      <c r="B320" s="228"/>
      <c r="C320" s="126" t="s">
        <v>1324</v>
      </c>
      <c r="D320" s="141" t="s">
        <v>3395</v>
      </c>
      <c r="E320" s="117">
        <v>104013</v>
      </c>
      <c r="F320" s="145"/>
      <c r="G320" s="162"/>
      <c r="H320" s="145"/>
      <c r="I320" s="162"/>
      <c r="J320" s="145"/>
      <c r="K320" s="199" t="str">
        <f>HYPERLINK(CONCATENATE("http://www.spr.depen.pr.gov.br/centralvagas/exibirFoto.jpg?numProntuario=",$E320,"&amp;idImagem=1"),"FOTO 1")</f>
        <v>FOTO 1</v>
      </c>
      <c r="L320" s="199" t="str">
        <f>HYPERLINK(CONCATENATE("http://www.spr.depen.pr.gov.br/centralvagas/exibirFoto.jpg?numProntuario=",$E320,"&amp;idImagem=2"),"FOTO 2")</f>
        <v>FOTO 2</v>
      </c>
      <c r="M320" s="199" t="str">
        <f>HYPERLINK(CONCATENATE("http://www.spr.depen.pr.gov.br/centralvagas/exibirFoto.jpg?numProntuario=",$E320,"&amp;idImagem=3"),"FOTO 3")</f>
        <v>FOTO 3</v>
      </c>
      <c r="N320" s="199" t="str">
        <f>HYPERLINK(CONCATENATE("http://www.spr.depen.pr.gov.br/centralvagas/exibirFoto.jpg?numProntuario=",$E320,"&amp;idImagem=4"),"FOTO 4")</f>
        <v>FOTO 4</v>
      </c>
      <c r="O320" s="199" t="str">
        <f>HYPERLINK(CONCATENATE("http://www.spr.depen.pr.gov.br/centralvagas/exibirFoto.jpg?numProntuario=",$E320,"&amp;idImagem=5"),"FOTO 5")</f>
        <v>FOTO 5</v>
      </c>
      <c r="P320" s="199" t="str">
        <f>HYPERLINK(CONCATENATE("http://www.spr.depen.pr.gov.br/centralvagas/exibirFoto.jpg?numProntuario=",$E320,"&amp;idImagem=6"),"FOTO 6")</f>
        <v>FOTO 6</v>
      </c>
    </row>
    <row r="321" spans="1:16" ht="14.1" customHeight="1" thickTop="1" thickBot="1">
      <c r="A321" s="207"/>
      <c r="B321" s="419"/>
      <c r="C321" s="116" t="s">
        <v>1324</v>
      </c>
      <c r="D321" s="130" t="s">
        <v>2510</v>
      </c>
      <c r="E321" s="117">
        <v>124952</v>
      </c>
      <c r="F321" s="145"/>
      <c r="G321" s="162"/>
      <c r="H321" s="145"/>
      <c r="I321" s="162"/>
      <c r="J321" s="145"/>
      <c r="K321" s="199" t="str">
        <f>HYPERLINK(CONCATENATE("http://www.spr.depen.pr.gov.br/centralvagas/exibirFoto.jpg?numProntuario=",$E321,"&amp;idImagem=1"),"FOTO 1")</f>
        <v>FOTO 1</v>
      </c>
      <c r="L321" s="199" t="str">
        <f>HYPERLINK(CONCATENATE("http://www.spr.depen.pr.gov.br/centralvagas/exibirFoto.jpg?numProntuario=",$E321,"&amp;idImagem=2"),"FOTO 2")</f>
        <v>FOTO 2</v>
      </c>
      <c r="M321" s="199" t="str">
        <f>HYPERLINK(CONCATENATE("http://www.spr.depen.pr.gov.br/centralvagas/exibirFoto.jpg?numProntuario=",$E321,"&amp;idImagem=3"),"FOTO 3")</f>
        <v>FOTO 3</v>
      </c>
      <c r="N321" s="199" t="str">
        <f>HYPERLINK(CONCATENATE("http://www.spr.depen.pr.gov.br/centralvagas/exibirFoto.jpg?numProntuario=",$E321,"&amp;idImagem=4"),"FOTO 4")</f>
        <v>FOTO 4</v>
      </c>
      <c r="O321" s="199" t="str">
        <f>HYPERLINK(CONCATENATE("http://www.spr.depen.pr.gov.br/centralvagas/exibirFoto.jpg?numProntuario=",$E321,"&amp;idImagem=5"),"FOTO 5")</f>
        <v>FOTO 5</v>
      </c>
      <c r="P321" s="199" t="str">
        <f>HYPERLINK(CONCATENATE("http://www.spr.depen.pr.gov.br/centralvagas/exibirFoto.jpg?numProntuario=",$E321,"&amp;idImagem=6"),"FOTO 6")</f>
        <v>FOTO 6</v>
      </c>
    </row>
    <row r="322" spans="1:16" ht="14.1" customHeight="1" thickTop="1" thickBot="1">
      <c r="A322" s="151"/>
      <c r="B322" s="228"/>
      <c r="C322" s="118" t="s">
        <v>1324</v>
      </c>
      <c r="D322" s="122" t="s">
        <v>3405</v>
      </c>
      <c r="E322" s="466">
        <v>166150</v>
      </c>
      <c r="F322" s="133"/>
      <c r="G322" s="119"/>
      <c r="H322" s="116"/>
      <c r="I322" s="119"/>
      <c r="J322" s="116"/>
      <c r="K322" s="199" t="str">
        <f>HYPERLINK(CONCATENATE("http://www.spr.depen.pr.gov.br/centralvagas/exibirFoto.jpg?numProntuario=",$E322,"&amp;idImagem=1"),"FOTO 1")</f>
        <v>FOTO 1</v>
      </c>
      <c r="L322" s="199" t="str">
        <f>HYPERLINK(CONCATENATE("http://www.spr.depen.pr.gov.br/centralvagas/exibirFoto.jpg?numProntuario=",$E322,"&amp;idImagem=2"),"FOTO 2")</f>
        <v>FOTO 2</v>
      </c>
      <c r="M322" s="199" t="str">
        <f>HYPERLINK(CONCATENATE("http://www.spr.depen.pr.gov.br/centralvagas/exibirFoto.jpg?numProntuario=",$E322,"&amp;idImagem=3"),"FOTO 3")</f>
        <v>FOTO 3</v>
      </c>
      <c r="N322" s="199" t="str">
        <f>HYPERLINK(CONCATENATE("http://www.spr.depen.pr.gov.br/centralvagas/exibirFoto.jpg?numProntuario=",$E322,"&amp;idImagem=4"),"FOTO 4")</f>
        <v>FOTO 4</v>
      </c>
      <c r="O322" s="199" t="str">
        <f>HYPERLINK(CONCATENATE("http://www.spr.depen.pr.gov.br/centralvagas/exibirFoto.jpg?numProntuario=",$E322,"&amp;idImagem=5"),"FOTO 5")</f>
        <v>FOTO 5</v>
      </c>
      <c r="P322" s="199" t="str">
        <f>HYPERLINK(CONCATENATE("http://www.spr.depen.pr.gov.br/centralvagas/exibirFoto.jpg?numProntuario=",$E322,"&amp;idImagem=6"),"FOTO 6")</f>
        <v>FOTO 6</v>
      </c>
    </row>
    <row r="323" spans="1:16" ht="14.1" customHeight="1" thickTop="1" thickBot="1">
      <c r="A323" s="123"/>
      <c r="B323" s="147"/>
      <c r="C323" s="116" t="s">
        <v>1503</v>
      </c>
      <c r="D323" s="131" t="s">
        <v>2658</v>
      </c>
      <c r="E323" s="117">
        <v>116732</v>
      </c>
      <c r="F323" s="116"/>
      <c r="G323" s="119"/>
      <c r="H323" s="116"/>
      <c r="I323" s="119"/>
      <c r="J323" s="116"/>
      <c r="K323" s="199" t="str">
        <f>HYPERLINK(CONCATENATE("http://www.spr.depen.pr.gov.br/centralvagas/exibirFoto.jpg?numProntuario=",$E323,"&amp;idImagem=1"),"FOTO 1")</f>
        <v>FOTO 1</v>
      </c>
      <c r="L323" s="199" t="str">
        <f>HYPERLINK(CONCATENATE("http://www.spr.depen.pr.gov.br/centralvagas/exibirFoto.jpg?numProntuario=",$E323,"&amp;idImagem=2"),"FOTO 2")</f>
        <v>FOTO 2</v>
      </c>
      <c r="M323" s="199" t="str">
        <f>HYPERLINK(CONCATENATE("http://www.spr.depen.pr.gov.br/centralvagas/exibirFoto.jpg?numProntuario=",$E323,"&amp;idImagem=3"),"FOTO 3")</f>
        <v>FOTO 3</v>
      </c>
      <c r="N323" s="199" t="str">
        <f>HYPERLINK(CONCATENATE("http://www.spr.depen.pr.gov.br/centralvagas/exibirFoto.jpg?numProntuario=",$E323,"&amp;idImagem=4"),"FOTO 4")</f>
        <v>FOTO 4</v>
      </c>
      <c r="O323" s="199" t="str">
        <f>HYPERLINK(CONCATENATE("http://www.spr.depen.pr.gov.br/centralvagas/exibirFoto.jpg?numProntuario=",$E323,"&amp;idImagem=5"),"FOTO 5")</f>
        <v>FOTO 5</v>
      </c>
      <c r="P323" s="199" t="str">
        <f>HYPERLINK(CONCATENATE("http://www.spr.depen.pr.gov.br/centralvagas/exibirFoto.jpg?numProntuario=",$E323,"&amp;idImagem=6"),"FOTO 6")</f>
        <v>FOTO 6</v>
      </c>
    </row>
    <row r="324" spans="1:16" ht="14.1" customHeight="1" thickTop="1" thickBot="1">
      <c r="A324" s="207"/>
      <c r="B324" s="147"/>
      <c r="C324" s="116" t="s">
        <v>1503</v>
      </c>
      <c r="D324" s="131" t="s">
        <v>474</v>
      </c>
      <c r="E324" s="205">
        <v>55716</v>
      </c>
      <c r="F324" s="116"/>
      <c r="G324" s="119"/>
      <c r="H324" s="116"/>
      <c r="I324" s="119"/>
      <c r="J324" s="132"/>
      <c r="K324" s="199" t="str">
        <f>HYPERLINK(CONCATENATE("http://www.spr.depen.pr.gov.br/centralvagas/exibirFoto.jpg?numProntuario=",$E324,"&amp;idImagem=1"),"FOTO 1")</f>
        <v>FOTO 1</v>
      </c>
      <c r="L324" s="199" t="str">
        <f>HYPERLINK(CONCATENATE("http://www.spr.depen.pr.gov.br/centralvagas/exibirFoto.jpg?numProntuario=",$E324,"&amp;idImagem=2"),"FOTO 2")</f>
        <v>FOTO 2</v>
      </c>
      <c r="M324" s="199" t="str">
        <f>HYPERLINK(CONCATENATE("http://www.spr.depen.pr.gov.br/centralvagas/exibirFoto.jpg?numProntuario=",$E324,"&amp;idImagem=3"),"FOTO 3")</f>
        <v>FOTO 3</v>
      </c>
      <c r="N324" s="199" t="str">
        <f>HYPERLINK(CONCATENATE("http://www.spr.depen.pr.gov.br/centralvagas/exibirFoto.jpg?numProntuario=",$E324,"&amp;idImagem=4"),"FOTO 4")</f>
        <v>FOTO 4</v>
      </c>
      <c r="O324" s="199" t="str">
        <f>HYPERLINK(CONCATENATE("http://www.spr.depen.pr.gov.br/centralvagas/exibirFoto.jpg?numProntuario=",$E324,"&amp;idImagem=5"),"FOTO 5")</f>
        <v>FOTO 5</v>
      </c>
      <c r="P324" s="199" t="str">
        <f>HYPERLINK(CONCATENATE("http://www.spr.depen.pr.gov.br/centralvagas/exibirFoto.jpg?numProntuario=",$E324,"&amp;idImagem=6"),"FOTO 6")</f>
        <v>FOTO 6</v>
      </c>
    </row>
    <row r="325" spans="1:16" ht="14.1" customHeight="1" thickTop="1" thickBot="1">
      <c r="A325" s="123"/>
      <c r="B325" s="438"/>
      <c r="C325" s="116" t="s">
        <v>1503</v>
      </c>
      <c r="D325" s="129" t="s">
        <v>3460</v>
      </c>
      <c r="E325" s="117">
        <v>163073</v>
      </c>
      <c r="F325" s="116"/>
      <c r="G325" s="119"/>
      <c r="H325" s="116"/>
      <c r="I325" s="119"/>
      <c r="J325" s="116"/>
      <c r="K325" s="199" t="str">
        <f>HYPERLINK(CONCATENATE("http://www.spr.depen.pr.gov.br/centralvagas/exibirFoto.jpg?numProntuario=",$E325,"&amp;idImagem=1"),"FOTO 1")</f>
        <v>FOTO 1</v>
      </c>
      <c r="L325" s="199" t="str">
        <f>HYPERLINK(CONCATENATE("http://www.spr.depen.pr.gov.br/centralvagas/exibirFoto.jpg?numProntuario=",$E325,"&amp;idImagem=2"),"FOTO 2")</f>
        <v>FOTO 2</v>
      </c>
      <c r="M325" s="199" t="str">
        <f>HYPERLINK(CONCATENATE("http://www.spr.depen.pr.gov.br/centralvagas/exibirFoto.jpg?numProntuario=",$E325,"&amp;idImagem=3"),"FOTO 3")</f>
        <v>FOTO 3</v>
      </c>
      <c r="N325" s="199" t="str">
        <f>HYPERLINK(CONCATENATE("http://www.spr.depen.pr.gov.br/centralvagas/exibirFoto.jpg?numProntuario=",$E325,"&amp;idImagem=4"),"FOTO 4")</f>
        <v>FOTO 4</v>
      </c>
      <c r="O325" s="199" t="str">
        <f>HYPERLINK(CONCATENATE("http://www.spr.depen.pr.gov.br/centralvagas/exibirFoto.jpg?numProntuario=",$E325,"&amp;idImagem=5"),"FOTO 5")</f>
        <v>FOTO 5</v>
      </c>
      <c r="P325" s="199" t="str">
        <f>HYPERLINK(CONCATENATE("http://www.spr.depen.pr.gov.br/centralvagas/exibirFoto.jpg?numProntuario=",$E325,"&amp;idImagem=6"),"FOTO 6")</f>
        <v>FOTO 6</v>
      </c>
    </row>
    <row r="326" spans="1:16" ht="14.1" customHeight="1" thickTop="1" thickBot="1">
      <c r="A326" s="116"/>
      <c r="B326" s="147"/>
      <c r="C326" s="118" t="s">
        <v>1503</v>
      </c>
      <c r="D326" s="131" t="s">
        <v>3511</v>
      </c>
      <c r="E326" s="117">
        <v>111062</v>
      </c>
      <c r="F326" s="116"/>
      <c r="G326" s="119"/>
      <c r="H326" s="116"/>
      <c r="I326" s="119"/>
      <c r="J326" s="116"/>
      <c r="K326" s="199" t="str">
        <f>HYPERLINK(CONCATENATE("http://www.spr.depen.pr.gov.br/centralvagas/exibirFoto.jpg?numProntuario=",$E326,"&amp;idImagem=1"),"FOTO 1")</f>
        <v>FOTO 1</v>
      </c>
      <c r="L326" s="199" t="str">
        <f>HYPERLINK(CONCATENATE("http://www.spr.depen.pr.gov.br/centralvagas/exibirFoto.jpg?numProntuario=",$E326,"&amp;idImagem=2"),"FOTO 2")</f>
        <v>FOTO 2</v>
      </c>
      <c r="M326" s="199" t="str">
        <f>HYPERLINK(CONCATENATE("http://www.spr.depen.pr.gov.br/centralvagas/exibirFoto.jpg?numProntuario=",$E326,"&amp;idImagem=3"),"FOTO 3")</f>
        <v>FOTO 3</v>
      </c>
      <c r="N326" s="199" t="str">
        <f>HYPERLINK(CONCATENATE("http://www.spr.depen.pr.gov.br/centralvagas/exibirFoto.jpg?numProntuario=",$E326,"&amp;idImagem=4"),"FOTO 4")</f>
        <v>FOTO 4</v>
      </c>
      <c r="O326" s="199" t="str">
        <f>HYPERLINK(CONCATENATE("http://www.spr.depen.pr.gov.br/centralvagas/exibirFoto.jpg?numProntuario=",$E326,"&amp;idImagem=5"),"FOTO 5")</f>
        <v>FOTO 5</v>
      </c>
      <c r="P326" s="199" t="str">
        <f>HYPERLINK(CONCATENATE("http://www.spr.depen.pr.gov.br/centralvagas/exibirFoto.jpg?numProntuario=",$E326,"&amp;idImagem=6"),"FOTO 6")</f>
        <v>FOTO 6</v>
      </c>
    </row>
    <row r="327" spans="1:16" ht="14.1" customHeight="1" thickTop="1" thickBot="1">
      <c r="A327" s="251"/>
      <c r="B327" s="254"/>
      <c r="C327" s="116" t="s">
        <v>1503</v>
      </c>
      <c r="D327" s="130" t="s">
        <v>3581</v>
      </c>
      <c r="E327" s="117">
        <v>102435</v>
      </c>
      <c r="F327" s="116"/>
      <c r="G327" s="119"/>
      <c r="H327" s="116"/>
      <c r="I327" s="119"/>
      <c r="J327" s="116"/>
      <c r="K327" s="199" t="str">
        <f>HYPERLINK(CONCATENATE("http://www.spr.depen.pr.gov.br/centralvagas/exibirFoto.jpg?numProntuario=",$E327,"&amp;idImagem=1"),"FOTO 1")</f>
        <v>FOTO 1</v>
      </c>
      <c r="L327" s="199" t="str">
        <f>HYPERLINK(CONCATENATE("http://www.spr.depen.pr.gov.br/centralvagas/exibirFoto.jpg?numProntuario=",$E327,"&amp;idImagem=2"),"FOTO 2")</f>
        <v>FOTO 2</v>
      </c>
      <c r="M327" s="199" t="str">
        <f>HYPERLINK(CONCATENATE("http://www.spr.depen.pr.gov.br/centralvagas/exibirFoto.jpg?numProntuario=",$E327,"&amp;idImagem=3"),"FOTO 3")</f>
        <v>FOTO 3</v>
      </c>
      <c r="N327" s="199" t="str">
        <f>HYPERLINK(CONCATENATE("http://www.spr.depen.pr.gov.br/centralvagas/exibirFoto.jpg?numProntuario=",$E327,"&amp;idImagem=4"),"FOTO 4")</f>
        <v>FOTO 4</v>
      </c>
      <c r="O327" s="199" t="str">
        <f>HYPERLINK(CONCATENATE("http://www.spr.depen.pr.gov.br/centralvagas/exibirFoto.jpg?numProntuario=",$E327,"&amp;idImagem=5"),"FOTO 5")</f>
        <v>FOTO 5</v>
      </c>
      <c r="P327" s="199" t="str">
        <f>HYPERLINK(CONCATENATE("http://www.spr.depen.pr.gov.br/centralvagas/exibirFoto.jpg?numProntuario=",$E327,"&amp;idImagem=6"),"FOTO 6")</f>
        <v>FOTO 6</v>
      </c>
    </row>
    <row r="328" spans="1:16" ht="14.1" customHeight="1" thickTop="1" thickBot="1">
      <c r="A328" s="120"/>
      <c r="B328" s="147"/>
      <c r="C328" s="116" t="s">
        <v>716</v>
      </c>
      <c r="D328" s="130" t="s">
        <v>2688</v>
      </c>
      <c r="E328" s="117">
        <v>131711</v>
      </c>
      <c r="F328" s="116"/>
      <c r="G328" s="119"/>
      <c r="H328" s="116"/>
      <c r="I328" s="119"/>
      <c r="J328" s="132"/>
      <c r="K328" s="199" t="str">
        <f>HYPERLINK(CONCATENATE("http://www.spr.depen.pr.gov.br/centralvagas/exibirFoto.jpg?numProntuario=",$E328,"&amp;idImagem=1"),"FOTO 1")</f>
        <v>FOTO 1</v>
      </c>
      <c r="L328" s="199" t="str">
        <f>HYPERLINK(CONCATENATE("http://www.spr.depen.pr.gov.br/centralvagas/exibirFoto.jpg?numProntuario=",$E328,"&amp;idImagem=2"),"FOTO 2")</f>
        <v>FOTO 2</v>
      </c>
      <c r="M328" s="199" t="str">
        <f>HYPERLINK(CONCATENATE("http://www.spr.depen.pr.gov.br/centralvagas/exibirFoto.jpg?numProntuario=",$E328,"&amp;idImagem=3"),"FOTO 3")</f>
        <v>FOTO 3</v>
      </c>
      <c r="N328" s="199" t="str">
        <f>HYPERLINK(CONCATENATE("http://www.spr.depen.pr.gov.br/centralvagas/exibirFoto.jpg?numProntuario=",$E328,"&amp;idImagem=4"),"FOTO 4")</f>
        <v>FOTO 4</v>
      </c>
      <c r="O328" s="199" t="str">
        <f>HYPERLINK(CONCATENATE("http://www.spr.depen.pr.gov.br/centralvagas/exibirFoto.jpg?numProntuario=",$E328,"&amp;idImagem=5"),"FOTO 5")</f>
        <v>FOTO 5</v>
      </c>
      <c r="P328" s="199" t="str">
        <f>HYPERLINK(CONCATENATE("http://www.spr.depen.pr.gov.br/centralvagas/exibirFoto.jpg?numProntuario=",$E328,"&amp;idImagem=6"),"FOTO 6")</f>
        <v>FOTO 6</v>
      </c>
    </row>
    <row r="329" spans="1:16" ht="14.1" customHeight="1" thickTop="1" thickBot="1">
      <c r="A329" s="151"/>
      <c r="B329" s="245"/>
      <c r="C329" s="116" t="s">
        <v>716</v>
      </c>
      <c r="D329" s="130" t="s">
        <v>2811</v>
      </c>
      <c r="E329" s="117">
        <v>18584</v>
      </c>
      <c r="F329" s="116"/>
      <c r="G329" s="119"/>
      <c r="H329" s="116"/>
      <c r="I329" s="119"/>
      <c r="J329" s="132"/>
      <c r="K329" s="199" t="str">
        <f>HYPERLINK(CONCATENATE("http://www.spr.depen.pr.gov.br/centralvagas/exibirFoto.jpg?numProntuario=",$E329,"&amp;idImagem=1"),"FOTO 1")</f>
        <v>FOTO 1</v>
      </c>
      <c r="L329" s="199" t="str">
        <f>HYPERLINK(CONCATENATE("http://www.spr.depen.pr.gov.br/centralvagas/exibirFoto.jpg?numProntuario=",$E329,"&amp;idImagem=2"),"FOTO 2")</f>
        <v>FOTO 2</v>
      </c>
      <c r="M329" s="199" t="str">
        <f>HYPERLINK(CONCATENATE("http://www.spr.depen.pr.gov.br/centralvagas/exibirFoto.jpg?numProntuario=",$E329,"&amp;idImagem=3"),"FOTO 3")</f>
        <v>FOTO 3</v>
      </c>
      <c r="N329" s="199" t="str">
        <f>HYPERLINK(CONCATENATE("http://www.spr.depen.pr.gov.br/centralvagas/exibirFoto.jpg?numProntuario=",$E329,"&amp;idImagem=4"),"FOTO 4")</f>
        <v>FOTO 4</v>
      </c>
      <c r="O329" s="199" t="str">
        <f>HYPERLINK(CONCATENATE("http://www.spr.depen.pr.gov.br/centralvagas/exibirFoto.jpg?numProntuario=",$E329,"&amp;idImagem=5"),"FOTO 5")</f>
        <v>FOTO 5</v>
      </c>
      <c r="P329" s="199" t="str">
        <f>HYPERLINK(CONCATENATE("http://www.spr.depen.pr.gov.br/centralvagas/exibirFoto.jpg?numProntuario=",$E329,"&amp;idImagem=6"),"FOTO 6")</f>
        <v>FOTO 6</v>
      </c>
    </row>
    <row r="330" spans="1:16" ht="14.1" customHeight="1" thickTop="1" thickBot="1">
      <c r="A330" s="123"/>
      <c r="B330" s="147"/>
      <c r="C330" s="116" t="s">
        <v>716</v>
      </c>
      <c r="D330" s="130" t="s">
        <v>2699</v>
      </c>
      <c r="E330" s="117">
        <v>165542</v>
      </c>
      <c r="F330" s="243"/>
      <c r="G330" s="244"/>
      <c r="H330" s="116"/>
      <c r="I330" s="119"/>
      <c r="J330" s="116"/>
      <c r="K330" s="199" t="str">
        <f>HYPERLINK(CONCATENATE("http://www.spr.depen.pr.gov.br/centralvagas/exibirFoto.jpg?numProntuario=",$E330,"&amp;idImagem=1"),"FOTO 1")</f>
        <v>FOTO 1</v>
      </c>
      <c r="L330" s="199" t="str">
        <f>HYPERLINK(CONCATENATE("http://www.spr.depen.pr.gov.br/centralvagas/exibirFoto.jpg?numProntuario=",$E330,"&amp;idImagem=2"),"FOTO 2")</f>
        <v>FOTO 2</v>
      </c>
      <c r="M330" s="199" t="str">
        <f>HYPERLINK(CONCATENATE("http://www.spr.depen.pr.gov.br/centralvagas/exibirFoto.jpg?numProntuario=",$E330,"&amp;idImagem=3"),"FOTO 3")</f>
        <v>FOTO 3</v>
      </c>
      <c r="N330" s="199" t="str">
        <f>HYPERLINK(CONCATENATE("http://www.spr.depen.pr.gov.br/centralvagas/exibirFoto.jpg?numProntuario=",$E330,"&amp;idImagem=4"),"FOTO 4")</f>
        <v>FOTO 4</v>
      </c>
      <c r="O330" s="199" t="str">
        <f>HYPERLINK(CONCATENATE("http://www.spr.depen.pr.gov.br/centralvagas/exibirFoto.jpg?numProntuario=",$E330,"&amp;idImagem=5"),"FOTO 5")</f>
        <v>FOTO 5</v>
      </c>
      <c r="P330" s="199" t="str">
        <f>HYPERLINK(CONCATENATE("http://www.spr.depen.pr.gov.br/centralvagas/exibirFoto.jpg?numProntuario=",$E330,"&amp;idImagem=6"),"FOTO 6")</f>
        <v>FOTO 6</v>
      </c>
    </row>
    <row r="331" spans="1:16" ht="14.1" customHeight="1" thickTop="1" thickBot="1">
      <c r="A331" s="251"/>
      <c r="B331" s="245"/>
      <c r="C331" s="116" t="s">
        <v>716</v>
      </c>
      <c r="D331" s="371" t="s">
        <v>3532</v>
      </c>
      <c r="E331" s="117">
        <v>244313</v>
      </c>
      <c r="F331" s="356"/>
      <c r="G331" s="357"/>
      <c r="H331" s="116"/>
      <c r="I331" s="162"/>
      <c r="J331" s="116"/>
      <c r="K331" s="199" t="str">
        <f>HYPERLINK(CONCATENATE("http://www.spr.depen.pr.gov.br/centralvagas/exibirFoto.jpg?numProntuario=",$E331,"&amp;idImagem=1"),"FOTO 1")</f>
        <v>FOTO 1</v>
      </c>
      <c r="L331" s="199" t="str">
        <f>HYPERLINK(CONCATENATE("http://www.spr.depen.pr.gov.br/centralvagas/exibirFoto.jpg?numProntuario=",$E331,"&amp;idImagem=2"),"FOTO 2")</f>
        <v>FOTO 2</v>
      </c>
      <c r="M331" s="199" t="str">
        <f>HYPERLINK(CONCATENATE("http://www.spr.depen.pr.gov.br/centralvagas/exibirFoto.jpg?numProntuario=",$E331,"&amp;idImagem=3"),"FOTO 3")</f>
        <v>FOTO 3</v>
      </c>
      <c r="N331" s="199" t="str">
        <f>HYPERLINK(CONCATENATE("http://www.spr.depen.pr.gov.br/centralvagas/exibirFoto.jpg?numProntuario=",$E331,"&amp;idImagem=4"),"FOTO 4")</f>
        <v>FOTO 4</v>
      </c>
      <c r="O331" s="199" t="str">
        <f>HYPERLINK(CONCATENATE("http://www.spr.depen.pr.gov.br/centralvagas/exibirFoto.jpg?numProntuario=",$E331,"&amp;idImagem=5"),"FOTO 5")</f>
        <v>FOTO 5</v>
      </c>
      <c r="P331" s="199" t="str">
        <f>HYPERLINK(CONCATENATE("http://www.spr.depen.pr.gov.br/centralvagas/exibirFoto.jpg?numProntuario=",$E331,"&amp;idImagem=6"),"FOTO 6")</f>
        <v>FOTO 6</v>
      </c>
    </row>
    <row r="332" spans="1:16" ht="14.1" customHeight="1" thickTop="1" thickBot="1">
      <c r="A332" s="134"/>
      <c r="B332" s="330"/>
      <c r="C332" s="116" t="s">
        <v>716</v>
      </c>
      <c r="D332" s="149" t="s">
        <v>3431</v>
      </c>
      <c r="E332" s="117">
        <v>116706</v>
      </c>
      <c r="F332" s="116"/>
      <c r="G332" s="119"/>
      <c r="H332" s="116"/>
      <c r="I332" s="119"/>
      <c r="J332" s="116"/>
      <c r="K332" s="199" t="str">
        <f>HYPERLINK(CONCATENATE("http://www.spr.depen.pr.gov.br/centralvagas/exibirFoto.jpg?numProntuario=",$E332,"&amp;idImagem=1"),"FOTO 1")</f>
        <v>FOTO 1</v>
      </c>
      <c r="L332" s="199" t="str">
        <f>HYPERLINK(CONCATENATE("http://www.spr.depen.pr.gov.br/centralvagas/exibirFoto.jpg?numProntuario=",$E332,"&amp;idImagem=2"),"FOTO 2")</f>
        <v>FOTO 2</v>
      </c>
      <c r="M332" s="199" t="str">
        <f>HYPERLINK(CONCATENATE("http://www.spr.depen.pr.gov.br/centralvagas/exibirFoto.jpg?numProntuario=",$E332,"&amp;idImagem=3"),"FOTO 3")</f>
        <v>FOTO 3</v>
      </c>
      <c r="N332" s="199" t="str">
        <f>HYPERLINK(CONCATENATE("http://www.spr.depen.pr.gov.br/centralvagas/exibirFoto.jpg?numProntuario=",$E332,"&amp;idImagem=4"),"FOTO 4")</f>
        <v>FOTO 4</v>
      </c>
      <c r="O332" s="199" t="str">
        <f>HYPERLINK(CONCATENATE("http://www.spr.depen.pr.gov.br/centralvagas/exibirFoto.jpg?numProntuario=",$E332,"&amp;idImagem=5"),"FOTO 5")</f>
        <v>FOTO 5</v>
      </c>
      <c r="P332" s="199" t="str">
        <f>HYPERLINK(CONCATENATE("http://www.spr.depen.pr.gov.br/centralvagas/exibirFoto.jpg?numProntuario=",$E332,"&amp;idImagem=6"),"FOTO 6")</f>
        <v>FOTO 6</v>
      </c>
    </row>
    <row r="333" spans="1:16" ht="14.1" customHeight="1" thickTop="1" thickBot="1">
      <c r="A333" s="251"/>
      <c r="B333" s="254"/>
      <c r="C333" s="116" t="s">
        <v>2273</v>
      </c>
      <c r="D333" s="149" t="s">
        <v>2824</v>
      </c>
      <c r="E333" s="325">
        <v>111409</v>
      </c>
      <c r="F333" s="116"/>
      <c r="G333" s="119"/>
      <c r="H333" s="116"/>
      <c r="I333" s="119"/>
      <c r="J333" s="116"/>
      <c r="K333" s="199" t="str">
        <f>HYPERLINK(CONCATENATE("http://www.spr.depen.pr.gov.br/centralvagas/exibirFoto.jpg?numProntuario=",$E333,"&amp;idImagem=1"),"FOTO 1")</f>
        <v>FOTO 1</v>
      </c>
      <c r="L333" s="199" t="str">
        <f>HYPERLINK(CONCATENATE("http://www.spr.depen.pr.gov.br/centralvagas/exibirFoto.jpg?numProntuario=",$E333,"&amp;idImagem=2"),"FOTO 2")</f>
        <v>FOTO 2</v>
      </c>
      <c r="M333" s="199" t="str">
        <f>HYPERLINK(CONCATENATE("http://www.spr.depen.pr.gov.br/centralvagas/exibirFoto.jpg?numProntuario=",$E333,"&amp;idImagem=3"),"FOTO 3")</f>
        <v>FOTO 3</v>
      </c>
      <c r="N333" s="199" t="str">
        <f>HYPERLINK(CONCATENATE("http://www.spr.depen.pr.gov.br/centralvagas/exibirFoto.jpg?numProntuario=",$E333,"&amp;idImagem=4"),"FOTO 4")</f>
        <v>FOTO 4</v>
      </c>
      <c r="O333" s="199" t="str">
        <f>HYPERLINK(CONCATENATE("http://www.spr.depen.pr.gov.br/centralvagas/exibirFoto.jpg?numProntuario=",$E333,"&amp;idImagem=5"),"FOTO 5")</f>
        <v>FOTO 5</v>
      </c>
      <c r="P333" s="199" t="str">
        <f>HYPERLINK(CONCATENATE("http://www.spr.depen.pr.gov.br/centralvagas/exibirFoto.jpg?numProntuario=",$E333,"&amp;idImagem=6"),"FOTO 6")</f>
        <v>FOTO 6</v>
      </c>
    </row>
    <row r="334" spans="1:16" ht="14.1" customHeight="1" thickTop="1" thickBot="1">
      <c r="A334" s="251"/>
      <c r="B334" s="254"/>
      <c r="C334" s="116" t="s">
        <v>2273</v>
      </c>
      <c r="D334" s="149" t="s">
        <v>312</v>
      </c>
      <c r="E334" s="117">
        <v>27074</v>
      </c>
      <c r="F334" s="116"/>
      <c r="G334" s="119"/>
      <c r="H334" s="116"/>
      <c r="I334" s="119"/>
      <c r="J334" s="116"/>
      <c r="K334" s="199" t="str">
        <f>HYPERLINK(CONCATENATE("http://www.spr.depen.pr.gov.br/centralvagas/exibirFoto.jpg?numProntuario=",$E334,"&amp;idImagem=1"),"FOTO 1")</f>
        <v>FOTO 1</v>
      </c>
      <c r="L334" s="199" t="str">
        <f>HYPERLINK(CONCATENATE("http://www.spr.depen.pr.gov.br/centralvagas/exibirFoto.jpg?numProntuario=",$E334,"&amp;idImagem=2"),"FOTO 2")</f>
        <v>FOTO 2</v>
      </c>
      <c r="M334" s="199" t="str">
        <f>HYPERLINK(CONCATENATE("http://www.spr.depen.pr.gov.br/centralvagas/exibirFoto.jpg?numProntuario=",$E334,"&amp;idImagem=3"),"FOTO 3")</f>
        <v>FOTO 3</v>
      </c>
      <c r="N334" s="199" t="str">
        <f>HYPERLINK(CONCATENATE("http://www.spr.depen.pr.gov.br/centralvagas/exibirFoto.jpg?numProntuario=",$E334,"&amp;idImagem=4"),"FOTO 4")</f>
        <v>FOTO 4</v>
      </c>
      <c r="O334" s="199" t="str">
        <f>HYPERLINK(CONCATENATE("http://www.spr.depen.pr.gov.br/centralvagas/exibirFoto.jpg?numProntuario=",$E334,"&amp;idImagem=5"),"FOTO 5")</f>
        <v>FOTO 5</v>
      </c>
      <c r="P334" s="199" t="str">
        <f>HYPERLINK(CONCATENATE("http://www.spr.depen.pr.gov.br/centralvagas/exibirFoto.jpg?numProntuario=",$E334,"&amp;idImagem=6"),"FOTO 6")</f>
        <v>FOTO 6</v>
      </c>
    </row>
    <row r="335" spans="1:16" ht="14.1" customHeight="1" thickTop="1" thickBot="1">
      <c r="A335" s="120"/>
      <c r="B335" s="438"/>
      <c r="C335" s="116" t="s">
        <v>2273</v>
      </c>
      <c r="D335" s="130" t="s">
        <v>3397</v>
      </c>
      <c r="E335" s="117">
        <v>153290</v>
      </c>
      <c r="F335" s="145"/>
      <c r="G335" s="162"/>
      <c r="H335" s="145"/>
      <c r="I335" s="162"/>
      <c r="J335" s="145"/>
      <c r="K335" s="199" t="str">
        <f>HYPERLINK(CONCATENATE("http://www.spr.depen.pr.gov.br/centralvagas/exibirFoto.jpg?numProntuario=",$E335,"&amp;idImagem=1"),"FOTO 1")</f>
        <v>FOTO 1</v>
      </c>
      <c r="L335" s="199" t="str">
        <f>HYPERLINK(CONCATENATE("http://www.spr.depen.pr.gov.br/centralvagas/exibirFoto.jpg?numProntuario=",$E335,"&amp;idImagem=2"),"FOTO 2")</f>
        <v>FOTO 2</v>
      </c>
      <c r="M335" s="199" t="str">
        <f>HYPERLINK(CONCATENATE("http://www.spr.depen.pr.gov.br/centralvagas/exibirFoto.jpg?numProntuario=",$E335,"&amp;idImagem=3"),"FOTO 3")</f>
        <v>FOTO 3</v>
      </c>
      <c r="N335" s="199" t="str">
        <f>HYPERLINK(CONCATENATE("http://www.spr.depen.pr.gov.br/centralvagas/exibirFoto.jpg?numProntuario=",$E335,"&amp;idImagem=4"),"FOTO 4")</f>
        <v>FOTO 4</v>
      </c>
      <c r="O335" s="199" t="str">
        <f>HYPERLINK(CONCATENATE("http://www.spr.depen.pr.gov.br/centralvagas/exibirFoto.jpg?numProntuario=",$E335,"&amp;idImagem=5"),"FOTO 5")</f>
        <v>FOTO 5</v>
      </c>
      <c r="P335" s="199" t="str">
        <f>HYPERLINK(CONCATENATE("http://www.spr.depen.pr.gov.br/centralvagas/exibirFoto.jpg?numProntuario=",$E335,"&amp;idImagem=6"),"FOTO 6")</f>
        <v>FOTO 6</v>
      </c>
    </row>
    <row r="336" spans="1:16" ht="14.1" customHeight="1" thickTop="1" thickBot="1">
      <c r="A336" s="116"/>
      <c r="B336" s="419"/>
      <c r="C336" s="126" t="s">
        <v>2273</v>
      </c>
      <c r="D336" s="141" t="s">
        <v>3398</v>
      </c>
      <c r="E336" s="117">
        <v>51673</v>
      </c>
      <c r="F336" s="145"/>
      <c r="G336" s="162"/>
      <c r="H336" s="145"/>
      <c r="I336" s="162"/>
      <c r="J336" s="145"/>
      <c r="K336" s="199" t="str">
        <f>HYPERLINK(CONCATENATE("http://www.spr.depen.pr.gov.br/centralvagas/exibirFoto.jpg?numProntuario=",$E336,"&amp;idImagem=1"),"FOTO 1")</f>
        <v>FOTO 1</v>
      </c>
      <c r="L336" s="199" t="str">
        <f>HYPERLINK(CONCATENATE("http://www.spr.depen.pr.gov.br/centralvagas/exibirFoto.jpg?numProntuario=",$E336,"&amp;idImagem=2"),"FOTO 2")</f>
        <v>FOTO 2</v>
      </c>
      <c r="M336" s="199" t="str">
        <f>HYPERLINK(CONCATENATE("http://www.spr.depen.pr.gov.br/centralvagas/exibirFoto.jpg?numProntuario=",$E336,"&amp;idImagem=3"),"FOTO 3")</f>
        <v>FOTO 3</v>
      </c>
      <c r="N336" s="199" t="str">
        <f>HYPERLINK(CONCATENATE("http://www.spr.depen.pr.gov.br/centralvagas/exibirFoto.jpg?numProntuario=",$E336,"&amp;idImagem=4"),"FOTO 4")</f>
        <v>FOTO 4</v>
      </c>
      <c r="O336" s="199" t="str">
        <f>HYPERLINK(CONCATENATE("http://www.spr.depen.pr.gov.br/centralvagas/exibirFoto.jpg?numProntuario=",$E336,"&amp;idImagem=5"),"FOTO 5")</f>
        <v>FOTO 5</v>
      </c>
      <c r="P336" s="199" t="str">
        <f>HYPERLINK(CONCATENATE("http://www.spr.depen.pr.gov.br/centralvagas/exibirFoto.jpg?numProntuario=",$E336,"&amp;idImagem=6"),"FOTO 6")</f>
        <v>FOTO 6</v>
      </c>
    </row>
    <row r="337" spans="1:16" ht="14.1" customHeight="1" thickTop="1" thickBot="1">
      <c r="A337" s="207"/>
      <c r="B337" s="419"/>
      <c r="C337" s="217" t="s">
        <v>2273</v>
      </c>
      <c r="D337" s="422" t="s">
        <v>3399</v>
      </c>
      <c r="E337" s="117">
        <v>131714</v>
      </c>
      <c r="F337" s="145"/>
      <c r="G337" s="162"/>
      <c r="H337" s="145"/>
      <c r="I337" s="162"/>
      <c r="J337" s="145"/>
      <c r="K337" s="199" t="str">
        <f>HYPERLINK(CONCATENATE("http://www.spr.depen.pr.gov.br/centralvagas/exibirFoto.jpg?numProntuario=",$E337,"&amp;idImagem=1"),"FOTO 1")</f>
        <v>FOTO 1</v>
      </c>
      <c r="L337" s="199" t="str">
        <f>HYPERLINK(CONCATENATE("http://www.spr.depen.pr.gov.br/centralvagas/exibirFoto.jpg?numProntuario=",$E337,"&amp;idImagem=2"),"FOTO 2")</f>
        <v>FOTO 2</v>
      </c>
      <c r="M337" s="199" t="str">
        <f>HYPERLINK(CONCATENATE("http://www.spr.depen.pr.gov.br/centralvagas/exibirFoto.jpg?numProntuario=",$E337,"&amp;idImagem=3"),"FOTO 3")</f>
        <v>FOTO 3</v>
      </c>
      <c r="N337" s="199" t="str">
        <f>HYPERLINK(CONCATENATE("http://www.spr.depen.pr.gov.br/centralvagas/exibirFoto.jpg?numProntuario=",$E337,"&amp;idImagem=4"),"FOTO 4")</f>
        <v>FOTO 4</v>
      </c>
      <c r="O337" s="199" t="str">
        <f>HYPERLINK(CONCATENATE("http://www.spr.depen.pr.gov.br/centralvagas/exibirFoto.jpg?numProntuario=",$E337,"&amp;idImagem=5"),"FOTO 5")</f>
        <v>FOTO 5</v>
      </c>
      <c r="P337" s="199" t="str">
        <f>HYPERLINK(CONCATENATE("http://www.spr.depen.pr.gov.br/centralvagas/exibirFoto.jpg?numProntuario=",$E337,"&amp;idImagem=6"),"FOTO 6")</f>
        <v>FOTO 6</v>
      </c>
    </row>
    <row r="338" spans="1:16" ht="14.1" customHeight="1" thickTop="1" thickBot="1">
      <c r="A338" s="134"/>
      <c r="B338" s="229"/>
      <c r="C338" s="116" t="s">
        <v>2543</v>
      </c>
      <c r="D338" s="122" t="s">
        <v>1911</v>
      </c>
      <c r="E338" s="117">
        <v>7064</v>
      </c>
      <c r="F338" s="116"/>
      <c r="G338" s="119"/>
      <c r="H338" s="116"/>
      <c r="I338" s="119"/>
      <c r="J338" s="116"/>
      <c r="K338" s="199" t="str">
        <f>HYPERLINK(CONCATENATE("http://www.spr.depen.pr.gov.br/centralvagas/exibirFoto.jpg?numProntuario=",$E338,"&amp;idImagem=1"),"FOTO 1")</f>
        <v>FOTO 1</v>
      </c>
      <c r="L338" s="199" t="str">
        <f>HYPERLINK(CONCATENATE("http://www.spr.depen.pr.gov.br/centralvagas/exibirFoto.jpg?numProntuario=",$E338,"&amp;idImagem=2"),"FOTO 2")</f>
        <v>FOTO 2</v>
      </c>
      <c r="M338" s="199" t="str">
        <f>HYPERLINK(CONCATENATE("http://www.spr.depen.pr.gov.br/centralvagas/exibirFoto.jpg?numProntuario=",$E338,"&amp;idImagem=3"),"FOTO 3")</f>
        <v>FOTO 3</v>
      </c>
      <c r="N338" s="199" t="str">
        <f>HYPERLINK(CONCATENATE("http://www.spr.depen.pr.gov.br/centralvagas/exibirFoto.jpg?numProntuario=",$E338,"&amp;idImagem=4"),"FOTO 4")</f>
        <v>FOTO 4</v>
      </c>
      <c r="O338" s="199" t="str">
        <f>HYPERLINK(CONCATENATE("http://www.spr.depen.pr.gov.br/centralvagas/exibirFoto.jpg?numProntuario=",$E338,"&amp;idImagem=5"),"FOTO 5")</f>
        <v>FOTO 5</v>
      </c>
      <c r="P338" s="199" t="str">
        <f>HYPERLINK(CONCATENATE("http://www.spr.depen.pr.gov.br/centralvagas/exibirFoto.jpg?numProntuario=",$E338,"&amp;idImagem=6"),"FOTO 6")</f>
        <v>FOTO 6</v>
      </c>
    </row>
    <row r="339" spans="1:16" ht="14.1" customHeight="1" thickTop="1" thickBot="1">
      <c r="A339" s="118"/>
      <c r="B339" s="229"/>
      <c r="C339" s="118" t="s">
        <v>2543</v>
      </c>
      <c r="D339" s="122" t="s">
        <v>822</v>
      </c>
      <c r="E339" s="117">
        <v>106427</v>
      </c>
      <c r="F339" s="116"/>
      <c r="G339" s="119"/>
      <c r="H339" s="116"/>
      <c r="I339" s="119"/>
      <c r="J339" s="116"/>
      <c r="K339" s="199" t="str">
        <f>HYPERLINK(CONCATENATE("http://www.spr.depen.pr.gov.br/centralvagas/exibirFoto.jpg?numProntuario=",$E339,"&amp;idImagem=1"),"FOTO 1")</f>
        <v>FOTO 1</v>
      </c>
      <c r="L339" s="199" t="str">
        <f>HYPERLINK(CONCATENATE("http://www.spr.depen.pr.gov.br/centralvagas/exibirFoto.jpg?numProntuario=",$E339,"&amp;idImagem=2"),"FOTO 2")</f>
        <v>FOTO 2</v>
      </c>
      <c r="M339" s="199" t="str">
        <f>HYPERLINK(CONCATENATE("http://www.spr.depen.pr.gov.br/centralvagas/exibirFoto.jpg?numProntuario=",$E339,"&amp;idImagem=3"),"FOTO 3")</f>
        <v>FOTO 3</v>
      </c>
      <c r="N339" s="199" t="str">
        <f>HYPERLINK(CONCATENATE("http://www.spr.depen.pr.gov.br/centralvagas/exibirFoto.jpg?numProntuario=",$E339,"&amp;idImagem=4"),"FOTO 4")</f>
        <v>FOTO 4</v>
      </c>
      <c r="O339" s="199" t="str">
        <f>HYPERLINK(CONCATENATE("http://www.spr.depen.pr.gov.br/centralvagas/exibirFoto.jpg?numProntuario=",$E339,"&amp;idImagem=5"),"FOTO 5")</f>
        <v>FOTO 5</v>
      </c>
      <c r="P339" s="199" t="str">
        <f>HYPERLINK(CONCATENATE("http://www.spr.depen.pr.gov.br/centralvagas/exibirFoto.jpg?numProntuario=",$E339,"&amp;idImagem=6"),"FOTO 6")</f>
        <v>FOTO 6</v>
      </c>
    </row>
    <row r="340" spans="1:16" ht="14.1" customHeight="1" thickTop="1" thickBot="1">
      <c r="A340" s="123"/>
      <c r="B340" s="147"/>
      <c r="C340" s="118" t="s">
        <v>2543</v>
      </c>
      <c r="D340" s="131" t="s">
        <v>2167</v>
      </c>
      <c r="E340" s="117">
        <v>142551</v>
      </c>
      <c r="F340" s="116"/>
      <c r="G340" s="119"/>
      <c r="H340" s="116"/>
      <c r="I340" s="119"/>
      <c r="J340" s="116"/>
      <c r="K340" s="199" t="str">
        <f>HYPERLINK(CONCATENATE("http://www.spr.depen.pr.gov.br/centralvagas/exibirFoto.jpg?numProntuario=",$E340,"&amp;idImagem=1"),"FOTO 1")</f>
        <v>FOTO 1</v>
      </c>
      <c r="L340" s="199" t="str">
        <f>HYPERLINK(CONCATENATE("http://www.spr.depen.pr.gov.br/centralvagas/exibirFoto.jpg?numProntuario=",$E340,"&amp;idImagem=2"),"FOTO 2")</f>
        <v>FOTO 2</v>
      </c>
      <c r="M340" s="199" t="str">
        <f>HYPERLINK(CONCATENATE("http://www.spr.depen.pr.gov.br/centralvagas/exibirFoto.jpg?numProntuario=",$E340,"&amp;idImagem=3"),"FOTO 3")</f>
        <v>FOTO 3</v>
      </c>
      <c r="N340" s="199" t="str">
        <f>HYPERLINK(CONCATENATE("http://www.spr.depen.pr.gov.br/centralvagas/exibirFoto.jpg?numProntuario=",$E340,"&amp;idImagem=4"),"FOTO 4")</f>
        <v>FOTO 4</v>
      </c>
      <c r="O340" s="199" t="str">
        <f>HYPERLINK(CONCATENATE("http://www.spr.depen.pr.gov.br/centralvagas/exibirFoto.jpg?numProntuario=",$E340,"&amp;idImagem=5"),"FOTO 5")</f>
        <v>FOTO 5</v>
      </c>
      <c r="P340" s="199" t="str">
        <f>HYPERLINK(CONCATENATE("http://www.spr.depen.pr.gov.br/centralvagas/exibirFoto.jpg?numProntuario=",$E340,"&amp;idImagem=6"),"FOTO 6")</f>
        <v>FOTO 6</v>
      </c>
    </row>
    <row r="341" spans="1:16" ht="14.1" customHeight="1" thickTop="1" thickBot="1">
      <c r="A341" s="151"/>
      <c r="B341" s="228"/>
      <c r="C341" s="116" t="s">
        <v>2543</v>
      </c>
      <c r="D341" s="122" t="s">
        <v>2700</v>
      </c>
      <c r="E341" s="117">
        <v>108565</v>
      </c>
      <c r="F341" s="116"/>
      <c r="G341" s="119"/>
      <c r="H341" s="116"/>
      <c r="I341" s="119"/>
      <c r="J341" s="116"/>
      <c r="K341" s="199" t="str">
        <f>HYPERLINK(CONCATENATE("http://www.spr.depen.pr.gov.br/centralvagas/exibirFoto.jpg?numProntuario=",$E341,"&amp;idImagem=1"),"FOTO 1")</f>
        <v>FOTO 1</v>
      </c>
      <c r="L341" s="199" t="str">
        <f>HYPERLINK(CONCATENATE("http://www.spr.depen.pr.gov.br/centralvagas/exibirFoto.jpg?numProntuario=",$E341,"&amp;idImagem=2"),"FOTO 2")</f>
        <v>FOTO 2</v>
      </c>
      <c r="M341" s="199" t="str">
        <f>HYPERLINK(CONCATENATE("http://www.spr.depen.pr.gov.br/centralvagas/exibirFoto.jpg?numProntuario=",$E341,"&amp;idImagem=3"),"FOTO 3")</f>
        <v>FOTO 3</v>
      </c>
      <c r="N341" s="199" t="str">
        <f>HYPERLINK(CONCATENATE("http://www.spr.depen.pr.gov.br/centralvagas/exibirFoto.jpg?numProntuario=",$E341,"&amp;idImagem=4"),"FOTO 4")</f>
        <v>FOTO 4</v>
      </c>
      <c r="O341" s="199" t="str">
        <f>HYPERLINK(CONCATENATE("http://www.spr.depen.pr.gov.br/centralvagas/exibirFoto.jpg?numProntuario=",$E341,"&amp;idImagem=5"),"FOTO 5")</f>
        <v>FOTO 5</v>
      </c>
      <c r="P341" s="199" t="str">
        <f>HYPERLINK(CONCATENATE("http://www.spr.depen.pr.gov.br/centralvagas/exibirFoto.jpg?numProntuario=",$E341,"&amp;idImagem=6"),"FOTO 6")</f>
        <v>FOTO 6</v>
      </c>
    </row>
    <row r="342" spans="1:16" ht="14.1" customHeight="1" thickTop="1" thickBot="1">
      <c r="A342" s="118"/>
      <c r="B342" s="200"/>
      <c r="C342" s="118" t="s">
        <v>2543</v>
      </c>
      <c r="D342" s="130" t="s">
        <v>2781</v>
      </c>
      <c r="E342" s="117">
        <v>125493</v>
      </c>
      <c r="F342" s="133"/>
      <c r="G342" s="119"/>
      <c r="H342" s="116"/>
      <c r="I342" s="119"/>
      <c r="J342" s="116"/>
      <c r="K342" s="199" t="str">
        <f>HYPERLINK(CONCATENATE("http://www.spr.depen.pr.gov.br/centralvagas/exibirFoto.jpg?numProntuario=",$E342,"&amp;idImagem=1"),"FOTO 1")</f>
        <v>FOTO 1</v>
      </c>
      <c r="L342" s="199" t="str">
        <f>HYPERLINK(CONCATENATE("http://www.spr.depen.pr.gov.br/centralvagas/exibirFoto.jpg?numProntuario=",$E342,"&amp;idImagem=2"),"FOTO 2")</f>
        <v>FOTO 2</v>
      </c>
      <c r="M342" s="199" t="str">
        <f>HYPERLINK(CONCATENATE("http://www.spr.depen.pr.gov.br/centralvagas/exibirFoto.jpg?numProntuario=",$E342,"&amp;idImagem=3"),"FOTO 3")</f>
        <v>FOTO 3</v>
      </c>
      <c r="N342" s="199" t="str">
        <f>HYPERLINK(CONCATENATE("http://www.spr.depen.pr.gov.br/centralvagas/exibirFoto.jpg?numProntuario=",$E342,"&amp;idImagem=4"),"FOTO 4")</f>
        <v>FOTO 4</v>
      </c>
      <c r="O342" s="199" t="str">
        <f>HYPERLINK(CONCATENATE("http://www.spr.depen.pr.gov.br/centralvagas/exibirFoto.jpg?numProntuario=",$E342,"&amp;idImagem=5"),"FOTO 5")</f>
        <v>FOTO 5</v>
      </c>
      <c r="P342" s="199" t="str">
        <f>HYPERLINK(CONCATENATE("http://www.spr.depen.pr.gov.br/centralvagas/exibirFoto.jpg?numProntuario=",$E342,"&amp;idImagem=6"),"FOTO 6")</f>
        <v>FOTO 6</v>
      </c>
    </row>
    <row r="343" spans="1:16" ht="14.1" customHeight="1" thickTop="1" thickBot="1">
      <c r="A343" s="116"/>
      <c r="B343" s="419"/>
      <c r="C343" s="418" t="s">
        <v>2689</v>
      </c>
      <c r="D343" s="422" t="s">
        <v>2161</v>
      </c>
      <c r="E343" s="466">
        <v>19137</v>
      </c>
      <c r="F343" s="132"/>
      <c r="G343" s="136"/>
      <c r="H343" s="116"/>
      <c r="I343" s="119"/>
      <c r="J343" s="116"/>
      <c r="K343" s="199" t="str">
        <f>HYPERLINK(CONCATENATE("http://www.spr.depen.pr.gov.br/centralvagas/exibirFoto.jpg?numProntuario=",$E343,"&amp;idImagem=1"),"FOTO 1")</f>
        <v>FOTO 1</v>
      </c>
      <c r="L343" s="199" t="str">
        <f>HYPERLINK(CONCATENATE("http://www.spr.depen.pr.gov.br/centralvagas/exibirFoto.jpg?numProntuario=",$E343,"&amp;idImagem=2"),"FOTO 2")</f>
        <v>FOTO 2</v>
      </c>
      <c r="M343" s="199" t="str">
        <f>HYPERLINK(CONCATENATE("http://www.spr.depen.pr.gov.br/centralvagas/exibirFoto.jpg?numProntuario=",$E343,"&amp;idImagem=3"),"FOTO 3")</f>
        <v>FOTO 3</v>
      </c>
      <c r="N343" s="199" t="str">
        <f>HYPERLINK(CONCATENATE("http://www.spr.depen.pr.gov.br/centralvagas/exibirFoto.jpg?numProntuario=",$E343,"&amp;idImagem=4"),"FOTO 4")</f>
        <v>FOTO 4</v>
      </c>
      <c r="O343" s="199" t="str">
        <f>HYPERLINK(CONCATENATE("http://www.spr.depen.pr.gov.br/centralvagas/exibirFoto.jpg?numProntuario=",$E343,"&amp;idImagem=5"),"FOTO 5")</f>
        <v>FOTO 5</v>
      </c>
      <c r="P343" s="199" t="str">
        <f>HYPERLINK(CONCATENATE("http://www.spr.depen.pr.gov.br/centralvagas/exibirFoto.jpg?numProntuario=",$E343,"&amp;idImagem=6"),"FOTO 6")</f>
        <v>FOTO 6</v>
      </c>
    </row>
    <row r="344" spans="1:16" ht="14.1" customHeight="1" thickTop="1" thickBot="1">
      <c r="A344" s="120"/>
      <c r="B344" s="419"/>
      <c r="C344" s="214" t="s">
        <v>2689</v>
      </c>
      <c r="D344" s="158" t="s">
        <v>2851</v>
      </c>
      <c r="E344" s="117">
        <v>125803</v>
      </c>
      <c r="F344" s="116"/>
      <c r="G344" s="119"/>
      <c r="H344" s="116"/>
      <c r="I344" s="119"/>
      <c r="J344" s="116"/>
      <c r="K344" s="199" t="str">
        <f>HYPERLINK(CONCATENATE("http://www.spr.depen.pr.gov.br/centralvagas/exibirFoto.jpg?numProntuario=",$E344,"&amp;idImagem=1"),"FOTO 1")</f>
        <v>FOTO 1</v>
      </c>
      <c r="L344" s="199" t="str">
        <f>HYPERLINK(CONCATENATE("http://www.spr.depen.pr.gov.br/centralvagas/exibirFoto.jpg?numProntuario=",$E344,"&amp;idImagem=2"),"FOTO 2")</f>
        <v>FOTO 2</v>
      </c>
      <c r="M344" s="199" t="str">
        <f>HYPERLINK(CONCATENATE("http://www.spr.depen.pr.gov.br/centralvagas/exibirFoto.jpg?numProntuario=",$E344,"&amp;idImagem=3"),"FOTO 3")</f>
        <v>FOTO 3</v>
      </c>
      <c r="N344" s="199" t="str">
        <f>HYPERLINK(CONCATENATE("http://www.spr.depen.pr.gov.br/centralvagas/exibirFoto.jpg?numProntuario=",$E344,"&amp;idImagem=4"),"FOTO 4")</f>
        <v>FOTO 4</v>
      </c>
      <c r="O344" s="199" t="str">
        <f>HYPERLINK(CONCATENATE("http://www.spr.depen.pr.gov.br/centralvagas/exibirFoto.jpg?numProntuario=",$E344,"&amp;idImagem=5"),"FOTO 5")</f>
        <v>FOTO 5</v>
      </c>
      <c r="P344" s="199" t="str">
        <f>HYPERLINK(CONCATENATE("http://www.spr.depen.pr.gov.br/centralvagas/exibirFoto.jpg?numProntuario=",$E344,"&amp;idImagem=6"),"FOTO 6")</f>
        <v>FOTO 6</v>
      </c>
    </row>
    <row r="345" spans="1:16" ht="14.1" customHeight="1" thickTop="1" thickBot="1">
      <c r="A345" s="123"/>
      <c r="B345" s="438"/>
      <c r="C345" s="116" t="s">
        <v>2689</v>
      </c>
      <c r="D345" s="131" t="s">
        <v>3492</v>
      </c>
      <c r="E345" s="117">
        <v>127036</v>
      </c>
      <c r="F345" s="116"/>
      <c r="G345" s="119"/>
      <c r="H345" s="116"/>
      <c r="I345" s="119"/>
      <c r="J345" s="132"/>
      <c r="K345" s="199" t="str">
        <f>HYPERLINK(CONCATENATE("http://www.spr.depen.pr.gov.br/centralvagas/exibirFoto.jpg?numProntuario=",$E345,"&amp;idImagem=1"),"FOTO 1")</f>
        <v>FOTO 1</v>
      </c>
      <c r="L345" s="199" t="str">
        <f>HYPERLINK(CONCATENATE("http://www.spr.depen.pr.gov.br/centralvagas/exibirFoto.jpg?numProntuario=",$E345,"&amp;idImagem=2"),"FOTO 2")</f>
        <v>FOTO 2</v>
      </c>
      <c r="M345" s="199" t="str">
        <f>HYPERLINK(CONCATENATE("http://www.spr.depen.pr.gov.br/centralvagas/exibirFoto.jpg?numProntuario=",$E345,"&amp;idImagem=3"),"FOTO 3")</f>
        <v>FOTO 3</v>
      </c>
      <c r="N345" s="199" t="str">
        <f>HYPERLINK(CONCATENATE("http://www.spr.depen.pr.gov.br/centralvagas/exibirFoto.jpg?numProntuario=",$E345,"&amp;idImagem=4"),"FOTO 4")</f>
        <v>FOTO 4</v>
      </c>
      <c r="O345" s="199" t="str">
        <f>HYPERLINK(CONCATENATE("http://www.spr.depen.pr.gov.br/centralvagas/exibirFoto.jpg?numProntuario=",$E345,"&amp;idImagem=5"),"FOTO 5")</f>
        <v>FOTO 5</v>
      </c>
      <c r="P345" s="199" t="str">
        <f>HYPERLINK(CONCATENATE("http://www.spr.depen.pr.gov.br/centralvagas/exibirFoto.jpg?numProntuario=",$E345,"&amp;idImagem=6"),"FOTO 6")</f>
        <v>FOTO 6</v>
      </c>
    </row>
    <row r="346" spans="1:16" ht="14.1" customHeight="1" thickTop="1" thickBot="1">
      <c r="A346" s="372" t="s">
        <v>263</v>
      </c>
      <c r="B346" s="147" t="s">
        <v>3730</v>
      </c>
      <c r="C346" s="145" t="s">
        <v>2689</v>
      </c>
      <c r="D346" s="142" t="s">
        <v>2484</v>
      </c>
      <c r="E346" s="608">
        <v>133981</v>
      </c>
      <c r="F346" s="116"/>
      <c r="G346" s="119"/>
      <c r="H346" s="116"/>
      <c r="I346" s="119"/>
      <c r="J346" s="116"/>
      <c r="K346" s="199" t="str">
        <f>HYPERLINK(CONCATENATE("http://www.spr.depen.pr.gov.br/centralvagas/exibirFoto.jpg?numProntuario=",$E346,"&amp;idImagem=1"),"FOTO 1")</f>
        <v>FOTO 1</v>
      </c>
      <c r="L346" s="199" t="str">
        <f>HYPERLINK(CONCATENATE("http://www.spr.depen.pr.gov.br/centralvagas/exibirFoto.jpg?numProntuario=",$E346,"&amp;idImagem=2"),"FOTO 2")</f>
        <v>FOTO 2</v>
      </c>
      <c r="M346" s="199" t="str">
        <f>HYPERLINK(CONCATENATE("http://www.spr.depen.pr.gov.br/centralvagas/exibirFoto.jpg?numProntuario=",$E346,"&amp;idImagem=3"),"FOTO 3")</f>
        <v>FOTO 3</v>
      </c>
      <c r="N346" s="199" t="str">
        <f>HYPERLINK(CONCATENATE("http://www.spr.depen.pr.gov.br/centralvagas/exibirFoto.jpg?numProntuario=",$E346,"&amp;idImagem=4"),"FOTO 4")</f>
        <v>FOTO 4</v>
      </c>
      <c r="O346" s="199" t="str">
        <f>HYPERLINK(CONCATENATE("http://www.spr.depen.pr.gov.br/centralvagas/exibirFoto.jpg?numProntuario=",$E346,"&amp;idImagem=5"),"FOTO 5")</f>
        <v>FOTO 5</v>
      </c>
      <c r="P346" s="199" t="str">
        <f>HYPERLINK(CONCATENATE("http://www.spr.depen.pr.gov.br/centralvagas/exibirFoto.jpg?numProntuario=",$E346,"&amp;idImagem=6"),"FOTO 6")</f>
        <v>FOTO 6</v>
      </c>
    </row>
    <row r="347" spans="1:16" ht="14.1" customHeight="1" thickTop="1" thickBot="1">
      <c r="A347" s="331"/>
      <c r="B347" s="240"/>
      <c r="C347" s="116" t="s">
        <v>2454</v>
      </c>
      <c r="D347" s="131" t="s">
        <v>3500</v>
      </c>
      <c r="E347" s="117">
        <v>396310</v>
      </c>
      <c r="F347" s="116"/>
      <c r="G347" s="119"/>
      <c r="H347" s="116"/>
      <c r="I347" s="119"/>
      <c r="J347" s="116"/>
      <c r="K347" s="199" t="str">
        <f>HYPERLINK(CONCATENATE("http://www.spr.depen.pr.gov.br/centralvagas/exibirFoto.jpg?numProntuario=",$E347,"&amp;idImagem=1"),"FOTO 1")</f>
        <v>FOTO 1</v>
      </c>
      <c r="L347" s="199" t="str">
        <f>HYPERLINK(CONCATENATE("http://www.spr.depen.pr.gov.br/centralvagas/exibirFoto.jpg?numProntuario=",$E347,"&amp;idImagem=2"),"FOTO 2")</f>
        <v>FOTO 2</v>
      </c>
      <c r="M347" s="199" t="str">
        <f>HYPERLINK(CONCATENATE("http://www.spr.depen.pr.gov.br/centralvagas/exibirFoto.jpg?numProntuario=",$E347,"&amp;idImagem=3"),"FOTO 3")</f>
        <v>FOTO 3</v>
      </c>
      <c r="N347" s="199" t="str">
        <f>HYPERLINK(CONCATENATE("http://www.spr.depen.pr.gov.br/centralvagas/exibirFoto.jpg?numProntuario=",$E347,"&amp;idImagem=4"),"FOTO 4")</f>
        <v>FOTO 4</v>
      </c>
      <c r="O347" s="199" t="str">
        <f>HYPERLINK(CONCATENATE("http://www.spr.depen.pr.gov.br/centralvagas/exibirFoto.jpg?numProntuario=",$E347,"&amp;idImagem=5"),"FOTO 5")</f>
        <v>FOTO 5</v>
      </c>
      <c r="P347" s="199" t="str">
        <f>HYPERLINK(CONCATENATE("http://www.spr.depen.pr.gov.br/centralvagas/exibirFoto.jpg?numProntuario=",$E347,"&amp;idImagem=6"),"FOTO 6")</f>
        <v>FOTO 6</v>
      </c>
    </row>
    <row r="348" spans="1:16" ht="14.1" customHeight="1" thickTop="1" thickBot="1">
      <c r="A348" s="123"/>
      <c r="B348" s="229"/>
      <c r="C348" s="126" t="s">
        <v>2454</v>
      </c>
      <c r="D348" s="128" t="s">
        <v>2576</v>
      </c>
      <c r="E348" s="117">
        <v>14792</v>
      </c>
      <c r="F348" s="116"/>
      <c r="G348" s="119"/>
      <c r="H348" s="116"/>
      <c r="I348" s="119"/>
      <c r="J348" s="116"/>
      <c r="K348" s="199" t="str">
        <f>HYPERLINK(CONCATENATE("http://www.spr.depen.pr.gov.br/centralvagas/exibirFoto.jpg?numProntuario=",$E348,"&amp;idImagem=1"),"FOTO 1")</f>
        <v>FOTO 1</v>
      </c>
      <c r="L348" s="199" t="str">
        <f>HYPERLINK(CONCATENATE("http://www.spr.depen.pr.gov.br/centralvagas/exibirFoto.jpg?numProntuario=",$E348,"&amp;idImagem=2"),"FOTO 2")</f>
        <v>FOTO 2</v>
      </c>
      <c r="M348" s="199" t="str">
        <f>HYPERLINK(CONCATENATE("http://www.spr.depen.pr.gov.br/centralvagas/exibirFoto.jpg?numProntuario=",$E348,"&amp;idImagem=3"),"FOTO 3")</f>
        <v>FOTO 3</v>
      </c>
      <c r="N348" s="199" t="str">
        <f>HYPERLINK(CONCATENATE("http://www.spr.depen.pr.gov.br/centralvagas/exibirFoto.jpg?numProntuario=",$E348,"&amp;idImagem=4"),"FOTO 4")</f>
        <v>FOTO 4</v>
      </c>
      <c r="O348" s="199" t="str">
        <f>HYPERLINK(CONCATENATE("http://www.spr.depen.pr.gov.br/centralvagas/exibirFoto.jpg?numProntuario=",$E348,"&amp;idImagem=5"),"FOTO 5")</f>
        <v>FOTO 5</v>
      </c>
      <c r="P348" s="199" t="str">
        <f>HYPERLINK(CONCATENATE("http://www.spr.depen.pr.gov.br/centralvagas/exibirFoto.jpg?numProntuario=",$E348,"&amp;idImagem=6"),"FOTO 6")</f>
        <v>FOTO 6</v>
      </c>
    </row>
    <row r="349" spans="1:16" ht="14.1" customHeight="1" thickTop="1" thickBot="1">
      <c r="A349" s="123"/>
      <c r="B349" s="240"/>
      <c r="C349" s="116" t="s">
        <v>2454</v>
      </c>
      <c r="D349" s="129" t="s">
        <v>3498</v>
      </c>
      <c r="E349" s="117">
        <v>153126</v>
      </c>
      <c r="F349" s="116"/>
      <c r="G349" s="119"/>
      <c r="H349" s="116"/>
      <c r="I349" s="119"/>
      <c r="J349" s="116"/>
      <c r="K349" s="199" t="str">
        <f>HYPERLINK(CONCATENATE("http://www.spr.depen.pr.gov.br/centralvagas/exibirFoto.jpg?numProntuario=",$E349,"&amp;idImagem=1"),"FOTO 1")</f>
        <v>FOTO 1</v>
      </c>
      <c r="L349" s="199" t="str">
        <f>HYPERLINK(CONCATENATE("http://www.spr.depen.pr.gov.br/centralvagas/exibirFoto.jpg?numProntuario=",$E349,"&amp;idImagem=2"),"FOTO 2")</f>
        <v>FOTO 2</v>
      </c>
      <c r="M349" s="199" t="str">
        <f>HYPERLINK(CONCATENATE("http://www.spr.depen.pr.gov.br/centralvagas/exibirFoto.jpg?numProntuario=",$E349,"&amp;idImagem=3"),"FOTO 3")</f>
        <v>FOTO 3</v>
      </c>
      <c r="N349" s="199" t="str">
        <f>HYPERLINK(CONCATENATE("http://www.spr.depen.pr.gov.br/centralvagas/exibirFoto.jpg?numProntuario=",$E349,"&amp;idImagem=4"),"FOTO 4")</f>
        <v>FOTO 4</v>
      </c>
      <c r="O349" s="199" t="str">
        <f>HYPERLINK(CONCATENATE("http://www.spr.depen.pr.gov.br/centralvagas/exibirFoto.jpg?numProntuario=",$E349,"&amp;idImagem=5"),"FOTO 5")</f>
        <v>FOTO 5</v>
      </c>
      <c r="P349" s="199" t="str">
        <f>HYPERLINK(CONCATENATE("http://www.spr.depen.pr.gov.br/centralvagas/exibirFoto.jpg?numProntuario=",$E349,"&amp;idImagem=6"),"FOTO 6")</f>
        <v>FOTO 6</v>
      </c>
    </row>
    <row r="350" spans="1:16" ht="14.1" customHeight="1" thickTop="1" thickBot="1">
      <c r="A350" s="134"/>
      <c r="B350" s="245"/>
      <c r="C350" s="116" t="s">
        <v>2454</v>
      </c>
      <c r="D350" s="131" t="s">
        <v>1627</v>
      </c>
      <c r="E350" s="117">
        <v>90985</v>
      </c>
      <c r="F350" s="116"/>
      <c r="G350" s="119"/>
      <c r="H350" s="116"/>
      <c r="I350" s="119"/>
      <c r="J350" s="116"/>
      <c r="K350" s="199" t="str">
        <f>HYPERLINK(CONCATENATE("http://www.spr.depen.pr.gov.br/centralvagas/exibirFoto.jpg?numProntuario=",$E350,"&amp;idImagem=1"),"FOTO 1")</f>
        <v>FOTO 1</v>
      </c>
      <c r="L350" s="199" t="str">
        <f>HYPERLINK(CONCATENATE("http://www.spr.depen.pr.gov.br/centralvagas/exibirFoto.jpg?numProntuario=",$E350,"&amp;idImagem=2"),"FOTO 2")</f>
        <v>FOTO 2</v>
      </c>
      <c r="M350" s="199" t="str">
        <f>HYPERLINK(CONCATENATE("http://www.spr.depen.pr.gov.br/centralvagas/exibirFoto.jpg?numProntuario=",$E350,"&amp;idImagem=3"),"FOTO 3")</f>
        <v>FOTO 3</v>
      </c>
      <c r="N350" s="199" t="str">
        <f>HYPERLINK(CONCATENATE("http://www.spr.depen.pr.gov.br/centralvagas/exibirFoto.jpg?numProntuario=",$E350,"&amp;idImagem=4"),"FOTO 4")</f>
        <v>FOTO 4</v>
      </c>
      <c r="O350" s="199" t="str">
        <f>HYPERLINK(CONCATENATE("http://www.spr.depen.pr.gov.br/centralvagas/exibirFoto.jpg?numProntuario=",$E350,"&amp;idImagem=5"),"FOTO 5")</f>
        <v>FOTO 5</v>
      </c>
      <c r="P350" s="199" t="str">
        <f>HYPERLINK(CONCATENATE("http://www.spr.depen.pr.gov.br/centralvagas/exibirFoto.jpg?numProntuario=",$E350,"&amp;idImagem=6"),"FOTO 6")</f>
        <v>FOTO 6</v>
      </c>
    </row>
    <row r="351" spans="1:16" ht="14.1" customHeight="1" thickTop="1" thickBot="1">
      <c r="A351" s="123"/>
      <c r="B351" s="147"/>
      <c r="C351" s="125" t="s">
        <v>2454</v>
      </c>
      <c r="D351" s="129" t="s">
        <v>2630</v>
      </c>
      <c r="E351" s="144">
        <v>164566</v>
      </c>
      <c r="F351" s="116"/>
      <c r="G351" s="119"/>
      <c r="H351" s="116"/>
      <c r="I351" s="136"/>
      <c r="J351" s="132"/>
      <c r="K351" s="199" t="str">
        <f>HYPERLINK(CONCATENATE("http://www.spr.depen.pr.gov.br/centralvagas/exibirFoto.jpg?numProntuario=",$E351,"&amp;idImagem=1"),"FOTO 1")</f>
        <v>FOTO 1</v>
      </c>
      <c r="L351" s="199" t="str">
        <f>HYPERLINK(CONCATENATE("http://www.spr.depen.pr.gov.br/centralvagas/exibirFoto.jpg?numProntuario=",$E351,"&amp;idImagem=2"),"FOTO 2")</f>
        <v>FOTO 2</v>
      </c>
      <c r="M351" s="199" t="str">
        <f>HYPERLINK(CONCATENATE("http://www.spr.depen.pr.gov.br/centralvagas/exibirFoto.jpg?numProntuario=",$E351,"&amp;idImagem=3"),"FOTO 3")</f>
        <v>FOTO 3</v>
      </c>
      <c r="N351" s="199" t="str">
        <f>HYPERLINK(CONCATENATE("http://www.spr.depen.pr.gov.br/centralvagas/exibirFoto.jpg?numProntuario=",$E351,"&amp;idImagem=4"),"FOTO 4")</f>
        <v>FOTO 4</v>
      </c>
      <c r="O351" s="199" t="str">
        <f>HYPERLINK(CONCATENATE("http://www.spr.depen.pr.gov.br/centralvagas/exibirFoto.jpg?numProntuario=",$E351,"&amp;idImagem=5"),"FOTO 5")</f>
        <v>FOTO 5</v>
      </c>
      <c r="P351" s="199" t="str">
        <f>HYPERLINK(CONCATENATE("http://www.spr.depen.pr.gov.br/centralvagas/exibirFoto.jpg?numProntuario=",$E351,"&amp;idImagem=6"),"FOTO 6")</f>
        <v>FOTO 6</v>
      </c>
    </row>
    <row r="352" spans="1:16" ht="14.1" customHeight="1" thickTop="1" thickBot="1">
      <c r="A352" s="574" t="s">
        <v>161</v>
      </c>
      <c r="B352" s="143"/>
      <c r="C352" s="116" t="s">
        <v>1226</v>
      </c>
      <c r="D352" s="131" t="s">
        <v>2657</v>
      </c>
      <c r="E352" s="117">
        <v>152504</v>
      </c>
      <c r="F352" s="243"/>
      <c r="G352" s="244"/>
      <c r="H352" s="116"/>
      <c r="I352" s="119"/>
      <c r="J352" s="116"/>
      <c r="K352" s="199" t="str">
        <f>HYPERLINK(CONCATENATE("http://www.spr.depen.pr.gov.br/centralvagas/exibirFoto.jpg?numProntuario=",$E352,"&amp;idImagem=1"),"FOTO 1")</f>
        <v>FOTO 1</v>
      </c>
      <c r="L352" s="199" t="str">
        <f>HYPERLINK(CONCATENATE("http://www.spr.depen.pr.gov.br/centralvagas/exibirFoto.jpg?numProntuario=",$E352,"&amp;idImagem=2"),"FOTO 2")</f>
        <v>FOTO 2</v>
      </c>
      <c r="M352" s="199" t="str">
        <f>HYPERLINK(CONCATENATE("http://www.spr.depen.pr.gov.br/centralvagas/exibirFoto.jpg?numProntuario=",$E352,"&amp;idImagem=3"),"FOTO 3")</f>
        <v>FOTO 3</v>
      </c>
      <c r="N352" s="199" t="str">
        <f>HYPERLINK(CONCATENATE("http://www.spr.depen.pr.gov.br/centralvagas/exibirFoto.jpg?numProntuario=",$E352,"&amp;idImagem=4"),"FOTO 4")</f>
        <v>FOTO 4</v>
      </c>
      <c r="O352" s="199" t="str">
        <f>HYPERLINK(CONCATENATE("http://www.spr.depen.pr.gov.br/centralvagas/exibirFoto.jpg?numProntuario=",$E352,"&amp;idImagem=5"),"FOTO 5")</f>
        <v>FOTO 5</v>
      </c>
      <c r="P352" s="199" t="str">
        <f>HYPERLINK(CONCATENATE("http://www.spr.depen.pr.gov.br/centralvagas/exibirFoto.jpg?numProntuario=",$E352,"&amp;idImagem=6"),"FOTO 6")</f>
        <v>FOTO 6</v>
      </c>
    </row>
    <row r="353" spans="1:16" ht="13.5" customHeight="1" thickTop="1" thickBot="1">
      <c r="A353" s="571" t="s">
        <v>161</v>
      </c>
      <c r="B353" s="318"/>
      <c r="C353" s="116" t="s">
        <v>1226</v>
      </c>
      <c r="D353" s="130" t="s">
        <v>255</v>
      </c>
      <c r="E353" s="117">
        <v>100617</v>
      </c>
      <c r="F353" s="116"/>
      <c r="G353" s="119"/>
      <c r="H353" s="116"/>
      <c r="I353" s="119"/>
      <c r="J353" s="132"/>
      <c r="K353" s="199" t="str">
        <f>HYPERLINK(CONCATENATE("http://www.spr.depen.pr.gov.br/centralvagas/exibirFoto.jpg?numProntuario=",$E353,"&amp;idImagem=1"),"FOTO 1")</f>
        <v>FOTO 1</v>
      </c>
      <c r="L353" s="199" t="str">
        <f>HYPERLINK(CONCATENATE("http://www.spr.depen.pr.gov.br/centralvagas/exibirFoto.jpg?numProntuario=",$E353,"&amp;idImagem=2"),"FOTO 2")</f>
        <v>FOTO 2</v>
      </c>
      <c r="M353" s="199" t="str">
        <f>HYPERLINK(CONCATENATE("http://www.spr.depen.pr.gov.br/centralvagas/exibirFoto.jpg?numProntuario=",$E353,"&amp;idImagem=3"),"FOTO 3")</f>
        <v>FOTO 3</v>
      </c>
      <c r="N353" s="199" t="str">
        <f>HYPERLINK(CONCATENATE("http://www.spr.depen.pr.gov.br/centralvagas/exibirFoto.jpg?numProntuario=",$E353,"&amp;idImagem=4"),"FOTO 4")</f>
        <v>FOTO 4</v>
      </c>
      <c r="O353" s="199" t="str">
        <f>HYPERLINK(CONCATENATE("http://www.spr.depen.pr.gov.br/centralvagas/exibirFoto.jpg?numProntuario=",$E353,"&amp;idImagem=5"),"FOTO 5")</f>
        <v>FOTO 5</v>
      </c>
      <c r="P353" s="199" t="str">
        <f>HYPERLINK(CONCATENATE("http://www.spr.depen.pr.gov.br/centralvagas/exibirFoto.jpg?numProntuario=",$E353,"&amp;idImagem=6"),"FOTO 6")</f>
        <v>FOTO 6</v>
      </c>
    </row>
    <row r="354" spans="1:16" ht="14.1" customHeight="1" thickTop="1" thickBot="1">
      <c r="A354" s="571" t="s">
        <v>161</v>
      </c>
      <c r="B354" s="127"/>
      <c r="C354" s="116" t="s">
        <v>1226</v>
      </c>
      <c r="D354" s="131" t="s">
        <v>1968</v>
      </c>
      <c r="E354" s="117">
        <v>114698</v>
      </c>
      <c r="F354" s="116"/>
      <c r="G354" s="119"/>
      <c r="H354" s="116"/>
      <c r="I354" s="119"/>
      <c r="J354" s="116"/>
      <c r="K354" s="199" t="str">
        <f>HYPERLINK(CONCATENATE("http://www.spr.depen.pr.gov.br/centralvagas/exibirFoto.jpg?numProntuario=",$E354,"&amp;idImagem=1"),"FOTO 1")</f>
        <v>FOTO 1</v>
      </c>
      <c r="L354" s="199" t="str">
        <f>HYPERLINK(CONCATENATE("http://www.spr.depen.pr.gov.br/centralvagas/exibirFoto.jpg?numProntuario=",$E354,"&amp;idImagem=2"),"FOTO 2")</f>
        <v>FOTO 2</v>
      </c>
      <c r="M354" s="199" t="str">
        <f>HYPERLINK(CONCATENATE("http://www.spr.depen.pr.gov.br/centralvagas/exibirFoto.jpg?numProntuario=",$E354,"&amp;idImagem=3"),"FOTO 3")</f>
        <v>FOTO 3</v>
      </c>
      <c r="N354" s="199" t="str">
        <f>HYPERLINK(CONCATENATE("http://www.spr.depen.pr.gov.br/centralvagas/exibirFoto.jpg?numProntuario=",$E354,"&amp;idImagem=4"),"FOTO 4")</f>
        <v>FOTO 4</v>
      </c>
      <c r="O354" s="199" t="str">
        <f>HYPERLINK(CONCATENATE("http://www.spr.depen.pr.gov.br/centralvagas/exibirFoto.jpg?numProntuario=",$E354,"&amp;idImagem=5"),"FOTO 5")</f>
        <v>FOTO 5</v>
      </c>
      <c r="P354" s="199" t="str">
        <f>HYPERLINK(CONCATENATE("http://www.spr.depen.pr.gov.br/centralvagas/exibirFoto.jpg?numProntuario=",$E354,"&amp;idImagem=6"),"FOTO 6")</f>
        <v>FOTO 6</v>
      </c>
    </row>
    <row r="355" spans="1:16" ht="14.1" customHeight="1" thickTop="1" thickBot="1">
      <c r="A355" s="571" t="s">
        <v>161</v>
      </c>
      <c r="B355" s="127"/>
      <c r="C355" s="116" t="s">
        <v>1226</v>
      </c>
      <c r="D355" s="146" t="s">
        <v>3708</v>
      </c>
      <c r="E355" s="117">
        <v>102913</v>
      </c>
      <c r="F355" s="116"/>
      <c r="G355" s="119"/>
      <c r="H355" s="116"/>
      <c r="I355" s="119"/>
      <c r="J355" s="116"/>
      <c r="K355" s="199"/>
      <c r="L355" s="199"/>
      <c r="M355" s="199"/>
      <c r="N355" s="199"/>
      <c r="O355" s="199"/>
      <c r="P355" s="199"/>
    </row>
    <row r="356" spans="1:16" ht="14.1" customHeight="1" thickTop="1" thickBot="1">
      <c r="A356" s="571" t="s">
        <v>161</v>
      </c>
      <c r="B356" s="147"/>
      <c r="C356" s="116" t="s">
        <v>1226</v>
      </c>
      <c r="D356" s="130" t="s">
        <v>2473</v>
      </c>
      <c r="E356" s="117">
        <v>161742</v>
      </c>
      <c r="F356" s="243"/>
      <c r="G356" s="244"/>
      <c r="H356" s="116"/>
      <c r="I356" s="119"/>
      <c r="J356" s="132"/>
      <c r="K356" s="199"/>
      <c r="L356" s="199"/>
      <c r="M356" s="199"/>
      <c r="N356" s="199"/>
      <c r="O356" s="199"/>
      <c r="P356" s="199"/>
    </row>
    <row r="357" spans="1:16" ht="14.1" customHeight="1" thickTop="1" thickBot="1">
      <c r="A357" s="574" t="s">
        <v>161</v>
      </c>
      <c r="B357" s="419"/>
      <c r="C357" s="118" t="s">
        <v>2453</v>
      </c>
      <c r="D357" s="129" t="s">
        <v>2253</v>
      </c>
      <c r="E357" s="117">
        <v>148523</v>
      </c>
      <c r="F357" s="116"/>
      <c r="G357" s="119"/>
      <c r="H357" s="116"/>
      <c r="I357" s="119"/>
      <c r="J357" s="116"/>
      <c r="K357" s="199" t="str">
        <f>HYPERLINK(CONCATENATE("http://www.spr.depen.pr.gov.br/centralvagas/exibirFoto.jpg?numProntuario=",$E357,"&amp;idImagem=1"),"FOTO 1")</f>
        <v>FOTO 1</v>
      </c>
      <c r="L357" s="199" t="str">
        <f>HYPERLINK(CONCATENATE("http://www.spr.depen.pr.gov.br/centralvagas/exibirFoto.jpg?numProntuario=",$E357,"&amp;idImagem=2"),"FOTO 2")</f>
        <v>FOTO 2</v>
      </c>
      <c r="M357" s="199" t="str">
        <f>HYPERLINK(CONCATENATE("http://www.spr.depen.pr.gov.br/centralvagas/exibirFoto.jpg?numProntuario=",$E357,"&amp;idImagem=3"),"FOTO 3")</f>
        <v>FOTO 3</v>
      </c>
      <c r="N357" s="199" t="str">
        <f>HYPERLINK(CONCATENATE("http://www.spr.depen.pr.gov.br/centralvagas/exibirFoto.jpg?numProntuario=",$E357,"&amp;idImagem=4"),"FOTO 4")</f>
        <v>FOTO 4</v>
      </c>
      <c r="O357" s="199" t="str">
        <f>HYPERLINK(CONCATENATE("http://www.spr.depen.pr.gov.br/centralvagas/exibirFoto.jpg?numProntuario=",$E357,"&amp;idImagem=5"),"FOTO 5")</f>
        <v>FOTO 5</v>
      </c>
      <c r="P357" s="199" t="str">
        <f>HYPERLINK(CONCATENATE("http://www.spr.depen.pr.gov.br/centralvagas/exibirFoto.jpg?numProntuario=",$E357,"&amp;idImagem=6"),"FOTO 6")</f>
        <v>FOTO 6</v>
      </c>
    </row>
    <row r="358" spans="1:16" ht="14.1" customHeight="1" thickTop="1" thickBot="1">
      <c r="A358" s="571" t="s">
        <v>161</v>
      </c>
      <c r="B358" s="127"/>
      <c r="C358" s="116" t="s">
        <v>2453</v>
      </c>
      <c r="D358" s="131" t="s">
        <v>3709</v>
      </c>
      <c r="E358" s="117">
        <v>24064</v>
      </c>
      <c r="F358" s="116"/>
      <c r="G358" s="119"/>
      <c r="H358" s="116"/>
      <c r="I358" s="119"/>
      <c r="J358" s="116"/>
      <c r="K358" s="199"/>
      <c r="L358" s="199"/>
      <c r="M358" s="199"/>
      <c r="N358" s="199"/>
      <c r="O358" s="199"/>
      <c r="P358" s="199"/>
    </row>
    <row r="359" spans="1:16" ht="14.1" customHeight="1" thickTop="1" thickBot="1">
      <c r="A359" s="571" t="s">
        <v>161</v>
      </c>
      <c r="B359" s="127"/>
      <c r="C359" s="116" t="s">
        <v>2453</v>
      </c>
      <c r="D359" s="131" t="s">
        <v>1746</v>
      </c>
      <c r="E359" s="117">
        <v>101314</v>
      </c>
      <c r="F359" s="116"/>
      <c r="G359" s="119"/>
      <c r="H359" s="116"/>
      <c r="I359" s="119"/>
      <c r="J359" s="132"/>
      <c r="K359" s="199"/>
      <c r="L359" s="199"/>
      <c r="M359" s="199"/>
      <c r="N359" s="199"/>
      <c r="O359" s="199"/>
      <c r="P359" s="199"/>
    </row>
    <row r="360" spans="1:16" ht="14.1" customHeight="1" thickTop="1" thickBot="1">
      <c r="A360" s="571" t="s">
        <v>161</v>
      </c>
      <c r="B360" s="147"/>
      <c r="C360" s="116" t="s">
        <v>2453</v>
      </c>
      <c r="D360" s="131" t="s">
        <v>2546</v>
      </c>
      <c r="E360" s="117">
        <v>109793</v>
      </c>
      <c r="F360" s="116"/>
      <c r="G360" s="119"/>
      <c r="H360" s="116"/>
      <c r="I360" s="119"/>
      <c r="J360" s="132"/>
      <c r="K360" s="199"/>
      <c r="L360" s="199"/>
      <c r="M360" s="199"/>
      <c r="N360" s="199"/>
      <c r="O360" s="199"/>
      <c r="P360" s="199"/>
    </row>
    <row r="361" spans="1:16" ht="14.1" customHeight="1" thickTop="1" thickBot="1">
      <c r="A361" s="571" t="s">
        <v>161</v>
      </c>
      <c r="B361" s="143"/>
      <c r="C361" s="116" t="s">
        <v>2453</v>
      </c>
      <c r="D361" s="122" t="s">
        <v>1951</v>
      </c>
      <c r="E361" s="117">
        <v>107723</v>
      </c>
      <c r="F361" s="116"/>
      <c r="G361" s="119"/>
      <c r="H361" s="116"/>
      <c r="I361" s="119"/>
      <c r="J361" s="116"/>
      <c r="K361" s="199"/>
      <c r="L361" s="199"/>
      <c r="M361" s="199"/>
      <c r="N361" s="199"/>
      <c r="O361" s="199"/>
      <c r="P361" s="199"/>
    </row>
    <row r="362" spans="1:16" ht="14.1" customHeight="1" thickTop="1" thickBot="1">
      <c r="A362" s="571" t="s">
        <v>161</v>
      </c>
      <c r="B362" s="245"/>
      <c r="C362" s="118" t="s">
        <v>2455</v>
      </c>
      <c r="D362" s="131" t="s">
        <v>2159</v>
      </c>
      <c r="E362" s="117">
        <v>63467</v>
      </c>
      <c r="F362" s="116"/>
      <c r="G362" s="119"/>
      <c r="H362" s="116"/>
      <c r="I362" s="119"/>
      <c r="J362" s="132"/>
      <c r="K362" s="199"/>
      <c r="L362" s="199"/>
      <c r="M362" s="199"/>
      <c r="N362" s="199"/>
      <c r="O362" s="199"/>
      <c r="P362" s="199"/>
    </row>
    <row r="363" spans="1:16" ht="14.1" customHeight="1" thickTop="1" thickBot="1">
      <c r="A363" s="571" t="s">
        <v>161</v>
      </c>
      <c r="B363" s="419"/>
      <c r="C363" s="116" t="s">
        <v>2455</v>
      </c>
      <c r="D363" s="130" t="s">
        <v>2521</v>
      </c>
      <c r="E363" s="117">
        <v>124987</v>
      </c>
      <c r="F363" s="116"/>
      <c r="G363" s="119"/>
      <c r="H363" s="116"/>
      <c r="I363" s="119"/>
      <c r="J363" s="116"/>
      <c r="K363" s="199" t="str">
        <f>HYPERLINK(CONCATENATE("http://www.spr.depen.pr.gov.br/centralvagas/exibirFoto.jpg?numProntuario=",$E363,"&amp;idImagem=1"),"FOTO 1")</f>
        <v>FOTO 1</v>
      </c>
      <c r="L363" s="199" t="str">
        <f>HYPERLINK(CONCATENATE("http://www.spr.depen.pr.gov.br/centralvagas/exibirFoto.jpg?numProntuario=",$E363,"&amp;idImagem=2"),"FOTO 2")</f>
        <v>FOTO 2</v>
      </c>
      <c r="M363" s="199" t="str">
        <f>HYPERLINK(CONCATENATE("http://www.spr.depen.pr.gov.br/centralvagas/exibirFoto.jpg?numProntuario=",$E363,"&amp;idImagem=3"),"FOTO 3")</f>
        <v>FOTO 3</v>
      </c>
      <c r="N363" s="199" t="str">
        <f>HYPERLINK(CONCATENATE("http://www.spr.depen.pr.gov.br/centralvagas/exibirFoto.jpg?numProntuario=",$E363,"&amp;idImagem=4"),"FOTO 4")</f>
        <v>FOTO 4</v>
      </c>
      <c r="O363" s="199" t="str">
        <f>HYPERLINK(CONCATENATE("http://www.spr.depen.pr.gov.br/centralvagas/exibirFoto.jpg?numProntuario=",$E363,"&amp;idImagem=5"),"FOTO 5")</f>
        <v>FOTO 5</v>
      </c>
      <c r="P363" s="199" t="str">
        <f>HYPERLINK(CONCATENATE("http://www.spr.depen.pr.gov.br/centralvagas/exibirFoto.jpg?numProntuario=",$E363,"&amp;idImagem=6"),"FOTO 6")</f>
        <v>FOTO 6</v>
      </c>
    </row>
    <row r="364" spans="1:16" ht="14.1" customHeight="1" thickTop="1" thickBot="1">
      <c r="A364" s="571" t="s">
        <v>161</v>
      </c>
      <c r="B364" s="419"/>
      <c r="C364" s="116" t="s">
        <v>2455</v>
      </c>
      <c r="D364" s="130" t="s">
        <v>2221</v>
      </c>
      <c r="E364" s="117">
        <v>137235</v>
      </c>
      <c r="F364" s="116"/>
      <c r="G364" s="119"/>
      <c r="H364" s="116"/>
      <c r="I364" s="119"/>
      <c r="J364" s="132"/>
      <c r="K364" s="199" t="str">
        <f>HYPERLINK(CONCATENATE("http://www.spr.depen.pr.gov.br/centralvagas/exibirFoto.jpg?numProntuario=",$E364,"&amp;idImagem=1"),"FOTO 1")</f>
        <v>FOTO 1</v>
      </c>
      <c r="L364" s="199" t="str">
        <f>HYPERLINK(CONCATENATE("http://www.spr.depen.pr.gov.br/centralvagas/exibirFoto.jpg?numProntuario=",$E364,"&amp;idImagem=2"),"FOTO 2")</f>
        <v>FOTO 2</v>
      </c>
      <c r="M364" s="199" t="str">
        <f>HYPERLINK(CONCATENATE("http://www.spr.depen.pr.gov.br/centralvagas/exibirFoto.jpg?numProntuario=",$E364,"&amp;idImagem=3"),"FOTO 3")</f>
        <v>FOTO 3</v>
      </c>
      <c r="N364" s="199" t="str">
        <f>HYPERLINK(CONCATENATE("http://www.spr.depen.pr.gov.br/centralvagas/exibirFoto.jpg?numProntuario=",$E364,"&amp;idImagem=4"),"FOTO 4")</f>
        <v>FOTO 4</v>
      </c>
      <c r="O364" s="199" t="str">
        <f>HYPERLINK(CONCATENATE("http://www.spr.depen.pr.gov.br/centralvagas/exibirFoto.jpg?numProntuario=",$E364,"&amp;idImagem=5"),"FOTO 5")</f>
        <v>FOTO 5</v>
      </c>
      <c r="P364" s="199" t="str">
        <f>HYPERLINK(CONCATENATE("http://www.spr.depen.pr.gov.br/centralvagas/exibirFoto.jpg?numProntuario=",$E364,"&amp;idImagem=6"),"FOTO 6")</f>
        <v>FOTO 6</v>
      </c>
    </row>
    <row r="365" spans="1:16" ht="14.1" customHeight="1" thickTop="1" thickBot="1">
      <c r="A365" s="573" t="s">
        <v>161</v>
      </c>
      <c r="B365" s="229"/>
      <c r="C365" s="116" t="s">
        <v>2455</v>
      </c>
      <c r="D365" s="122" t="s">
        <v>2649</v>
      </c>
      <c r="E365" s="117">
        <v>146885</v>
      </c>
      <c r="F365" s="116"/>
      <c r="G365" s="119"/>
      <c r="H365" s="116"/>
      <c r="I365" s="119"/>
      <c r="J365" s="116"/>
      <c r="K365" s="199" t="str">
        <f>HYPERLINK(CONCATENATE("http://www.spr.depen.pr.gov.br/centralvagas/exibirFoto.jpg?numProntuario=",$E365,"&amp;idImagem=1"),"FOTO 1")</f>
        <v>FOTO 1</v>
      </c>
      <c r="L365" s="199" t="str">
        <f>HYPERLINK(CONCATENATE("http://www.spr.depen.pr.gov.br/centralvagas/exibirFoto.jpg?numProntuario=",$E365,"&amp;idImagem=2"),"FOTO 2")</f>
        <v>FOTO 2</v>
      </c>
      <c r="M365" s="199" t="str">
        <f>HYPERLINK(CONCATENATE("http://www.spr.depen.pr.gov.br/centralvagas/exibirFoto.jpg?numProntuario=",$E365,"&amp;idImagem=3"),"FOTO 3")</f>
        <v>FOTO 3</v>
      </c>
      <c r="N365" s="199" t="str">
        <f>HYPERLINK(CONCATENATE("http://www.spr.depen.pr.gov.br/centralvagas/exibirFoto.jpg?numProntuario=",$E365,"&amp;idImagem=4"),"FOTO 4")</f>
        <v>FOTO 4</v>
      </c>
      <c r="O365" s="199" t="str">
        <f>HYPERLINK(CONCATENATE("http://www.spr.depen.pr.gov.br/centralvagas/exibirFoto.jpg?numProntuario=",$E365,"&amp;idImagem=5"),"FOTO 5")</f>
        <v>FOTO 5</v>
      </c>
      <c r="P365" s="199" t="str">
        <f>HYPERLINK(CONCATENATE("http://www.spr.depen.pr.gov.br/centralvagas/exibirFoto.jpg?numProntuario=",$E365,"&amp;idImagem=6"),"FOTO 6")</f>
        <v>FOTO 6</v>
      </c>
    </row>
    <row r="366" spans="1:16" ht="14.1" customHeight="1" thickTop="1" thickBot="1">
      <c r="A366" s="571" t="s">
        <v>161</v>
      </c>
      <c r="B366" s="464"/>
      <c r="C366" s="123" t="s">
        <v>2455</v>
      </c>
      <c r="D366" s="129" t="s">
        <v>3710</v>
      </c>
      <c r="E366" s="117">
        <v>27211</v>
      </c>
      <c r="F366" s="116"/>
      <c r="G366" s="119"/>
      <c r="H366" s="116"/>
      <c r="I366" s="119"/>
      <c r="J366" s="116"/>
      <c r="K366" s="199" t="str">
        <f>HYPERLINK(CONCATENATE("http://www.spr.depen.pr.gov.br/centralvagas/exibirFoto.jpg?numProntuario=",$E366,"&amp;idImagem=1"),"FOTO 1")</f>
        <v>FOTO 1</v>
      </c>
      <c r="L366" s="199" t="str">
        <f>HYPERLINK(CONCATENATE("http://www.spr.depen.pr.gov.br/centralvagas/exibirFoto.jpg?numProntuario=",$E366,"&amp;idImagem=2"),"FOTO 2")</f>
        <v>FOTO 2</v>
      </c>
      <c r="M366" s="199" t="str">
        <f>HYPERLINK(CONCATENATE("http://www.spr.depen.pr.gov.br/centralvagas/exibirFoto.jpg?numProntuario=",$E366,"&amp;idImagem=3"),"FOTO 3")</f>
        <v>FOTO 3</v>
      </c>
      <c r="N366" s="199" t="str">
        <f>HYPERLINK(CONCATENATE("http://www.spr.depen.pr.gov.br/centralvagas/exibirFoto.jpg?numProntuario=",$E366,"&amp;idImagem=4"),"FOTO 4")</f>
        <v>FOTO 4</v>
      </c>
      <c r="O366" s="199" t="str">
        <f>HYPERLINK(CONCATENATE("http://www.spr.depen.pr.gov.br/centralvagas/exibirFoto.jpg?numProntuario=",$E366,"&amp;idImagem=5"),"FOTO 5")</f>
        <v>FOTO 5</v>
      </c>
      <c r="P366" s="199" t="str">
        <f>HYPERLINK(CONCATENATE("http://www.spr.depen.pr.gov.br/centralvagas/exibirFoto.jpg?numProntuario=",$E366,"&amp;idImagem=6"),"FOTO 6")</f>
        <v>FOTO 6</v>
      </c>
    </row>
    <row r="367" spans="1:16" ht="14.1" customHeight="1" thickTop="1" thickBot="1">
      <c r="A367" s="151"/>
      <c r="B367" s="419"/>
      <c r="C367" s="420" t="s">
        <v>2451</v>
      </c>
      <c r="D367" s="421" t="s">
        <v>2767</v>
      </c>
      <c r="E367" s="117">
        <v>166100</v>
      </c>
      <c r="F367" s="116"/>
      <c r="G367" s="119"/>
      <c r="H367" s="116"/>
      <c r="I367" s="119"/>
      <c r="J367" s="116"/>
      <c r="K367" s="199" t="str">
        <f>HYPERLINK(CONCATENATE("http://www.spr.depen.pr.gov.br/centralvagas/exibirFoto.jpg?numProntuario=",$E367,"&amp;idImagem=1"),"FOTO 1")</f>
        <v>FOTO 1</v>
      </c>
      <c r="L367" s="199" t="str">
        <f>HYPERLINK(CONCATENATE("http://www.spr.depen.pr.gov.br/centralvagas/exibirFoto.jpg?numProntuario=",$E367,"&amp;idImagem=2"),"FOTO 2")</f>
        <v>FOTO 2</v>
      </c>
      <c r="M367" s="199" t="str">
        <f>HYPERLINK(CONCATENATE("http://www.spr.depen.pr.gov.br/centralvagas/exibirFoto.jpg?numProntuario=",$E367,"&amp;idImagem=3"),"FOTO 3")</f>
        <v>FOTO 3</v>
      </c>
      <c r="N367" s="199" t="str">
        <f>HYPERLINK(CONCATENATE("http://www.spr.depen.pr.gov.br/centralvagas/exibirFoto.jpg?numProntuario=",$E367,"&amp;idImagem=4"),"FOTO 4")</f>
        <v>FOTO 4</v>
      </c>
      <c r="O367" s="199" t="str">
        <f>HYPERLINK(CONCATENATE("http://www.spr.depen.pr.gov.br/centralvagas/exibirFoto.jpg?numProntuario=",$E367,"&amp;idImagem=5"),"FOTO 5")</f>
        <v>FOTO 5</v>
      </c>
      <c r="P367" s="199" t="str">
        <f>HYPERLINK(CONCATENATE("http://www.spr.depen.pr.gov.br/centralvagas/exibirFoto.jpg?numProntuario=",$E367,"&amp;idImagem=6"),"FOTO 6")</f>
        <v>FOTO 6</v>
      </c>
    </row>
    <row r="368" spans="1:16" ht="14.1" customHeight="1" thickTop="1" thickBot="1">
      <c r="A368" s="120"/>
      <c r="B368" s="419"/>
      <c r="C368" s="420" t="s">
        <v>2451</v>
      </c>
      <c r="D368" s="421" t="s">
        <v>2769</v>
      </c>
      <c r="E368" s="117">
        <v>165977</v>
      </c>
      <c r="F368" s="116"/>
      <c r="G368" s="119"/>
      <c r="H368" s="116"/>
      <c r="I368" s="119"/>
      <c r="J368" s="116"/>
      <c r="K368" s="199" t="str">
        <f>HYPERLINK(CONCATENATE("http://www.spr.depen.pr.gov.br/centralvagas/exibirFoto.jpg?numProntuario=",$E368,"&amp;idImagem=1"),"FOTO 1")</f>
        <v>FOTO 1</v>
      </c>
      <c r="L368" s="199" t="str">
        <f>HYPERLINK(CONCATENATE("http://www.spr.depen.pr.gov.br/centralvagas/exibirFoto.jpg?numProntuario=",$E368,"&amp;idImagem=2"),"FOTO 2")</f>
        <v>FOTO 2</v>
      </c>
      <c r="M368" s="199" t="str">
        <f>HYPERLINK(CONCATENATE("http://www.spr.depen.pr.gov.br/centralvagas/exibirFoto.jpg?numProntuario=",$E368,"&amp;idImagem=3"),"FOTO 3")</f>
        <v>FOTO 3</v>
      </c>
      <c r="N368" s="199" t="str">
        <f>HYPERLINK(CONCATENATE("http://www.spr.depen.pr.gov.br/centralvagas/exibirFoto.jpg?numProntuario=",$E368,"&amp;idImagem=4"),"FOTO 4")</f>
        <v>FOTO 4</v>
      </c>
      <c r="O368" s="199" t="str">
        <f>HYPERLINK(CONCATENATE("http://www.spr.depen.pr.gov.br/centralvagas/exibirFoto.jpg?numProntuario=",$E368,"&amp;idImagem=5"),"FOTO 5")</f>
        <v>FOTO 5</v>
      </c>
      <c r="P368" s="199" t="str">
        <f>HYPERLINK(CONCATENATE("http://www.spr.depen.pr.gov.br/centralvagas/exibirFoto.jpg?numProntuario=",$E368,"&amp;idImagem=6"),"FOTO 6")</f>
        <v>FOTO 6</v>
      </c>
    </row>
    <row r="369" spans="1:16" ht="14.1" customHeight="1" thickTop="1" thickBot="1">
      <c r="A369" s="123"/>
      <c r="B369" s="419"/>
      <c r="C369" s="217" t="s">
        <v>2451</v>
      </c>
      <c r="D369" s="417" t="s">
        <v>3491</v>
      </c>
      <c r="E369" s="117">
        <v>27264</v>
      </c>
      <c r="F369" s="116"/>
      <c r="G369" s="119"/>
      <c r="H369" s="116"/>
      <c r="I369" s="119"/>
      <c r="J369" s="132"/>
      <c r="K369" s="199" t="str">
        <f>HYPERLINK(CONCATENATE("http://www.spr.depen.pr.gov.br/centralvagas/exibirFoto.jpg?numProntuario=",$E369,"&amp;idImagem=1"),"FOTO 1")</f>
        <v>FOTO 1</v>
      </c>
      <c r="L369" s="199" t="str">
        <f>HYPERLINK(CONCATENATE("http://www.spr.depen.pr.gov.br/centralvagas/exibirFoto.jpg?numProntuario=",$E369,"&amp;idImagem=2"),"FOTO 2")</f>
        <v>FOTO 2</v>
      </c>
      <c r="M369" s="199" t="str">
        <f>HYPERLINK(CONCATENATE("http://www.spr.depen.pr.gov.br/centralvagas/exibirFoto.jpg?numProntuario=",$E369,"&amp;idImagem=3"),"FOTO 3")</f>
        <v>FOTO 3</v>
      </c>
      <c r="N369" s="199" t="str">
        <f>HYPERLINK(CONCATENATE("http://www.spr.depen.pr.gov.br/centralvagas/exibirFoto.jpg?numProntuario=",$E369,"&amp;idImagem=4"),"FOTO 4")</f>
        <v>FOTO 4</v>
      </c>
      <c r="O369" s="199" t="str">
        <f>HYPERLINK(CONCATENATE("http://www.spr.depen.pr.gov.br/centralvagas/exibirFoto.jpg?numProntuario=",$E369,"&amp;idImagem=5"),"FOTO 5")</f>
        <v>FOTO 5</v>
      </c>
      <c r="P369" s="199" t="str">
        <f>HYPERLINK(CONCATENATE("http://www.spr.depen.pr.gov.br/centralvagas/exibirFoto.jpg?numProntuario=",$E369,"&amp;idImagem=6"),"FOTO 6")</f>
        <v>FOTO 6</v>
      </c>
    </row>
    <row r="370" spans="1:16" ht="14.1" customHeight="1" thickTop="1" thickBot="1">
      <c r="A370" s="145"/>
      <c r="B370" s="419"/>
      <c r="C370" s="217" t="s">
        <v>2451</v>
      </c>
      <c r="D370" s="417" t="s">
        <v>2135</v>
      </c>
      <c r="E370" s="117">
        <v>113819</v>
      </c>
      <c r="F370" s="116"/>
      <c r="G370" s="119"/>
      <c r="H370" s="116"/>
      <c r="I370" s="119"/>
      <c r="J370" s="116"/>
      <c r="K370" s="199" t="str">
        <f>HYPERLINK(CONCATENATE("http://www.spr.depen.pr.gov.br/centralvagas/exibirFoto.jpg?numProntuario=",$E370,"&amp;idImagem=1"),"FOTO 1")</f>
        <v>FOTO 1</v>
      </c>
      <c r="L370" s="199" t="str">
        <f>HYPERLINK(CONCATENATE("http://www.spr.depen.pr.gov.br/centralvagas/exibirFoto.jpg?numProntuario=",$E370,"&amp;idImagem=2"),"FOTO 2")</f>
        <v>FOTO 2</v>
      </c>
      <c r="M370" s="199" t="str">
        <f>HYPERLINK(CONCATENATE("http://www.spr.depen.pr.gov.br/centralvagas/exibirFoto.jpg?numProntuario=",$E370,"&amp;idImagem=3"),"FOTO 3")</f>
        <v>FOTO 3</v>
      </c>
      <c r="N370" s="199" t="str">
        <f>HYPERLINK(CONCATENATE("http://www.spr.depen.pr.gov.br/centralvagas/exibirFoto.jpg?numProntuario=",$E370,"&amp;idImagem=4"),"FOTO 4")</f>
        <v>FOTO 4</v>
      </c>
      <c r="O370" s="199" t="str">
        <f>HYPERLINK(CONCATENATE("http://www.spr.depen.pr.gov.br/centralvagas/exibirFoto.jpg?numProntuario=",$E370,"&amp;idImagem=5"),"FOTO 5")</f>
        <v>FOTO 5</v>
      </c>
      <c r="P370" s="199" t="str">
        <f>HYPERLINK(CONCATENATE("http://www.spr.depen.pr.gov.br/centralvagas/exibirFoto.jpg?numProntuario=",$E370,"&amp;idImagem=6"),"FOTO 6")</f>
        <v>FOTO 6</v>
      </c>
    </row>
    <row r="371" spans="1:16" ht="14.1" customHeight="1" thickTop="1" thickBot="1">
      <c r="A371" s="150"/>
      <c r="B371" s="419"/>
      <c r="C371" s="116" t="s">
        <v>2505</v>
      </c>
      <c r="D371" s="131" t="s">
        <v>2062</v>
      </c>
      <c r="E371" s="117">
        <v>27251</v>
      </c>
      <c r="F371" s="116"/>
      <c r="G371" s="119"/>
      <c r="H371" s="116"/>
      <c r="I371" s="119"/>
      <c r="J371" s="116"/>
      <c r="K371" s="199" t="str">
        <f>HYPERLINK(CONCATENATE("http://www.spr.depen.pr.gov.br/centralvagas/exibirFoto.jpg?numProntuario=",$E371,"&amp;idImagem=1"),"FOTO 1")</f>
        <v>FOTO 1</v>
      </c>
      <c r="L371" s="199" t="str">
        <f>HYPERLINK(CONCATENATE("http://www.spr.depen.pr.gov.br/centralvagas/exibirFoto.jpg?numProntuario=",$E371,"&amp;idImagem=2"),"FOTO 2")</f>
        <v>FOTO 2</v>
      </c>
      <c r="M371" s="199" t="str">
        <f>HYPERLINK(CONCATENATE("http://www.spr.depen.pr.gov.br/centralvagas/exibirFoto.jpg?numProntuario=",$E371,"&amp;idImagem=3"),"FOTO 3")</f>
        <v>FOTO 3</v>
      </c>
      <c r="N371" s="199" t="str">
        <f>HYPERLINK(CONCATENATE("http://www.spr.depen.pr.gov.br/centralvagas/exibirFoto.jpg?numProntuario=",$E371,"&amp;idImagem=4"),"FOTO 4")</f>
        <v>FOTO 4</v>
      </c>
      <c r="O371" s="199" t="str">
        <f>HYPERLINK(CONCATENATE("http://www.spr.depen.pr.gov.br/centralvagas/exibirFoto.jpg?numProntuario=",$E371,"&amp;idImagem=5"),"FOTO 5")</f>
        <v>FOTO 5</v>
      </c>
      <c r="P371" s="199" t="str">
        <f>HYPERLINK(CONCATENATE("http://www.spr.depen.pr.gov.br/centralvagas/exibirFoto.jpg?numProntuario=",$E371,"&amp;idImagem=6"),"FOTO 6")</f>
        <v>FOTO 6</v>
      </c>
    </row>
    <row r="372" spans="1:16" ht="14.1" customHeight="1" thickTop="1" thickBot="1">
      <c r="A372" s="120"/>
      <c r="B372" s="127"/>
      <c r="C372" s="116" t="s">
        <v>2505</v>
      </c>
      <c r="D372" s="130" t="s">
        <v>2300</v>
      </c>
      <c r="E372" s="117">
        <v>101155</v>
      </c>
      <c r="F372" s="116"/>
      <c r="G372" s="119"/>
      <c r="H372" s="116"/>
      <c r="I372" s="119"/>
      <c r="J372" s="116"/>
      <c r="K372" s="199" t="str">
        <f>HYPERLINK(CONCATENATE("http://www.spr.depen.pr.gov.br/centralvagas/exibirFoto.jpg?numProntuario=",$E372,"&amp;idImagem=1"),"FOTO 1")</f>
        <v>FOTO 1</v>
      </c>
      <c r="L372" s="199" t="str">
        <f>HYPERLINK(CONCATENATE("http://www.spr.depen.pr.gov.br/centralvagas/exibirFoto.jpg?numProntuario=",$E372,"&amp;idImagem=2"),"FOTO 2")</f>
        <v>FOTO 2</v>
      </c>
      <c r="M372" s="199" t="str">
        <f>HYPERLINK(CONCATENATE("http://www.spr.depen.pr.gov.br/centralvagas/exibirFoto.jpg?numProntuario=",$E372,"&amp;idImagem=3"),"FOTO 3")</f>
        <v>FOTO 3</v>
      </c>
      <c r="N372" s="199" t="str">
        <f>HYPERLINK(CONCATENATE("http://www.spr.depen.pr.gov.br/centralvagas/exibirFoto.jpg?numProntuario=",$E372,"&amp;idImagem=4"),"FOTO 4")</f>
        <v>FOTO 4</v>
      </c>
      <c r="O372" s="199" t="str">
        <f>HYPERLINK(CONCATENATE("http://www.spr.depen.pr.gov.br/centralvagas/exibirFoto.jpg?numProntuario=",$E372,"&amp;idImagem=5"),"FOTO 5")</f>
        <v>FOTO 5</v>
      </c>
      <c r="P372" s="199" t="str">
        <f>HYPERLINK(CONCATENATE("http://www.spr.depen.pr.gov.br/centralvagas/exibirFoto.jpg?numProntuario=",$E372,"&amp;idImagem=6"),"FOTO 6")</f>
        <v>FOTO 6</v>
      </c>
    </row>
    <row r="373" spans="1:16" ht="14.1" customHeight="1" thickTop="1" thickBot="1">
      <c r="A373" s="116"/>
      <c r="B373" s="419"/>
      <c r="C373" s="116" t="s">
        <v>2505</v>
      </c>
      <c r="D373" s="131" t="s">
        <v>2795</v>
      </c>
      <c r="E373" s="117">
        <v>145354</v>
      </c>
      <c r="F373" s="116"/>
      <c r="G373" s="119"/>
      <c r="H373" s="116"/>
      <c r="I373" s="119"/>
      <c r="J373" s="116"/>
      <c r="K373" s="199" t="str">
        <f>HYPERLINK(CONCATENATE("http://www.spr.depen.pr.gov.br/centralvagas/exibirFoto.jpg?numProntuario=",$E373,"&amp;idImagem=1"),"FOTO 1")</f>
        <v>FOTO 1</v>
      </c>
      <c r="L373" s="199" t="str">
        <f>HYPERLINK(CONCATENATE("http://www.spr.depen.pr.gov.br/centralvagas/exibirFoto.jpg?numProntuario=",$E373,"&amp;idImagem=2"),"FOTO 2")</f>
        <v>FOTO 2</v>
      </c>
      <c r="M373" s="199" t="str">
        <f>HYPERLINK(CONCATENATE("http://www.spr.depen.pr.gov.br/centralvagas/exibirFoto.jpg?numProntuario=",$E373,"&amp;idImagem=3"),"FOTO 3")</f>
        <v>FOTO 3</v>
      </c>
      <c r="N373" s="199" t="str">
        <f>HYPERLINK(CONCATENATE("http://www.spr.depen.pr.gov.br/centralvagas/exibirFoto.jpg?numProntuario=",$E373,"&amp;idImagem=4"),"FOTO 4")</f>
        <v>FOTO 4</v>
      </c>
      <c r="O373" s="199" t="str">
        <f>HYPERLINK(CONCATENATE("http://www.spr.depen.pr.gov.br/centralvagas/exibirFoto.jpg?numProntuario=",$E373,"&amp;idImagem=5"),"FOTO 5")</f>
        <v>FOTO 5</v>
      </c>
      <c r="P373" s="199" t="str">
        <f>HYPERLINK(CONCATENATE("http://www.spr.depen.pr.gov.br/centralvagas/exibirFoto.jpg?numProntuario=",$E373,"&amp;idImagem=6"),"FOTO 6")</f>
        <v>FOTO 6</v>
      </c>
    </row>
    <row r="374" spans="1:16" ht="14.1" customHeight="1" thickTop="1" thickBot="1">
      <c r="A374" s="251"/>
      <c r="B374" s="245"/>
      <c r="C374" s="116" t="s">
        <v>2505</v>
      </c>
      <c r="D374" s="131" t="s">
        <v>3519</v>
      </c>
      <c r="E374" s="117">
        <v>410117</v>
      </c>
      <c r="F374" s="145"/>
      <c r="G374" s="162"/>
      <c r="H374" s="116"/>
      <c r="I374" s="162"/>
      <c r="J374" s="116"/>
      <c r="K374" s="199" t="str">
        <f>HYPERLINK(CONCATENATE("http://www.spr.depen.pr.gov.br/centralvagas/exibirFoto.jpg?numProntuario=",$E374,"&amp;idImagem=1"),"FOTO 1")</f>
        <v>FOTO 1</v>
      </c>
      <c r="L374" s="199" t="str">
        <f>HYPERLINK(CONCATENATE("http://www.spr.depen.pr.gov.br/centralvagas/exibirFoto.jpg?numProntuario=",$E374,"&amp;idImagem=2"),"FOTO 2")</f>
        <v>FOTO 2</v>
      </c>
      <c r="M374" s="199" t="str">
        <f>HYPERLINK(CONCATENATE("http://www.spr.depen.pr.gov.br/centralvagas/exibirFoto.jpg?numProntuario=",$E374,"&amp;idImagem=3"),"FOTO 3")</f>
        <v>FOTO 3</v>
      </c>
      <c r="N374" s="199" t="str">
        <f>HYPERLINK(CONCATENATE("http://www.spr.depen.pr.gov.br/centralvagas/exibirFoto.jpg?numProntuario=",$E374,"&amp;idImagem=4"),"FOTO 4")</f>
        <v>FOTO 4</v>
      </c>
      <c r="O374" s="199" t="str">
        <f>HYPERLINK(CONCATENATE("http://www.spr.depen.pr.gov.br/centralvagas/exibirFoto.jpg?numProntuario=",$E374,"&amp;idImagem=5"),"FOTO 5")</f>
        <v>FOTO 5</v>
      </c>
      <c r="P374" s="199" t="str">
        <f>HYPERLINK(CONCATENATE("http://www.spr.depen.pr.gov.br/centralvagas/exibirFoto.jpg?numProntuario=",$E374,"&amp;idImagem=6"),"FOTO 6")</f>
        <v>FOTO 6</v>
      </c>
    </row>
    <row r="375" spans="1:16" ht="14.1" customHeight="1" thickTop="1" thickBot="1">
      <c r="A375" s="120"/>
      <c r="B375" s="419"/>
      <c r="C375" s="126" t="s">
        <v>2551</v>
      </c>
      <c r="D375" s="137" t="s">
        <v>897</v>
      </c>
      <c r="E375" s="144">
        <v>63592</v>
      </c>
      <c r="F375" s="116"/>
      <c r="G375" s="119"/>
      <c r="H375" s="116"/>
      <c r="I375" s="119"/>
      <c r="J375" s="116"/>
      <c r="K375" s="199" t="str">
        <f>HYPERLINK(CONCATENATE("http://www.spr.depen.pr.gov.br/centralvagas/exibirFoto.jpg?numProntuario=",$E375,"&amp;idImagem=1"),"FOTO 1")</f>
        <v>FOTO 1</v>
      </c>
      <c r="L375" s="199" t="str">
        <f>HYPERLINK(CONCATENATE("http://www.spr.depen.pr.gov.br/centralvagas/exibirFoto.jpg?numProntuario=",$E375,"&amp;idImagem=2"),"FOTO 2")</f>
        <v>FOTO 2</v>
      </c>
      <c r="M375" s="199" t="str">
        <f>HYPERLINK(CONCATENATE("http://www.spr.depen.pr.gov.br/centralvagas/exibirFoto.jpg?numProntuario=",$E375,"&amp;idImagem=3"),"FOTO 3")</f>
        <v>FOTO 3</v>
      </c>
      <c r="N375" s="199" t="str">
        <f>HYPERLINK(CONCATENATE("http://www.spr.depen.pr.gov.br/centralvagas/exibirFoto.jpg?numProntuario=",$E375,"&amp;idImagem=4"),"FOTO 4")</f>
        <v>FOTO 4</v>
      </c>
      <c r="O375" s="199" t="str">
        <f>HYPERLINK(CONCATENATE("http://www.spr.depen.pr.gov.br/centralvagas/exibirFoto.jpg?numProntuario=",$E375,"&amp;idImagem=5"),"FOTO 5")</f>
        <v>FOTO 5</v>
      </c>
      <c r="P375" s="199" t="str">
        <f>HYPERLINK(CONCATENATE("http://www.spr.depen.pr.gov.br/centralvagas/exibirFoto.jpg?numProntuario=",$E375,"&amp;idImagem=6"),"FOTO 6")</f>
        <v>FOTO 6</v>
      </c>
    </row>
    <row r="376" spans="1:16" ht="14.1" customHeight="1" thickTop="1" thickBot="1">
      <c r="A376" s="242"/>
      <c r="B376" s="419"/>
      <c r="C376" s="126" t="s">
        <v>2551</v>
      </c>
      <c r="D376" s="141" t="s">
        <v>2287</v>
      </c>
      <c r="E376" s="117">
        <v>131683</v>
      </c>
      <c r="F376" s="145"/>
      <c r="G376" s="119"/>
      <c r="H376" s="116"/>
      <c r="I376" s="119"/>
      <c r="J376" s="116"/>
      <c r="K376" s="199" t="str">
        <f>HYPERLINK(CONCATENATE("http://www.spr.depen.pr.gov.br/centralvagas/exibirFoto.jpg?numProntuario=",$E376,"&amp;idImagem=1"),"FOTO 1")</f>
        <v>FOTO 1</v>
      </c>
      <c r="L376" s="199" t="str">
        <f>HYPERLINK(CONCATENATE("http://www.spr.depen.pr.gov.br/centralvagas/exibirFoto.jpg?numProntuario=",$E376,"&amp;idImagem=2"),"FOTO 2")</f>
        <v>FOTO 2</v>
      </c>
      <c r="M376" s="199" t="str">
        <f>HYPERLINK(CONCATENATE("http://www.spr.depen.pr.gov.br/centralvagas/exibirFoto.jpg?numProntuario=",$E376,"&amp;idImagem=3"),"FOTO 3")</f>
        <v>FOTO 3</v>
      </c>
      <c r="N376" s="199" t="str">
        <f>HYPERLINK(CONCATENATE("http://www.spr.depen.pr.gov.br/centralvagas/exibirFoto.jpg?numProntuario=",$E376,"&amp;idImagem=4"),"FOTO 4")</f>
        <v>FOTO 4</v>
      </c>
      <c r="O376" s="199" t="str">
        <f>HYPERLINK(CONCATENATE("http://www.spr.depen.pr.gov.br/centralvagas/exibirFoto.jpg?numProntuario=",$E376,"&amp;idImagem=5"),"FOTO 5")</f>
        <v>FOTO 5</v>
      </c>
      <c r="P376" s="199" t="str">
        <f>HYPERLINK(CONCATENATE("http://www.spr.depen.pr.gov.br/centralvagas/exibirFoto.jpg?numProntuario=",$E376,"&amp;idImagem=6"),"FOTO 6")</f>
        <v>FOTO 6</v>
      </c>
    </row>
    <row r="377" spans="1:16" ht="14.1" customHeight="1" thickTop="1" thickBot="1">
      <c r="A377" s="372"/>
      <c r="B377" s="438"/>
      <c r="C377" s="116" t="s">
        <v>2551</v>
      </c>
      <c r="D377" s="489" t="s">
        <v>3483</v>
      </c>
      <c r="E377" s="468">
        <v>166907</v>
      </c>
      <c r="F377" s="116"/>
      <c r="G377" s="119"/>
      <c r="H377" s="116"/>
      <c r="I377" s="119"/>
      <c r="J377" s="116"/>
      <c r="K377" s="199" t="str">
        <f>HYPERLINK(CONCATENATE("http://www.spr.depen.pr.gov.br/centralvagas/exibirFoto.jpg?numProntuario=",$E377,"&amp;idImagem=1"),"FOTO 1")</f>
        <v>FOTO 1</v>
      </c>
      <c r="L377" s="199" t="str">
        <f>HYPERLINK(CONCATENATE("http://www.spr.depen.pr.gov.br/centralvagas/exibirFoto.jpg?numProntuario=",$E377,"&amp;idImagem=2"),"FOTO 2")</f>
        <v>FOTO 2</v>
      </c>
      <c r="M377" s="199" t="str">
        <f>HYPERLINK(CONCATENATE("http://www.spr.depen.pr.gov.br/centralvagas/exibirFoto.jpg?numProntuario=",$E377,"&amp;idImagem=3"),"FOTO 3")</f>
        <v>FOTO 3</v>
      </c>
      <c r="N377" s="199" t="str">
        <f>HYPERLINK(CONCATENATE("http://www.spr.depen.pr.gov.br/centralvagas/exibirFoto.jpg?numProntuario=",$E377,"&amp;idImagem=4"),"FOTO 4")</f>
        <v>FOTO 4</v>
      </c>
      <c r="O377" s="199" t="str">
        <f>HYPERLINK(CONCATENATE("http://www.spr.depen.pr.gov.br/centralvagas/exibirFoto.jpg?numProntuario=",$E377,"&amp;idImagem=5"),"FOTO 5")</f>
        <v>FOTO 5</v>
      </c>
      <c r="P377" s="199" t="str">
        <f>HYPERLINK(CONCATENATE("http://www.spr.depen.pr.gov.br/centralvagas/exibirFoto.jpg?numProntuario=",$E377,"&amp;idImagem=6"),"FOTO 6")</f>
        <v>FOTO 6</v>
      </c>
    </row>
    <row r="378" spans="1:16" ht="14.1" customHeight="1" thickTop="1" thickBot="1">
      <c r="A378" s="123"/>
      <c r="B378" s="438"/>
      <c r="C378" s="116" t="s">
        <v>2551</v>
      </c>
      <c r="D378" s="131" t="s">
        <v>2445</v>
      </c>
      <c r="E378" s="117">
        <v>102462</v>
      </c>
      <c r="F378" s="116"/>
      <c r="G378" s="119"/>
      <c r="H378" s="116"/>
      <c r="I378" s="119"/>
      <c r="J378" s="116"/>
      <c r="K378" s="199" t="str">
        <f>HYPERLINK(CONCATENATE("http://www.spr.depen.pr.gov.br/centralvagas/exibirFoto.jpg?numProntuario=",$E378,"&amp;idImagem=1"),"FOTO 1")</f>
        <v>FOTO 1</v>
      </c>
      <c r="L378" s="199" t="str">
        <f>HYPERLINK(CONCATENATE("http://www.spr.depen.pr.gov.br/centralvagas/exibirFoto.jpg?numProntuario=",$E378,"&amp;idImagem=2"),"FOTO 2")</f>
        <v>FOTO 2</v>
      </c>
      <c r="M378" s="199" t="str">
        <f>HYPERLINK(CONCATENATE("http://www.spr.depen.pr.gov.br/centralvagas/exibirFoto.jpg?numProntuario=",$E378,"&amp;idImagem=3"),"FOTO 3")</f>
        <v>FOTO 3</v>
      </c>
      <c r="N378" s="199" t="str">
        <f>HYPERLINK(CONCATENATE("http://www.spr.depen.pr.gov.br/centralvagas/exibirFoto.jpg?numProntuario=",$E378,"&amp;idImagem=4"),"FOTO 4")</f>
        <v>FOTO 4</v>
      </c>
      <c r="O378" s="199" t="str">
        <f>HYPERLINK(CONCATENATE("http://www.spr.depen.pr.gov.br/centralvagas/exibirFoto.jpg?numProntuario=",$E378,"&amp;idImagem=5"),"FOTO 5")</f>
        <v>FOTO 5</v>
      </c>
      <c r="P378" s="199" t="str">
        <f>HYPERLINK(CONCATENATE("http://www.spr.depen.pr.gov.br/centralvagas/exibirFoto.jpg?numProntuario=",$E378,"&amp;idImagem=6"),"FOTO 6")</f>
        <v>FOTO 6</v>
      </c>
    </row>
    <row r="379" spans="1:16" ht="14.1" customHeight="1" thickTop="1" thickBot="1">
      <c r="A379" s="145"/>
      <c r="B379" s="147"/>
      <c r="C379" s="116" t="s">
        <v>2567</v>
      </c>
      <c r="D379" s="131" t="s">
        <v>2384</v>
      </c>
      <c r="E379" s="117">
        <v>113260</v>
      </c>
      <c r="F379" s="116"/>
      <c r="G379" s="119"/>
      <c r="H379" s="116"/>
      <c r="I379" s="119"/>
      <c r="J379" s="116"/>
      <c r="K379" s="199" t="str">
        <f>HYPERLINK(CONCATENATE("http://www.spr.depen.pr.gov.br/centralvagas/exibirFoto.jpg?numProntuario=",$E379,"&amp;idImagem=1"),"FOTO 1")</f>
        <v>FOTO 1</v>
      </c>
      <c r="L379" s="199" t="str">
        <f>HYPERLINK(CONCATENATE("http://www.spr.depen.pr.gov.br/centralvagas/exibirFoto.jpg?numProntuario=",$E379,"&amp;idImagem=2"),"FOTO 2")</f>
        <v>FOTO 2</v>
      </c>
      <c r="M379" s="199" t="str">
        <f>HYPERLINK(CONCATENATE("http://www.spr.depen.pr.gov.br/centralvagas/exibirFoto.jpg?numProntuario=",$E379,"&amp;idImagem=3"),"FOTO 3")</f>
        <v>FOTO 3</v>
      </c>
      <c r="N379" s="199" t="str">
        <f>HYPERLINK(CONCATENATE("http://www.spr.depen.pr.gov.br/centralvagas/exibirFoto.jpg?numProntuario=",$E379,"&amp;idImagem=4"),"FOTO 4")</f>
        <v>FOTO 4</v>
      </c>
      <c r="O379" s="199" t="str">
        <f>HYPERLINK(CONCATENATE("http://www.spr.depen.pr.gov.br/centralvagas/exibirFoto.jpg?numProntuario=",$E379,"&amp;idImagem=5"),"FOTO 5")</f>
        <v>FOTO 5</v>
      </c>
      <c r="P379" s="199" t="str">
        <f>HYPERLINK(CONCATENATE("http://www.spr.depen.pr.gov.br/centralvagas/exibirFoto.jpg?numProntuario=",$E379,"&amp;idImagem=6"),"FOTO 6")</f>
        <v>FOTO 6</v>
      </c>
    </row>
    <row r="380" spans="1:16" ht="14.1" customHeight="1" thickTop="1" thickBot="1">
      <c r="A380" s="207"/>
      <c r="B380" s="147"/>
      <c r="C380" s="126" t="s">
        <v>2567</v>
      </c>
      <c r="D380" s="131" t="s">
        <v>2433</v>
      </c>
      <c r="E380" s="117">
        <v>134089</v>
      </c>
      <c r="F380" s="116"/>
      <c r="G380" s="119"/>
      <c r="H380" s="116"/>
      <c r="I380" s="119"/>
      <c r="J380" s="116"/>
      <c r="K380" s="199" t="str">
        <f>HYPERLINK(CONCATENATE("http://www.spr.depen.pr.gov.br/centralvagas/exibirFoto.jpg?numProntuario=",$E380,"&amp;idImagem=1"),"FOTO 1")</f>
        <v>FOTO 1</v>
      </c>
      <c r="L380" s="199" t="str">
        <f>HYPERLINK(CONCATENATE("http://www.spr.depen.pr.gov.br/centralvagas/exibirFoto.jpg?numProntuario=",$E380,"&amp;idImagem=2"),"FOTO 2")</f>
        <v>FOTO 2</v>
      </c>
      <c r="M380" s="199" t="str">
        <f>HYPERLINK(CONCATENATE("http://www.spr.depen.pr.gov.br/centralvagas/exibirFoto.jpg?numProntuario=",$E380,"&amp;idImagem=3"),"FOTO 3")</f>
        <v>FOTO 3</v>
      </c>
      <c r="N380" s="199" t="str">
        <f>HYPERLINK(CONCATENATE("http://www.spr.depen.pr.gov.br/centralvagas/exibirFoto.jpg?numProntuario=",$E380,"&amp;idImagem=4"),"FOTO 4")</f>
        <v>FOTO 4</v>
      </c>
      <c r="O380" s="199" t="str">
        <f>HYPERLINK(CONCATENATE("http://www.spr.depen.pr.gov.br/centralvagas/exibirFoto.jpg?numProntuario=",$E380,"&amp;idImagem=5"),"FOTO 5")</f>
        <v>FOTO 5</v>
      </c>
      <c r="P380" s="199" t="str">
        <f>HYPERLINK(CONCATENATE("http://www.spr.depen.pr.gov.br/centralvagas/exibirFoto.jpg?numProntuario=",$E380,"&amp;idImagem=6"),"FOTO 6")</f>
        <v>FOTO 6</v>
      </c>
    </row>
    <row r="381" spans="1:16" ht="14.1" customHeight="1" thickTop="1" thickBot="1">
      <c r="A381" s="123"/>
      <c r="B381" s="147"/>
      <c r="C381" s="126" t="s">
        <v>2567</v>
      </c>
      <c r="D381" s="131" t="s">
        <v>2434</v>
      </c>
      <c r="E381" s="117">
        <v>128679</v>
      </c>
      <c r="F381" s="116"/>
      <c r="G381" s="119"/>
      <c r="H381" s="116"/>
      <c r="I381" s="119"/>
      <c r="J381" s="132"/>
      <c r="K381" s="199" t="str">
        <f>HYPERLINK(CONCATENATE("http://www.spr.depen.pr.gov.br/centralvagas/exibirFoto.jpg?numProntuario=",$E381,"&amp;idImagem=1"),"FOTO 1")</f>
        <v>FOTO 1</v>
      </c>
      <c r="L381" s="199" t="str">
        <f>HYPERLINK(CONCATENATE("http://www.spr.depen.pr.gov.br/centralvagas/exibirFoto.jpg?numProntuario=",$E381,"&amp;idImagem=2"),"FOTO 2")</f>
        <v>FOTO 2</v>
      </c>
      <c r="M381" s="199" t="str">
        <f>HYPERLINK(CONCATENATE("http://www.spr.depen.pr.gov.br/centralvagas/exibirFoto.jpg?numProntuario=",$E381,"&amp;idImagem=3"),"FOTO 3")</f>
        <v>FOTO 3</v>
      </c>
      <c r="N381" s="199" t="str">
        <f>HYPERLINK(CONCATENATE("http://www.spr.depen.pr.gov.br/centralvagas/exibirFoto.jpg?numProntuario=",$E381,"&amp;idImagem=4"),"FOTO 4")</f>
        <v>FOTO 4</v>
      </c>
      <c r="O381" s="199" t="str">
        <f>HYPERLINK(CONCATENATE("http://www.spr.depen.pr.gov.br/centralvagas/exibirFoto.jpg?numProntuario=",$E381,"&amp;idImagem=5"),"FOTO 5")</f>
        <v>FOTO 5</v>
      </c>
      <c r="P381" s="199" t="str">
        <f>HYPERLINK(CONCATENATE("http://www.spr.depen.pr.gov.br/centralvagas/exibirFoto.jpg?numProntuario=",$E381,"&amp;idImagem=6"),"FOTO 6")</f>
        <v>FOTO 6</v>
      </c>
    </row>
    <row r="382" spans="1:16" ht="14.1" customHeight="1" thickTop="1" thickBot="1">
      <c r="A382" s="138"/>
      <c r="B382" s="240"/>
      <c r="C382" s="125" t="s">
        <v>2567</v>
      </c>
      <c r="D382" s="129" t="s">
        <v>1608</v>
      </c>
      <c r="E382" s="117">
        <v>102162</v>
      </c>
      <c r="F382" s="116"/>
      <c r="G382" s="119"/>
      <c r="H382" s="116"/>
      <c r="I382" s="119"/>
      <c r="J382" s="116"/>
      <c r="K382" s="199" t="str">
        <f>HYPERLINK(CONCATENATE("http://www.spr.depen.pr.gov.br/centralvagas/exibirFoto.jpg?numProntuario=",$E382,"&amp;idImagem=1"),"FOTO 1")</f>
        <v>FOTO 1</v>
      </c>
      <c r="L382" s="199" t="str">
        <f>HYPERLINK(CONCATENATE("http://www.spr.depen.pr.gov.br/centralvagas/exibirFoto.jpg?numProntuario=",$E382,"&amp;idImagem=2"),"FOTO 2")</f>
        <v>FOTO 2</v>
      </c>
      <c r="M382" s="199" t="str">
        <f>HYPERLINK(CONCATENATE("http://www.spr.depen.pr.gov.br/centralvagas/exibirFoto.jpg?numProntuario=",$E382,"&amp;idImagem=3"),"FOTO 3")</f>
        <v>FOTO 3</v>
      </c>
      <c r="N382" s="199" t="str">
        <f>HYPERLINK(CONCATENATE("http://www.spr.depen.pr.gov.br/centralvagas/exibirFoto.jpg?numProntuario=",$E382,"&amp;idImagem=4"),"FOTO 4")</f>
        <v>FOTO 4</v>
      </c>
      <c r="O382" s="199" t="str">
        <f>HYPERLINK(CONCATENATE("http://www.spr.depen.pr.gov.br/centralvagas/exibirFoto.jpg?numProntuario=",$E382,"&amp;idImagem=5"),"FOTO 5")</f>
        <v>FOTO 5</v>
      </c>
      <c r="P382" s="199" t="str">
        <f>HYPERLINK(CONCATENATE("http://www.spr.depen.pr.gov.br/centralvagas/exibirFoto.jpg?numProntuario=",$E382,"&amp;idImagem=6"),"FOTO 6")</f>
        <v>FOTO 6</v>
      </c>
    </row>
    <row r="383" spans="1:16" ht="14.1" customHeight="1" thickTop="1" thickBot="1">
      <c r="A383" s="151"/>
      <c r="B383" s="240"/>
      <c r="C383" s="116" t="s">
        <v>2567</v>
      </c>
      <c r="D383" s="130" t="s">
        <v>3495</v>
      </c>
      <c r="E383" s="117">
        <v>5347</v>
      </c>
      <c r="F383" s="116"/>
      <c r="G383" s="119"/>
      <c r="H383" s="116"/>
      <c r="I383" s="119"/>
      <c r="J383" s="116"/>
      <c r="K383" s="199" t="str">
        <f>HYPERLINK(CONCATENATE("http://www.spr.depen.pr.gov.br/centralvagas/exibirFoto.jpg?numProntuario=",$E383,"&amp;idImagem=1"),"FOTO 1")</f>
        <v>FOTO 1</v>
      </c>
      <c r="L383" s="199" t="str">
        <f>HYPERLINK(CONCATENATE("http://www.spr.depen.pr.gov.br/centralvagas/exibirFoto.jpg?numProntuario=",$E383,"&amp;idImagem=2"),"FOTO 2")</f>
        <v>FOTO 2</v>
      </c>
      <c r="M383" s="199" t="str">
        <f>HYPERLINK(CONCATENATE("http://www.spr.depen.pr.gov.br/centralvagas/exibirFoto.jpg?numProntuario=",$E383,"&amp;idImagem=3"),"FOTO 3")</f>
        <v>FOTO 3</v>
      </c>
      <c r="N383" s="199" t="str">
        <f>HYPERLINK(CONCATENATE("http://www.spr.depen.pr.gov.br/centralvagas/exibirFoto.jpg?numProntuario=",$E383,"&amp;idImagem=4"),"FOTO 4")</f>
        <v>FOTO 4</v>
      </c>
      <c r="O383" s="199" t="str">
        <f>HYPERLINK(CONCATENATE("http://www.spr.depen.pr.gov.br/centralvagas/exibirFoto.jpg?numProntuario=",$E383,"&amp;idImagem=5"),"FOTO 5")</f>
        <v>FOTO 5</v>
      </c>
      <c r="P383" s="199" t="str">
        <f>HYPERLINK(CONCATENATE("http://www.spr.depen.pr.gov.br/centralvagas/exibirFoto.jpg?numProntuario=",$E383,"&amp;idImagem=6"),"FOTO 6")</f>
        <v>FOTO 6</v>
      </c>
    </row>
    <row r="384" spans="1:16" ht="14.1" customHeight="1" thickTop="1" thickBot="1">
      <c r="A384" s="331"/>
      <c r="B384" s="240"/>
      <c r="C384" s="116" t="s">
        <v>2567</v>
      </c>
      <c r="D384" s="130" t="s">
        <v>2793</v>
      </c>
      <c r="E384" s="117">
        <v>106301</v>
      </c>
      <c r="F384" s="116"/>
      <c r="G384" s="119"/>
      <c r="H384" s="116"/>
      <c r="I384" s="119"/>
      <c r="J384" s="116"/>
      <c r="K384" s="199" t="str">
        <f>HYPERLINK(CONCATENATE("http://www.spr.depen.pr.gov.br/centralvagas/exibirFoto.jpg?numProntuario=",$E384,"&amp;idImagem=1"),"FOTO 1")</f>
        <v>FOTO 1</v>
      </c>
      <c r="L384" s="199" t="str">
        <f>HYPERLINK(CONCATENATE("http://www.spr.depen.pr.gov.br/centralvagas/exibirFoto.jpg?numProntuario=",$E384,"&amp;idImagem=2"),"FOTO 2")</f>
        <v>FOTO 2</v>
      </c>
      <c r="M384" s="199" t="str">
        <f>HYPERLINK(CONCATENATE("http://www.spr.depen.pr.gov.br/centralvagas/exibirFoto.jpg?numProntuario=",$E384,"&amp;idImagem=3"),"FOTO 3")</f>
        <v>FOTO 3</v>
      </c>
      <c r="N384" s="199" t="str">
        <f>HYPERLINK(CONCATENATE("http://www.spr.depen.pr.gov.br/centralvagas/exibirFoto.jpg?numProntuario=",$E384,"&amp;idImagem=4"),"FOTO 4")</f>
        <v>FOTO 4</v>
      </c>
      <c r="O384" s="199" t="str">
        <f>HYPERLINK(CONCATENATE("http://www.spr.depen.pr.gov.br/centralvagas/exibirFoto.jpg?numProntuario=",$E384,"&amp;idImagem=5"),"FOTO 5")</f>
        <v>FOTO 5</v>
      </c>
      <c r="P384" s="199" t="str">
        <f>HYPERLINK(CONCATENATE("http://www.spr.depen.pr.gov.br/centralvagas/exibirFoto.jpg?numProntuario=",$E384,"&amp;idImagem=6"),"FOTO 6")</f>
        <v>FOTO 6</v>
      </c>
    </row>
    <row r="385" spans="1:16" ht="14.1" customHeight="1" thickTop="1" thickBot="1">
      <c r="A385" s="207"/>
      <c r="B385" s="419"/>
      <c r="C385" s="126" t="s">
        <v>2754</v>
      </c>
      <c r="D385" s="158" t="s">
        <v>2215</v>
      </c>
      <c r="E385" s="117">
        <v>130913</v>
      </c>
      <c r="F385" s="116"/>
      <c r="G385" s="119"/>
      <c r="H385" s="116"/>
      <c r="I385" s="162"/>
      <c r="J385" s="116"/>
      <c r="K385" s="199" t="str">
        <f>HYPERLINK(CONCATENATE("http://www.spr.depen.pr.gov.br/centralvagas/exibirFoto.jpg?numProntuario=",$E385,"&amp;idImagem=1"),"FOTO 1")</f>
        <v>FOTO 1</v>
      </c>
      <c r="L385" s="199" t="str">
        <f>HYPERLINK(CONCATENATE("http://www.spr.depen.pr.gov.br/centralvagas/exibirFoto.jpg?numProntuario=",$E385,"&amp;idImagem=2"),"FOTO 2")</f>
        <v>FOTO 2</v>
      </c>
      <c r="M385" s="199" t="str">
        <f>HYPERLINK(CONCATENATE("http://www.spr.depen.pr.gov.br/centralvagas/exibirFoto.jpg?numProntuario=",$E385,"&amp;idImagem=3"),"FOTO 3")</f>
        <v>FOTO 3</v>
      </c>
      <c r="N385" s="199" t="str">
        <f>HYPERLINK(CONCATENATE("http://www.spr.depen.pr.gov.br/centralvagas/exibirFoto.jpg?numProntuario=",$E385,"&amp;idImagem=4"),"FOTO 4")</f>
        <v>FOTO 4</v>
      </c>
      <c r="O385" s="199" t="str">
        <f>HYPERLINK(CONCATENATE("http://www.spr.depen.pr.gov.br/centralvagas/exibirFoto.jpg?numProntuario=",$E385,"&amp;idImagem=5"),"FOTO 5")</f>
        <v>FOTO 5</v>
      </c>
      <c r="P385" s="199" t="str">
        <f>HYPERLINK(CONCATENATE("http://www.spr.depen.pr.gov.br/centralvagas/exibirFoto.jpg?numProntuario=",$E385,"&amp;idImagem=6"),"FOTO 6")</f>
        <v>FOTO 6</v>
      </c>
    </row>
    <row r="386" spans="1:16" ht="14.1" customHeight="1" thickTop="1" thickBot="1">
      <c r="A386" s="116"/>
      <c r="B386" s="419"/>
      <c r="C386" s="116" t="s">
        <v>2754</v>
      </c>
      <c r="D386" s="131" t="s">
        <v>3450</v>
      </c>
      <c r="E386" s="117">
        <v>193937</v>
      </c>
      <c r="F386" s="116"/>
      <c r="G386" s="119"/>
      <c r="H386" s="116"/>
      <c r="I386" s="119"/>
      <c r="J386" s="116"/>
      <c r="K386" s="199" t="str">
        <f>HYPERLINK(CONCATENATE("http://www.spr.depen.pr.gov.br/centralvagas/exibirFoto.jpg?numProntuario=",$E386,"&amp;idImagem=1"),"FOTO 1")</f>
        <v>FOTO 1</v>
      </c>
      <c r="L386" s="199" t="str">
        <f>HYPERLINK(CONCATENATE("http://www.spr.depen.pr.gov.br/centralvagas/exibirFoto.jpg?numProntuario=",$E386,"&amp;idImagem=2"),"FOTO 2")</f>
        <v>FOTO 2</v>
      </c>
      <c r="M386" s="199" t="str">
        <f>HYPERLINK(CONCATENATE("http://www.spr.depen.pr.gov.br/centralvagas/exibirFoto.jpg?numProntuario=",$E386,"&amp;idImagem=3"),"FOTO 3")</f>
        <v>FOTO 3</v>
      </c>
      <c r="N386" s="199" t="str">
        <f>HYPERLINK(CONCATENATE("http://www.spr.depen.pr.gov.br/centralvagas/exibirFoto.jpg?numProntuario=",$E386,"&amp;idImagem=4"),"FOTO 4")</f>
        <v>FOTO 4</v>
      </c>
      <c r="O386" s="199" t="str">
        <f>HYPERLINK(CONCATENATE("http://www.spr.depen.pr.gov.br/centralvagas/exibirFoto.jpg?numProntuario=",$E386,"&amp;idImagem=5"),"FOTO 5")</f>
        <v>FOTO 5</v>
      </c>
      <c r="P386" s="199" t="str">
        <f>HYPERLINK(CONCATENATE("http://www.spr.depen.pr.gov.br/centralvagas/exibirFoto.jpg?numProntuario=",$E386,"&amp;idImagem=6"),"FOTO 6")</f>
        <v>FOTO 6</v>
      </c>
    </row>
    <row r="387" spans="1:16" ht="14.1" customHeight="1" thickTop="1" thickBot="1">
      <c r="A387" s="145"/>
      <c r="B387" s="419"/>
      <c r="C387" s="116" t="s">
        <v>2754</v>
      </c>
      <c r="D387" s="122" t="s">
        <v>889</v>
      </c>
      <c r="E387" s="117">
        <v>27302</v>
      </c>
      <c r="F387" s="116"/>
      <c r="G387" s="119"/>
      <c r="H387" s="116"/>
      <c r="I387" s="119"/>
      <c r="J387" s="132"/>
      <c r="K387" s="199" t="str">
        <f>HYPERLINK(CONCATENATE("http://www.spr.depen.pr.gov.br/centralvagas/exibirFoto.jpg?numProntuario=",$E387,"&amp;idImagem=1"),"FOTO 1")</f>
        <v>FOTO 1</v>
      </c>
      <c r="L387" s="199" t="str">
        <f>HYPERLINK(CONCATENATE("http://www.spr.depen.pr.gov.br/centralvagas/exibirFoto.jpg?numProntuario=",$E387,"&amp;idImagem=2"),"FOTO 2")</f>
        <v>FOTO 2</v>
      </c>
      <c r="M387" s="199" t="str">
        <f>HYPERLINK(CONCATENATE("http://www.spr.depen.pr.gov.br/centralvagas/exibirFoto.jpg?numProntuario=",$E387,"&amp;idImagem=3"),"FOTO 3")</f>
        <v>FOTO 3</v>
      </c>
      <c r="N387" s="199" t="str">
        <f>HYPERLINK(CONCATENATE("http://www.spr.depen.pr.gov.br/centralvagas/exibirFoto.jpg?numProntuario=",$E387,"&amp;idImagem=4"),"FOTO 4")</f>
        <v>FOTO 4</v>
      </c>
      <c r="O387" s="199" t="str">
        <f>HYPERLINK(CONCATENATE("http://www.spr.depen.pr.gov.br/centralvagas/exibirFoto.jpg?numProntuario=",$E387,"&amp;idImagem=5"),"FOTO 5")</f>
        <v>FOTO 5</v>
      </c>
      <c r="P387" s="199" t="str">
        <f>HYPERLINK(CONCATENATE("http://www.spr.depen.pr.gov.br/centralvagas/exibirFoto.jpg?numProntuario=",$E387,"&amp;idImagem=6"),"FOTO 6")</f>
        <v>FOTO 6</v>
      </c>
    </row>
    <row r="388" spans="1:16" ht="14.1" customHeight="1" thickTop="1" thickBot="1">
      <c r="A388" s="123"/>
      <c r="B388" s="419"/>
      <c r="C388" s="116" t="s">
        <v>2754</v>
      </c>
      <c r="D388" s="427" t="s">
        <v>3482</v>
      </c>
      <c r="E388" s="468">
        <v>169077</v>
      </c>
      <c r="F388" s="116"/>
      <c r="G388" s="119"/>
      <c r="H388" s="116"/>
      <c r="I388" s="119"/>
      <c r="J388" s="116"/>
      <c r="K388" s="199" t="str">
        <f>HYPERLINK(CONCATENATE("http://www.spr.depen.pr.gov.br/centralvagas/exibirFoto.jpg?numProntuario=",$E388,"&amp;idImagem=1"),"FOTO 1")</f>
        <v>FOTO 1</v>
      </c>
      <c r="L388" s="199" t="str">
        <f>HYPERLINK(CONCATENATE("http://www.spr.depen.pr.gov.br/centralvagas/exibirFoto.jpg?numProntuario=",$E388,"&amp;idImagem=2"),"FOTO 2")</f>
        <v>FOTO 2</v>
      </c>
      <c r="M388" s="199" t="str">
        <f>HYPERLINK(CONCATENATE("http://www.spr.depen.pr.gov.br/centralvagas/exibirFoto.jpg?numProntuario=",$E388,"&amp;idImagem=3"),"FOTO 3")</f>
        <v>FOTO 3</v>
      </c>
      <c r="N388" s="199" t="str">
        <f>HYPERLINK(CONCATENATE("http://www.spr.depen.pr.gov.br/centralvagas/exibirFoto.jpg?numProntuario=",$E388,"&amp;idImagem=4"),"FOTO 4")</f>
        <v>FOTO 4</v>
      </c>
      <c r="O388" s="199" t="str">
        <f>HYPERLINK(CONCATENATE("http://www.spr.depen.pr.gov.br/centralvagas/exibirFoto.jpg?numProntuario=",$E388,"&amp;idImagem=5"),"FOTO 5")</f>
        <v>FOTO 5</v>
      </c>
      <c r="P388" s="199" t="str">
        <f>HYPERLINK(CONCATENATE("http://www.spr.depen.pr.gov.br/centralvagas/exibirFoto.jpg?numProntuario=",$E388,"&amp;idImagem=6"),"FOTO 6")</f>
        <v>FOTO 6</v>
      </c>
    </row>
    <row r="389" spans="1:16" ht="14.1" customHeight="1" thickTop="1" thickBot="1">
      <c r="A389" s="118"/>
      <c r="B389" s="438"/>
      <c r="C389" s="116" t="s">
        <v>2754</v>
      </c>
      <c r="D389" s="130" t="s">
        <v>2670</v>
      </c>
      <c r="E389" s="117">
        <v>102212</v>
      </c>
      <c r="F389" s="116"/>
      <c r="G389" s="119"/>
      <c r="H389" s="116"/>
      <c r="I389" s="119"/>
      <c r="J389" s="116"/>
      <c r="K389" s="199" t="str">
        <f>HYPERLINK(CONCATENATE("http://www.spr.depen.pr.gov.br/centralvagas/exibirFoto.jpg?numProntuario=",$E389,"&amp;idImagem=1"),"FOTO 1")</f>
        <v>FOTO 1</v>
      </c>
      <c r="L389" s="199" t="str">
        <f>HYPERLINK(CONCATENATE("http://www.spr.depen.pr.gov.br/centralvagas/exibirFoto.jpg?numProntuario=",$E389,"&amp;idImagem=2"),"FOTO 2")</f>
        <v>FOTO 2</v>
      </c>
      <c r="M389" s="199" t="str">
        <f>HYPERLINK(CONCATENATE("http://www.spr.depen.pr.gov.br/centralvagas/exibirFoto.jpg?numProntuario=",$E389,"&amp;idImagem=3"),"FOTO 3")</f>
        <v>FOTO 3</v>
      </c>
      <c r="N389" s="199" t="str">
        <f>HYPERLINK(CONCATENATE("http://www.spr.depen.pr.gov.br/centralvagas/exibirFoto.jpg?numProntuario=",$E389,"&amp;idImagem=4"),"FOTO 4")</f>
        <v>FOTO 4</v>
      </c>
      <c r="O389" s="199" t="str">
        <f>HYPERLINK(CONCATENATE("http://www.spr.depen.pr.gov.br/centralvagas/exibirFoto.jpg?numProntuario=",$E389,"&amp;idImagem=5"),"FOTO 5")</f>
        <v>FOTO 5</v>
      </c>
      <c r="P389" s="199" t="str">
        <f>HYPERLINK(CONCATENATE("http://www.spr.depen.pr.gov.br/centralvagas/exibirFoto.jpg?numProntuario=",$E389,"&amp;idImagem=6"),"FOTO 6")</f>
        <v>FOTO 6</v>
      </c>
    </row>
    <row r="390" spans="1:16" ht="14.1" customHeight="1" thickTop="1" thickBot="1">
      <c r="A390" s="581" t="s">
        <v>3721</v>
      </c>
      <c r="B390" s="643" t="s">
        <v>3722</v>
      </c>
      <c r="C390" s="561" t="s">
        <v>2753</v>
      </c>
      <c r="D390" s="562" t="s">
        <v>1840</v>
      </c>
      <c r="E390" s="144">
        <v>102011</v>
      </c>
      <c r="F390" s="116"/>
      <c r="G390" s="119"/>
      <c r="H390" s="116"/>
      <c r="I390" s="119"/>
      <c r="J390" s="132"/>
      <c r="K390" s="199" t="str">
        <f>HYPERLINK(CONCATENATE("http://www.spr.depen.pr.gov.br/centralvagas/exibirFoto.jpg?numProntuario=",$E390,"&amp;idImagem=1"),"FOTO 1")</f>
        <v>FOTO 1</v>
      </c>
      <c r="L390" s="199" t="str">
        <f>HYPERLINK(CONCATENATE("http://www.spr.depen.pr.gov.br/centralvagas/exibirFoto.jpg?numProntuario=",$E390,"&amp;idImagem=2"),"FOTO 2")</f>
        <v>FOTO 2</v>
      </c>
      <c r="M390" s="199" t="str">
        <f>HYPERLINK(CONCATENATE("http://www.spr.depen.pr.gov.br/centralvagas/exibirFoto.jpg?numProntuario=",$E390,"&amp;idImagem=3"),"FOTO 3")</f>
        <v>FOTO 3</v>
      </c>
      <c r="N390" s="199" t="str">
        <f>HYPERLINK(CONCATENATE("http://www.spr.depen.pr.gov.br/centralvagas/exibirFoto.jpg?numProntuario=",$E390,"&amp;idImagem=4"),"FOTO 4")</f>
        <v>FOTO 4</v>
      </c>
      <c r="O390" s="199" t="str">
        <f>HYPERLINK(CONCATENATE("http://www.spr.depen.pr.gov.br/centralvagas/exibirFoto.jpg?numProntuario=",$E390,"&amp;idImagem=5"),"FOTO 5")</f>
        <v>FOTO 5</v>
      </c>
      <c r="P390" s="199" t="str">
        <f>HYPERLINK(CONCATENATE("http://www.spr.depen.pr.gov.br/centralvagas/exibirFoto.jpg?numProntuario=",$E390,"&amp;idImagem=6"),"FOTO 6")</f>
        <v>FOTO 6</v>
      </c>
    </row>
    <row r="391" spans="1:16" ht="14.1" customHeight="1" thickTop="1" thickBot="1">
      <c r="A391" s="581" t="s">
        <v>3721</v>
      </c>
      <c r="B391" s="643" t="s">
        <v>3722</v>
      </c>
      <c r="C391" s="561" t="s">
        <v>2753</v>
      </c>
      <c r="D391" s="562" t="s">
        <v>3389</v>
      </c>
      <c r="E391" s="117">
        <v>125797</v>
      </c>
      <c r="F391" s="116"/>
      <c r="G391" s="119"/>
      <c r="H391" s="116"/>
      <c r="I391" s="119"/>
      <c r="J391" s="116"/>
      <c r="K391" s="199" t="str">
        <f>HYPERLINK(CONCATENATE("http://www.spr.depen.pr.gov.br/centralvagas/exibirFoto.jpg?numProntuario=",$E391,"&amp;idImagem=1"),"FOTO 1")</f>
        <v>FOTO 1</v>
      </c>
      <c r="L391" s="199" t="str">
        <f>HYPERLINK(CONCATENATE("http://www.spr.depen.pr.gov.br/centralvagas/exibirFoto.jpg?numProntuario=",$E391,"&amp;idImagem=2"),"FOTO 2")</f>
        <v>FOTO 2</v>
      </c>
      <c r="M391" s="199" t="str">
        <f>HYPERLINK(CONCATENATE("http://www.spr.depen.pr.gov.br/centralvagas/exibirFoto.jpg?numProntuario=",$E391,"&amp;idImagem=3"),"FOTO 3")</f>
        <v>FOTO 3</v>
      </c>
      <c r="N391" s="199" t="str">
        <f>HYPERLINK(CONCATENATE("http://www.spr.depen.pr.gov.br/centralvagas/exibirFoto.jpg?numProntuario=",$E391,"&amp;idImagem=4"),"FOTO 4")</f>
        <v>FOTO 4</v>
      </c>
      <c r="O391" s="199" t="str">
        <f>HYPERLINK(CONCATENATE("http://www.spr.depen.pr.gov.br/centralvagas/exibirFoto.jpg?numProntuario=",$E391,"&amp;idImagem=5"),"FOTO 5")</f>
        <v>FOTO 5</v>
      </c>
      <c r="P391" s="199" t="str">
        <f>HYPERLINK(CONCATENATE("http://www.spr.depen.pr.gov.br/centralvagas/exibirFoto.jpg?numProntuario=",$E391,"&amp;idImagem=6"),"FOTO 6")</f>
        <v>FOTO 6</v>
      </c>
    </row>
    <row r="392" spans="1:16" ht="14.1" customHeight="1" thickTop="1" thickBot="1">
      <c r="A392" s="581" t="s">
        <v>3721</v>
      </c>
      <c r="B392" s="643" t="s">
        <v>3722</v>
      </c>
      <c r="C392" s="561" t="s">
        <v>2753</v>
      </c>
      <c r="D392" s="562" t="s">
        <v>3504</v>
      </c>
      <c r="E392" s="117">
        <v>148566</v>
      </c>
      <c r="F392" s="145"/>
      <c r="G392" s="162"/>
      <c r="H392" s="116"/>
      <c r="I392" s="162"/>
      <c r="J392" s="116"/>
      <c r="K392" s="199" t="str">
        <f>HYPERLINK(CONCATENATE("http://www.spr.depen.pr.gov.br/centralvagas/exibirFoto.jpg?numProntuario=",$E392,"&amp;idImagem=1"),"FOTO 1")</f>
        <v>FOTO 1</v>
      </c>
      <c r="L392" s="199" t="str">
        <f>HYPERLINK(CONCATENATE("http://www.spr.depen.pr.gov.br/centralvagas/exibirFoto.jpg?numProntuario=",$E392,"&amp;idImagem=2"),"FOTO 2")</f>
        <v>FOTO 2</v>
      </c>
      <c r="M392" s="199" t="str">
        <f>HYPERLINK(CONCATENATE("http://www.spr.depen.pr.gov.br/centralvagas/exibirFoto.jpg?numProntuario=",$E392,"&amp;idImagem=3"),"FOTO 3")</f>
        <v>FOTO 3</v>
      </c>
      <c r="N392" s="199" t="str">
        <f>HYPERLINK(CONCATENATE("http://www.spr.depen.pr.gov.br/centralvagas/exibirFoto.jpg?numProntuario=",$E392,"&amp;idImagem=4"),"FOTO 4")</f>
        <v>FOTO 4</v>
      </c>
      <c r="O392" s="199" t="str">
        <f>HYPERLINK(CONCATENATE("http://www.spr.depen.pr.gov.br/centralvagas/exibirFoto.jpg?numProntuario=",$E392,"&amp;idImagem=5"),"FOTO 5")</f>
        <v>FOTO 5</v>
      </c>
      <c r="P392" s="199" t="str">
        <f>HYPERLINK(CONCATENATE("http://www.spr.depen.pr.gov.br/centralvagas/exibirFoto.jpg?numProntuario=",$E392,"&amp;idImagem=6"),"FOTO 6")</f>
        <v>FOTO 6</v>
      </c>
    </row>
    <row r="393" spans="1:16" ht="14.1" customHeight="1" thickTop="1" thickBot="1">
      <c r="A393" s="581" t="s">
        <v>3721</v>
      </c>
      <c r="B393" s="643" t="s">
        <v>3722</v>
      </c>
      <c r="C393" s="561" t="s">
        <v>2753</v>
      </c>
      <c r="D393" s="562" t="s">
        <v>3447</v>
      </c>
      <c r="E393" s="117">
        <v>150106</v>
      </c>
      <c r="F393" s="116"/>
      <c r="G393" s="119"/>
      <c r="H393" s="116"/>
      <c r="I393" s="119"/>
      <c r="J393" s="116"/>
      <c r="K393" s="199" t="str">
        <f>HYPERLINK(CONCATENATE("http://www.spr.depen.pr.gov.br/centralvagas/exibirFoto.jpg?numProntuario=",$E393,"&amp;idImagem=1"),"FOTO 1")</f>
        <v>FOTO 1</v>
      </c>
      <c r="L393" s="199" t="str">
        <f>HYPERLINK(CONCATENATE("http://www.spr.depen.pr.gov.br/centralvagas/exibirFoto.jpg?numProntuario=",$E393,"&amp;idImagem=2"),"FOTO 2")</f>
        <v>FOTO 2</v>
      </c>
      <c r="M393" s="199" t="str">
        <f>HYPERLINK(CONCATENATE("http://www.spr.depen.pr.gov.br/centralvagas/exibirFoto.jpg?numProntuario=",$E393,"&amp;idImagem=3"),"FOTO 3")</f>
        <v>FOTO 3</v>
      </c>
      <c r="N393" s="199" t="str">
        <f>HYPERLINK(CONCATENATE("http://www.spr.depen.pr.gov.br/centralvagas/exibirFoto.jpg?numProntuario=",$E393,"&amp;idImagem=4"),"FOTO 4")</f>
        <v>FOTO 4</v>
      </c>
      <c r="O393" s="199" t="str">
        <f>HYPERLINK(CONCATENATE("http://www.spr.depen.pr.gov.br/centralvagas/exibirFoto.jpg?numProntuario=",$E393,"&amp;idImagem=5"),"FOTO 5")</f>
        <v>FOTO 5</v>
      </c>
      <c r="P393" s="199" t="str">
        <f>HYPERLINK(CONCATENATE("http://www.spr.depen.pr.gov.br/centralvagas/exibirFoto.jpg?numProntuario=",$E393,"&amp;idImagem=6"),"FOTO 6")</f>
        <v>FOTO 6</v>
      </c>
    </row>
    <row r="394" spans="1:16" ht="14.1" customHeight="1" thickTop="1" thickBot="1">
      <c r="A394" s="581" t="s">
        <v>3721</v>
      </c>
      <c r="B394" s="643" t="s">
        <v>3722</v>
      </c>
      <c r="C394" s="561" t="s">
        <v>2753</v>
      </c>
      <c r="D394" s="562" t="s">
        <v>3484</v>
      </c>
      <c r="E394" s="117">
        <v>184113</v>
      </c>
      <c r="F394" s="116"/>
      <c r="G394" s="119"/>
      <c r="H394" s="116"/>
      <c r="I394" s="119"/>
      <c r="J394" s="116"/>
      <c r="K394" s="199" t="str">
        <f>HYPERLINK(CONCATENATE("http://www.spr.depen.pr.gov.br/centralvagas/exibirFoto.jpg?numProntuario=",$E394,"&amp;idImagem=1"),"FOTO 1")</f>
        <v>FOTO 1</v>
      </c>
      <c r="L394" s="199" t="str">
        <f>HYPERLINK(CONCATENATE("http://www.spr.depen.pr.gov.br/centralvagas/exibirFoto.jpg?numProntuario=",$E394,"&amp;idImagem=2"),"FOTO 2")</f>
        <v>FOTO 2</v>
      </c>
      <c r="M394" s="199" t="str">
        <f>HYPERLINK(CONCATENATE("http://www.spr.depen.pr.gov.br/centralvagas/exibirFoto.jpg?numProntuario=",$E394,"&amp;idImagem=3"),"FOTO 3")</f>
        <v>FOTO 3</v>
      </c>
      <c r="N394" s="199" t="str">
        <f>HYPERLINK(CONCATENATE("http://www.spr.depen.pr.gov.br/centralvagas/exibirFoto.jpg?numProntuario=",$E394,"&amp;idImagem=4"),"FOTO 4")</f>
        <v>FOTO 4</v>
      </c>
      <c r="O394" s="199" t="str">
        <f>HYPERLINK(CONCATENATE("http://www.spr.depen.pr.gov.br/centralvagas/exibirFoto.jpg?numProntuario=",$E394,"&amp;idImagem=5"),"FOTO 5")</f>
        <v>FOTO 5</v>
      </c>
      <c r="P394" s="199" t="str">
        <f>HYPERLINK(CONCATENATE("http://www.spr.depen.pr.gov.br/centralvagas/exibirFoto.jpg?numProntuario=",$E394,"&amp;idImagem=6"),"FOTO 6")</f>
        <v>FOTO 6</v>
      </c>
    </row>
    <row r="395" spans="1:16" ht="14.1" customHeight="1" thickTop="1" thickBot="1">
      <c r="A395" s="331"/>
      <c r="B395" s="240"/>
      <c r="C395" s="125" t="s">
        <v>2753</v>
      </c>
      <c r="D395" s="129" t="s">
        <v>3499</v>
      </c>
      <c r="E395" s="117">
        <v>109568</v>
      </c>
      <c r="F395" s="116"/>
      <c r="G395" s="119"/>
      <c r="H395" s="116"/>
      <c r="I395" s="119"/>
      <c r="J395" s="116"/>
      <c r="K395" s="199" t="str">
        <f>HYPERLINK(CONCATENATE("http://www.spr.depen.pr.gov.br/centralvagas/exibirFoto.jpg?numProntuario=",$E395,"&amp;idImagem=1"),"FOTO 1")</f>
        <v>FOTO 1</v>
      </c>
      <c r="L395" s="199" t="str">
        <f>HYPERLINK(CONCATENATE("http://www.spr.depen.pr.gov.br/centralvagas/exibirFoto.jpg?numProntuario=",$E395,"&amp;idImagem=2"),"FOTO 2")</f>
        <v>FOTO 2</v>
      </c>
      <c r="M395" s="199" t="str">
        <f>HYPERLINK(CONCATENATE("http://www.spr.depen.pr.gov.br/centralvagas/exibirFoto.jpg?numProntuario=",$E395,"&amp;idImagem=3"),"FOTO 3")</f>
        <v>FOTO 3</v>
      </c>
      <c r="N395" s="199" t="str">
        <f>HYPERLINK(CONCATENATE("http://www.spr.depen.pr.gov.br/centralvagas/exibirFoto.jpg?numProntuario=",$E395,"&amp;idImagem=4"),"FOTO 4")</f>
        <v>FOTO 4</v>
      </c>
      <c r="O395" s="199" t="str">
        <f>HYPERLINK(CONCATENATE("http://www.spr.depen.pr.gov.br/centralvagas/exibirFoto.jpg?numProntuario=",$E395,"&amp;idImagem=5"),"FOTO 5")</f>
        <v>FOTO 5</v>
      </c>
      <c r="P395" s="199" t="str">
        <f>HYPERLINK(CONCATENATE("http://www.spr.depen.pr.gov.br/centralvagas/exibirFoto.jpg?numProntuario=",$E395,"&amp;idImagem=6"),"FOTO 6")</f>
        <v>FOTO 6</v>
      </c>
    </row>
    <row r="396" spans="1:16" ht="14.1" customHeight="1" thickTop="1" thickBot="1">
      <c r="A396" s="118"/>
      <c r="B396" s="438"/>
      <c r="C396" s="118" t="s">
        <v>2748</v>
      </c>
      <c r="D396" s="131" t="s">
        <v>1945</v>
      </c>
      <c r="E396" s="117">
        <v>101538</v>
      </c>
      <c r="F396" s="116"/>
      <c r="G396" s="119"/>
      <c r="H396" s="116"/>
      <c r="I396" s="119"/>
      <c r="J396" s="132"/>
      <c r="K396" s="199" t="str">
        <f>HYPERLINK(CONCATENATE("http://www.spr.depen.pr.gov.br/centralvagas/exibirFoto.jpg?numProntuario=",$E396,"&amp;idImagem=1"),"FOTO 1")</f>
        <v>FOTO 1</v>
      </c>
      <c r="L396" s="199" t="str">
        <f>HYPERLINK(CONCATENATE("http://www.spr.depen.pr.gov.br/centralvagas/exibirFoto.jpg?numProntuario=",$E396,"&amp;idImagem=2"),"FOTO 2")</f>
        <v>FOTO 2</v>
      </c>
      <c r="M396" s="199" t="str">
        <f>HYPERLINK(CONCATENATE("http://www.spr.depen.pr.gov.br/centralvagas/exibirFoto.jpg?numProntuario=",$E396,"&amp;idImagem=3"),"FOTO 3")</f>
        <v>FOTO 3</v>
      </c>
      <c r="N396" s="199" t="str">
        <f>HYPERLINK(CONCATENATE("http://www.spr.depen.pr.gov.br/centralvagas/exibirFoto.jpg?numProntuario=",$E396,"&amp;idImagem=4"),"FOTO 4")</f>
        <v>FOTO 4</v>
      </c>
      <c r="O396" s="199" t="str">
        <f>HYPERLINK(CONCATENATE("http://www.spr.depen.pr.gov.br/centralvagas/exibirFoto.jpg?numProntuario=",$E396,"&amp;idImagem=5"),"FOTO 5")</f>
        <v>FOTO 5</v>
      </c>
      <c r="P396" s="199" t="str">
        <f>HYPERLINK(CONCATENATE("http://www.spr.depen.pr.gov.br/centralvagas/exibirFoto.jpg?numProntuario=",$E396,"&amp;idImagem=6"),"FOTO 6")</f>
        <v>FOTO 6</v>
      </c>
    </row>
    <row r="397" spans="1:16" ht="14.1" customHeight="1" thickTop="1" thickBot="1">
      <c r="A397" s="118"/>
      <c r="B397" s="419"/>
      <c r="C397" s="118" t="s">
        <v>2748</v>
      </c>
      <c r="D397" s="426" t="s">
        <v>2822</v>
      </c>
      <c r="E397" s="117">
        <v>170475</v>
      </c>
      <c r="F397" s="116"/>
      <c r="G397" s="119"/>
      <c r="H397" s="116"/>
      <c r="I397" s="119"/>
      <c r="J397" s="116"/>
      <c r="K397" s="199" t="str">
        <f>HYPERLINK(CONCATENATE("http://www.spr.depen.pr.gov.br/centralvagas/exibirFoto.jpg?numProntuario=",$E397,"&amp;idImagem=1"),"FOTO 1")</f>
        <v>FOTO 1</v>
      </c>
      <c r="L397" s="199" t="str">
        <f>HYPERLINK(CONCATENATE("http://www.spr.depen.pr.gov.br/centralvagas/exibirFoto.jpg?numProntuario=",$E397,"&amp;idImagem=2"),"FOTO 2")</f>
        <v>FOTO 2</v>
      </c>
      <c r="M397" s="199" t="str">
        <f>HYPERLINK(CONCATENATE("http://www.spr.depen.pr.gov.br/centralvagas/exibirFoto.jpg?numProntuario=",$E397,"&amp;idImagem=3"),"FOTO 3")</f>
        <v>FOTO 3</v>
      </c>
      <c r="N397" s="199" t="str">
        <f>HYPERLINK(CONCATENATE("http://www.spr.depen.pr.gov.br/centralvagas/exibirFoto.jpg?numProntuario=",$E397,"&amp;idImagem=4"),"FOTO 4")</f>
        <v>FOTO 4</v>
      </c>
      <c r="O397" s="199" t="str">
        <f>HYPERLINK(CONCATENATE("http://www.spr.depen.pr.gov.br/centralvagas/exibirFoto.jpg?numProntuario=",$E397,"&amp;idImagem=5"),"FOTO 5")</f>
        <v>FOTO 5</v>
      </c>
      <c r="P397" s="199" t="str">
        <f>HYPERLINK(CONCATENATE("http://www.spr.depen.pr.gov.br/centralvagas/exibirFoto.jpg?numProntuario=",$E397,"&amp;idImagem=6"),"FOTO 6")</f>
        <v>FOTO 6</v>
      </c>
    </row>
    <row r="398" spans="1:16" ht="14.1" customHeight="1" thickTop="1" thickBot="1">
      <c r="A398" s="382"/>
      <c r="B398" s="419"/>
      <c r="C398" s="118" t="s">
        <v>2748</v>
      </c>
      <c r="D398" s="131" t="s">
        <v>3620</v>
      </c>
      <c r="E398" s="117">
        <v>99590</v>
      </c>
      <c r="F398" s="116"/>
      <c r="G398" s="119"/>
      <c r="H398" s="116"/>
      <c r="I398" s="119"/>
      <c r="J398" s="132"/>
      <c r="K398" s="199" t="str">
        <f>HYPERLINK(CONCATENATE("http://www.spr.depen.pr.gov.br/centralvagas/exibirFoto.jpg?numProntuario=",$E398,"&amp;idImagem=1"),"FOTO 1")</f>
        <v>FOTO 1</v>
      </c>
      <c r="L398" s="199" t="str">
        <f>HYPERLINK(CONCATENATE("http://www.spr.depen.pr.gov.br/centralvagas/exibirFoto.jpg?numProntuario=",$E398,"&amp;idImagem=2"),"FOTO 2")</f>
        <v>FOTO 2</v>
      </c>
      <c r="M398" s="199" t="str">
        <f>HYPERLINK(CONCATENATE("http://www.spr.depen.pr.gov.br/centralvagas/exibirFoto.jpg?numProntuario=",$E398,"&amp;idImagem=3"),"FOTO 3")</f>
        <v>FOTO 3</v>
      </c>
      <c r="N398" s="199" t="str">
        <f>HYPERLINK(CONCATENATE("http://www.spr.depen.pr.gov.br/centralvagas/exibirFoto.jpg?numProntuario=",$E398,"&amp;idImagem=4"),"FOTO 4")</f>
        <v>FOTO 4</v>
      </c>
      <c r="O398" s="199" t="str">
        <f>HYPERLINK(CONCATENATE("http://www.spr.depen.pr.gov.br/centralvagas/exibirFoto.jpg?numProntuario=",$E398,"&amp;idImagem=5"),"FOTO 5")</f>
        <v>FOTO 5</v>
      </c>
      <c r="P398" s="199" t="str">
        <f>HYPERLINK(CONCATENATE("http://www.spr.depen.pr.gov.br/centralvagas/exibirFoto.jpg?numProntuario=",$E398,"&amp;idImagem=6"),"FOTO 6")</f>
        <v>FOTO 6</v>
      </c>
    </row>
    <row r="399" spans="1:16" ht="14.1" customHeight="1" thickTop="1" thickBot="1">
      <c r="A399" s="123"/>
      <c r="B399" s="419"/>
      <c r="C399" s="126" t="s">
        <v>2553</v>
      </c>
      <c r="D399" s="149" t="s">
        <v>2691</v>
      </c>
      <c r="E399" s="117">
        <v>39230</v>
      </c>
      <c r="F399" s="116"/>
      <c r="G399" s="119"/>
      <c r="H399" s="116"/>
      <c r="I399" s="119"/>
      <c r="J399" s="116"/>
      <c r="K399" s="199" t="str">
        <f>HYPERLINK(CONCATENATE("http://www.spr.depen.pr.gov.br/centralvagas/exibirFoto.jpg?numProntuario=",$E399,"&amp;idImagem=1"),"FOTO 1")</f>
        <v>FOTO 1</v>
      </c>
      <c r="L399" s="199" t="str">
        <f>HYPERLINK(CONCATENATE("http://www.spr.depen.pr.gov.br/centralvagas/exibirFoto.jpg?numProntuario=",$E399,"&amp;idImagem=2"),"FOTO 2")</f>
        <v>FOTO 2</v>
      </c>
      <c r="M399" s="199" t="str">
        <f>HYPERLINK(CONCATENATE("http://www.spr.depen.pr.gov.br/centralvagas/exibirFoto.jpg?numProntuario=",$E399,"&amp;idImagem=3"),"FOTO 3")</f>
        <v>FOTO 3</v>
      </c>
      <c r="N399" s="199" t="str">
        <f>HYPERLINK(CONCATENATE("http://www.spr.depen.pr.gov.br/centralvagas/exibirFoto.jpg?numProntuario=",$E399,"&amp;idImagem=4"),"FOTO 4")</f>
        <v>FOTO 4</v>
      </c>
      <c r="O399" s="199" t="str">
        <f>HYPERLINK(CONCATENATE("http://www.spr.depen.pr.gov.br/centralvagas/exibirFoto.jpg?numProntuario=",$E399,"&amp;idImagem=5"),"FOTO 5")</f>
        <v>FOTO 5</v>
      </c>
      <c r="P399" s="199" t="str">
        <f>HYPERLINK(CONCATENATE("http://www.spr.depen.pr.gov.br/centralvagas/exibirFoto.jpg?numProntuario=",$E399,"&amp;idImagem=6"),"FOTO 6")</f>
        <v>FOTO 6</v>
      </c>
    </row>
    <row r="400" spans="1:16" ht="14.1" customHeight="1" thickTop="1" thickBot="1">
      <c r="A400" s="120"/>
      <c r="B400" s="419"/>
      <c r="C400" s="126" t="s">
        <v>2553</v>
      </c>
      <c r="D400" s="128" t="s">
        <v>3623</v>
      </c>
      <c r="E400" s="117">
        <v>110143</v>
      </c>
      <c r="F400" s="116"/>
      <c r="G400" s="119"/>
      <c r="H400" s="116"/>
      <c r="I400" s="119"/>
      <c r="J400" s="116"/>
      <c r="K400" s="199" t="str">
        <f>HYPERLINK(CONCATENATE("http://www.spr.depen.pr.gov.br/centralvagas/exibirFoto.jpg?numProntuario=",$E400,"&amp;idImagem=1"),"FOTO 1")</f>
        <v>FOTO 1</v>
      </c>
      <c r="L400" s="199" t="str">
        <f>HYPERLINK(CONCATENATE("http://www.spr.depen.pr.gov.br/centralvagas/exibirFoto.jpg?numProntuario=",$E400,"&amp;idImagem=2"),"FOTO 2")</f>
        <v>FOTO 2</v>
      </c>
      <c r="M400" s="199" t="str">
        <f>HYPERLINK(CONCATENATE("http://www.spr.depen.pr.gov.br/centralvagas/exibirFoto.jpg?numProntuario=",$E400,"&amp;idImagem=3"),"FOTO 3")</f>
        <v>FOTO 3</v>
      </c>
      <c r="N400" s="199" t="str">
        <f>HYPERLINK(CONCATENATE("http://www.spr.depen.pr.gov.br/centralvagas/exibirFoto.jpg?numProntuario=",$E400,"&amp;idImagem=4"),"FOTO 4")</f>
        <v>FOTO 4</v>
      </c>
      <c r="O400" s="199" t="str">
        <f>HYPERLINK(CONCATENATE("http://www.spr.depen.pr.gov.br/centralvagas/exibirFoto.jpg?numProntuario=",$E400,"&amp;idImagem=5"),"FOTO 5")</f>
        <v>FOTO 5</v>
      </c>
      <c r="P400" s="199" t="str">
        <f>HYPERLINK(CONCATENATE("http://www.spr.depen.pr.gov.br/centralvagas/exibirFoto.jpg?numProntuario=",$E400,"&amp;idImagem=6"),"FOTO 6")</f>
        <v>FOTO 6</v>
      </c>
    </row>
    <row r="401" spans="1:16" ht="14.1" customHeight="1" thickTop="1" thickBot="1">
      <c r="A401" s="123"/>
      <c r="B401" s="419"/>
      <c r="C401" s="116" t="s">
        <v>2553</v>
      </c>
      <c r="D401" s="122" t="s">
        <v>1234</v>
      </c>
      <c r="E401" s="117">
        <v>101524</v>
      </c>
      <c r="F401" s="116"/>
      <c r="G401" s="119"/>
      <c r="H401" s="116"/>
      <c r="I401" s="119"/>
      <c r="J401" s="116"/>
      <c r="K401" s="199" t="str">
        <f>HYPERLINK(CONCATENATE("http://www.spr.depen.pr.gov.br/centralvagas/exibirFoto.jpg?numProntuario=",$E401,"&amp;idImagem=1"),"FOTO 1")</f>
        <v>FOTO 1</v>
      </c>
      <c r="L401" s="199" t="str">
        <f>HYPERLINK(CONCATENATE("http://www.spr.depen.pr.gov.br/centralvagas/exibirFoto.jpg?numProntuario=",$E401,"&amp;idImagem=2"),"FOTO 2")</f>
        <v>FOTO 2</v>
      </c>
      <c r="M401" s="199" t="str">
        <f>HYPERLINK(CONCATENATE("http://www.spr.depen.pr.gov.br/centralvagas/exibirFoto.jpg?numProntuario=",$E401,"&amp;idImagem=3"),"FOTO 3")</f>
        <v>FOTO 3</v>
      </c>
      <c r="N401" s="199" t="str">
        <f>HYPERLINK(CONCATENATE("http://www.spr.depen.pr.gov.br/centralvagas/exibirFoto.jpg?numProntuario=",$E401,"&amp;idImagem=4"),"FOTO 4")</f>
        <v>FOTO 4</v>
      </c>
      <c r="O401" s="199" t="str">
        <f>HYPERLINK(CONCATENATE("http://www.spr.depen.pr.gov.br/centralvagas/exibirFoto.jpg?numProntuario=",$E401,"&amp;idImagem=5"),"FOTO 5")</f>
        <v>FOTO 5</v>
      </c>
      <c r="P401" s="199" t="str">
        <f>HYPERLINK(CONCATENATE("http://www.spr.depen.pr.gov.br/centralvagas/exibirFoto.jpg?numProntuario=",$E401,"&amp;idImagem=6"),"FOTO 6")</f>
        <v>FOTO 6</v>
      </c>
    </row>
    <row r="402" spans="1:16" ht="14.1" customHeight="1" thickTop="1" thickBot="1">
      <c r="A402" s="151"/>
      <c r="B402" s="419"/>
      <c r="C402" s="217" t="s">
        <v>2553</v>
      </c>
      <c r="D402" s="422" t="s">
        <v>2103</v>
      </c>
      <c r="E402" s="117">
        <v>126019</v>
      </c>
      <c r="F402" s="116"/>
      <c r="G402" s="119"/>
      <c r="H402" s="116"/>
      <c r="I402" s="119"/>
      <c r="J402" s="116"/>
      <c r="K402" s="199" t="str">
        <f>HYPERLINK(CONCATENATE("http://www.spr.depen.pr.gov.br/centralvagas/exibirFoto.jpg?numProntuario=",$E402,"&amp;idImagem=1"),"FOTO 1")</f>
        <v>FOTO 1</v>
      </c>
      <c r="L402" s="199" t="str">
        <f>HYPERLINK(CONCATENATE("http://www.spr.depen.pr.gov.br/centralvagas/exibirFoto.jpg?numProntuario=",$E402,"&amp;idImagem=2"),"FOTO 2")</f>
        <v>FOTO 2</v>
      </c>
      <c r="M402" s="199" t="str">
        <f>HYPERLINK(CONCATENATE("http://www.spr.depen.pr.gov.br/centralvagas/exibirFoto.jpg?numProntuario=",$E402,"&amp;idImagem=3"),"FOTO 3")</f>
        <v>FOTO 3</v>
      </c>
      <c r="N402" s="199" t="str">
        <f>HYPERLINK(CONCATENATE("http://www.spr.depen.pr.gov.br/centralvagas/exibirFoto.jpg?numProntuario=",$E402,"&amp;idImagem=4"),"FOTO 4")</f>
        <v>FOTO 4</v>
      </c>
      <c r="O402" s="199" t="str">
        <f>HYPERLINK(CONCATENATE("http://www.spr.depen.pr.gov.br/centralvagas/exibirFoto.jpg?numProntuario=",$E402,"&amp;idImagem=5"),"FOTO 5")</f>
        <v>FOTO 5</v>
      </c>
      <c r="P402" s="199" t="str">
        <f>HYPERLINK(CONCATENATE("http://www.spr.depen.pr.gov.br/centralvagas/exibirFoto.jpg?numProntuario=",$E402,"&amp;idImagem=6"),"FOTO 6")</f>
        <v>FOTO 6</v>
      </c>
    </row>
    <row r="403" spans="1:16" ht="14.1" customHeight="1" thickTop="1" thickBot="1">
      <c r="A403" s="571" t="s">
        <v>161</v>
      </c>
      <c r="B403" s="419"/>
      <c r="C403" s="116" t="s">
        <v>1227</v>
      </c>
      <c r="D403" s="130" t="s">
        <v>2833</v>
      </c>
      <c r="E403" s="117">
        <v>63089</v>
      </c>
      <c r="F403" s="116"/>
      <c r="G403" s="119"/>
      <c r="H403" s="116"/>
      <c r="I403" s="119"/>
      <c r="J403" s="116"/>
      <c r="K403" s="199" t="str">
        <f>HYPERLINK(CONCATENATE("http://www.spr.depen.pr.gov.br/centralvagas/exibirFoto.jpg?numProntuario=",$E403,"&amp;idImagem=1"),"FOTO 1")</f>
        <v>FOTO 1</v>
      </c>
      <c r="L403" s="199" t="str">
        <f>HYPERLINK(CONCATENATE("http://www.spr.depen.pr.gov.br/centralvagas/exibirFoto.jpg?numProntuario=",$E403,"&amp;idImagem=2"),"FOTO 2")</f>
        <v>FOTO 2</v>
      </c>
      <c r="M403" s="199" t="str">
        <f>HYPERLINK(CONCATENATE("http://www.spr.depen.pr.gov.br/centralvagas/exibirFoto.jpg?numProntuario=",$E403,"&amp;idImagem=3"),"FOTO 3")</f>
        <v>FOTO 3</v>
      </c>
      <c r="N403" s="199" t="str">
        <f>HYPERLINK(CONCATENATE("http://www.spr.depen.pr.gov.br/centralvagas/exibirFoto.jpg?numProntuario=",$E403,"&amp;idImagem=4"),"FOTO 4")</f>
        <v>FOTO 4</v>
      </c>
      <c r="O403" s="199" t="str">
        <f>HYPERLINK(CONCATENATE("http://www.spr.depen.pr.gov.br/centralvagas/exibirFoto.jpg?numProntuario=",$E403,"&amp;idImagem=5"),"FOTO 5")</f>
        <v>FOTO 5</v>
      </c>
      <c r="P403" s="199" t="str">
        <f>HYPERLINK(CONCATENATE("http://www.spr.depen.pr.gov.br/centralvagas/exibirFoto.jpg?numProntuario=",$E403,"&amp;idImagem=6"),"FOTO 6")</f>
        <v>FOTO 6</v>
      </c>
    </row>
    <row r="404" spans="1:16" ht="14.1" customHeight="1" thickTop="1" thickBot="1">
      <c r="A404" s="571" t="s">
        <v>161</v>
      </c>
      <c r="B404" s="438"/>
      <c r="C404" s="118" t="s">
        <v>1227</v>
      </c>
      <c r="D404" s="130" t="s">
        <v>2184</v>
      </c>
      <c r="E404" s="466">
        <v>142730</v>
      </c>
      <c r="F404" s="133"/>
      <c r="G404" s="119"/>
      <c r="H404" s="116"/>
      <c r="I404" s="119"/>
      <c r="J404" s="116"/>
      <c r="K404" s="199" t="str">
        <f>HYPERLINK(CONCATENATE("http://www.spr.depen.pr.gov.br/centralvagas/exibirFoto.jpg?numProntuario=",$E404,"&amp;idImagem=1"),"FOTO 1")</f>
        <v>FOTO 1</v>
      </c>
      <c r="L404" s="199" t="str">
        <f>HYPERLINK(CONCATENATE("http://www.spr.depen.pr.gov.br/centralvagas/exibirFoto.jpg?numProntuario=",$E404,"&amp;idImagem=2"),"FOTO 2")</f>
        <v>FOTO 2</v>
      </c>
      <c r="M404" s="199" t="str">
        <f>HYPERLINK(CONCATENATE("http://www.spr.depen.pr.gov.br/centralvagas/exibirFoto.jpg?numProntuario=",$E404,"&amp;idImagem=3"),"FOTO 3")</f>
        <v>FOTO 3</v>
      </c>
      <c r="N404" s="199" t="str">
        <f>HYPERLINK(CONCATENATE("http://www.spr.depen.pr.gov.br/centralvagas/exibirFoto.jpg?numProntuario=",$E404,"&amp;idImagem=4"),"FOTO 4")</f>
        <v>FOTO 4</v>
      </c>
      <c r="O404" s="199" t="str">
        <f>HYPERLINK(CONCATENATE("http://www.spr.depen.pr.gov.br/centralvagas/exibirFoto.jpg?numProntuario=",$E404,"&amp;idImagem=5"),"FOTO 5")</f>
        <v>FOTO 5</v>
      </c>
      <c r="P404" s="199" t="str">
        <f>HYPERLINK(CONCATENATE("http://www.spr.depen.pr.gov.br/centralvagas/exibirFoto.jpg?numProntuario=",$E404,"&amp;idImagem=6"),"FOTO 6")</f>
        <v>FOTO 6</v>
      </c>
    </row>
    <row r="405" spans="1:16" ht="14.1" customHeight="1" thickTop="1" thickBot="1">
      <c r="A405" s="571" t="s">
        <v>161</v>
      </c>
      <c r="B405" s="419"/>
      <c r="C405" s="116" t="s">
        <v>1227</v>
      </c>
      <c r="D405" s="130" t="s">
        <v>144</v>
      </c>
      <c r="E405" s="117">
        <v>3075</v>
      </c>
      <c r="F405" s="116"/>
      <c r="G405" s="119"/>
      <c r="H405" s="116"/>
      <c r="I405" s="119"/>
      <c r="J405" s="116"/>
      <c r="K405" s="199" t="str">
        <f>HYPERLINK(CONCATENATE("http://www.spr.depen.pr.gov.br/centralvagas/exibirFoto.jpg?numProntuario=",$E405,"&amp;idImagem=1"),"FOTO 1")</f>
        <v>FOTO 1</v>
      </c>
      <c r="L405" s="199" t="str">
        <f>HYPERLINK(CONCATENATE("http://www.spr.depen.pr.gov.br/centralvagas/exibirFoto.jpg?numProntuario=",$E405,"&amp;idImagem=2"),"FOTO 2")</f>
        <v>FOTO 2</v>
      </c>
      <c r="M405" s="199" t="str">
        <f>HYPERLINK(CONCATENATE("http://www.spr.depen.pr.gov.br/centralvagas/exibirFoto.jpg?numProntuario=",$E405,"&amp;idImagem=3"),"FOTO 3")</f>
        <v>FOTO 3</v>
      </c>
      <c r="N405" s="199" t="str">
        <f>HYPERLINK(CONCATENATE("http://www.spr.depen.pr.gov.br/centralvagas/exibirFoto.jpg?numProntuario=",$E405,"&amp;idImagem=4"),"FOTO 4")</f>
        <v>FOTO 4</v>
      </c>
      <c r="O405" s="199" t="str">
        <f>HYPERLINK(CONCATENATE("http://www.spr.depen.pr.gov.br/centralvagas/exibirFoto.jpg?numProntuario=",$E405,"&amp;idImagem=5"),"FOTO 5")</f>
        <v>FOTO 5</v>
      </c>
      <c r="P405" s="199" t="str">
        <f>HYPERLINK(CONCATENATE("http://www.spr.depen.pr.gov.br/centralvagas/exibirFoto.jpg?numProntuario=",$E405,"&amp;idImagem=6"),"FOTO 6")</f>
        <v>FOTO 6</v>
      </c>
    </row>
    <row r="406" spans="1:16" ht="14.1" customHeight="1" thickTop="1" thickBot="1">
      <c r="A406" s="571" t="s">
        <v>161</v>
      </c>
      <c r="B406" s="419"/>
      <c r="C406" s="118" t="s">
        <v>1227</v>
      </c>
      <c r="D406" s="122" t="s">
        <v>2390</v>
      </c>
      <c r="E406" s="466">
        <v>127077</v>
      </c>
      <c r="F406" s="133"/>
      <c r="G406" s="119"/>
      <c r="H406" s="116"/>
      <c r="I406" s="119"/>
      <c r="J406" s="116"/>
      <c r="K406" s="199" t="str">
        <f>HYPERLINK(CONCATENATE("http://www.spr.depen.pr.gov.br/centralvagas/exibirFoto.jpg?numProntuario=",$E406,"&amp;idImagem=1"),"FOTO 1")</f>
        <v>FOTO 1</v>
      </c>
      <c r="L406" s="199" t="str">
        <f>HYPERLINK(CONCATENATE("http://www.spr.depen.pr.gov.br/centralvagas/exibirFoto.jpg?numProntuario=",$E406,"&amp;idImagem=2"),"FOTO 2")</f>
        <v>FOTO 2</v>
      </c>
      <c r="M406" s="199" t="str">
        <f>HYPERLINK(CONCATENATE("http://www.spr.depen.pr.gov.br/centralvagas/exibirFoto.jpg?numProntuario=",$E406,"&amp;idImagem=3"),"FOTO 3")</f>
        <v>FOTO 3</v>
      </c>
      <c r="N406" s="199" t="str">
        <f>HYPERLINK(CONCATENATE("http://www.spr.depen.pr.gov.br/centralvagas/exibirFoto.jpg?numProntuario=",$E406,"&amp;idImagem=4"),"FOTO 4")</f>
        <v>FOTO 4</v>
      </c>
      <c r="O406" s="199" t="str">
        <f>HYPERLINK(CONCATENATE("http://www.spr.depen.pr.gov.br/centralvagas/exibirFoto.jpg?numProntuario=",$E406,"&amp;idImagem=5"),"FOTO 5")</f>
        <v>FOTO 5</v>
      </c>
      <c r="P406" s="199" t="str">
        <f>HYPERLINK(CONCATENATE("http://www.spr.depen.pr.gov.br/centralvagas/exibirFoto.jpg?numProntuario=",$E406,"&amp;idImagem=6"),"FOTO 6")</f>
        <v>FOTO 6</v>
      </c>
    </row>
    <row r="407" spans="1:16" ht="14.1" customHeight="1" thickTop="1" thickBot="1">
      <c r="A407" s="571" t="s">
        <v>161</v>
      </c>
      <c r="B407" s="438"/>
      <c r="C407" s="116" t="s">
        <v>1227</v>
      </c>
      <c r="D407" s="129" t="s">
        <v>1956</v>
      </c>
      <c r="E407" s="117">
        <v>107539</v>
      </c>
      <c r="F407" s="116"/>
      <c r="G407" s="119"/>
      <c r="H407" s="116"/>
      <c r="I407" s="119"/>
      <c r="J407" s="116"/>
      <c r="K407" s="199" t="str">
        <f>HYPERLINK(CONCATENATE("http://www.spr.depen.pr.gov.br/centralvagas/exibirFoto.jpg?numProntuario=",$E407,"&amp;idImagem=1"),"FOTO 1")</f>
        <v>FOTO 1</v>
      </c>
      <c r="L407" s="199" t="str">
        <f>HYPERLINK(CONCATENATE("http://www.spr.depen.pr.gov.br/centralvagas/exibirFoto.jpg?numProntuario=",$E407,"&amp;idImagem=2"),"FOTO 2")</f>
        <v>FOTO 2</v>
      </c>
      <c r="M407" s="199" t="str">
        <f>HYPERLINK(CONCATENATE("http://www.spr.depen.pr.gov.br/centralvagas/exibirFoto.jpg?numProntuario=",$E407,"&amp;idImagem=3"),"FOTO 3")</f>
        <v>FOTO 3</v>
      </c>
      <c r="N407" s="199" t="str">
        <f>HYPERLINK(CONCATENATE("http://www.spr.depen.pr.gov.br/centralvagas/exibirFoto.jpg?numProntuario=",$E407,"&amp;idImagem=4"),"FOTO 4")</f>
        <v>FOTO 4</v>
      </c>
      <c r="O407" s="199" t="str">
        <f>HYPERLINK(CONCATENATE("http://www.spr.depen.pr.gov.br/centralvagas/exibirFoto.jpg?numProntuario=",$E407,"&amp;idImagem=5"),"FOTO 5")</f>
        <v>FOTO 5</v>
      </c>
      <c r="P407" s="199" t="str">
        <f>HYPERLINK(CONCATENATE("http://www.spr.depen.pr.gov.br/centralvagas/exibirFoto.jpg?numProntuario=",$E407,"&amp;idImagem=6"),"FOTO 6")</f>
        <v>FOTO 6</v>
      </c>
    </row>
    <row r="408" spans="1:16" ht="14.1" customHeight="1" thickTop="1" thickBot="1">
      <c r="A408" s="571" t="s">
        <v>161</v>
      </c>
      <c r="B408" s="143"/>
      <c r="C408" s="118" t="s">
        <v>2392</v>
      </c>
      <c r="D408" s="122" t="s">
        <v>2290</v>
      </c>
      <c r="E408" s="117">
        <v>124528</v>
      </c>
      <c r="F408" s="116"/>
      <c r="G408" s="119"/>
      <c r="H408" s="116"/>
      <c r="I408" s="119"/>
      <c r="J408" s="116"/>
      <c r="K408" s="199" t="str">
        <f>HYPERLINK(CONCATENATE("http://www.spr.depen.pr.gov.br/centralvagas/exibirFoto.jpg?numProntuario=",$E408,"&amp;idImagem=1"),"FOTO 1")</f>
        <v>FOTO 1</v>
      </c>
      <c r="L408" s="199" t="str">
        <f>HYPERLINK(CONCATENATE("http://www.spr.depen.pr.gov.br/centralvagas/exibirFoto.jpg?numProntuario=",$E408,"&amp;idImagem=2"),"FOTO 2")</f>
        <v>FOTO 2</v>
      </c>
      <c r="M408" s="199" t="str">
        <f>HYPERLINK(CONCATENATE("http://www.spr.depen.pr.gov.br/centralvagas/exibirFoto.jpg?numProntuario=",$E408,"&amp;idImagem=3"),"FOTO 3")</f>
        <v>FOTO 3</v>
      </c>
      <c r="N408" s="199" t="str">
        <f>HYPERLINK(CONCATENATE("http://www.spr.depen.pr.gov.br/centralvagas/exibirFoto.jpg?numProntuario=",$E408,"&amp;idImagem=4"),"FOTO 4")</f>
        <v>FOTO 4</v>
      </c>
      <c r="O408" s="199" t="str">
        <f>HYPERLINK(CONCATENATE("http://www.spr.depen.pr.gov.br/centralvagas/exibirFoto.jpg?numProntuario=",$E408,"&amp;idImagem=5"),"FOTO 5")</f>
        <v>FOTO 5</v>
      </c>
      <c r="P408" s="199" t="str">
        <f>HYPERLINK(CONCATENATE("http://www.spr.depen.pr.gov.br/centralvagas/exibirFoto.jpg?numProntuario=",$E408,"&amp;idImagem=6"),"FOTO 6")</f>
        <v>FOTO 6</v>
      </c>
    </row>
    <row r="409" spans="1:16" ht="14.1" customHeight="1" thickTop="1" thickBot="1">
      <c r="A409" s="571" t="s">
        <v>161</v>
      </c>
      <c r="B409" s="127"/>
      <c r="C409" s="118" t="s">
        <v>2392</v>
      </c>
      <c r="D409" s="122" t="s">
        <v>2162</v>
      </c>
      <c r="E409" s="117">
        <v>142465</v>
      </c>
      <c r="F409" s="116"/>
      <c r="G409" s="119"/>
      <c r="H409" s="116"/>
      <c r="I409" s="119"/>
      <c r="J409" s="116"/>
      <c r="K409" s="199" t="str">
        <f>HYPERLINK(CONCATENATE("http://www.spr.depen.pr.gov.br/centralvagas/exibirFoto.jpg?numProntuario=",$E409,"&amp;idImagem=1"),"FOTO 1")</f>
        <v>FOTO 1</v>
      </c>
      <c r="L409" s="199" t="str">
        <f>HYPERLINK(CONCATENATE("http://www.spr.depen.pr.gov.br/centralvagas/exibirFoto.jpg?numProntuario=",$E409,"&amp;idImagem=2"),"FOTO 2")</f>
        <v>FOTO 2</v>
      </c>
      <c r="M409" s="199" t="str">
        <f>HYPERLINK(CONCATENATE("http://www.spr.depen.pr.gov.br/centralvagas/exibirFoto.jpg?numProntuario=",$E409,"&amp;idImagem=3"),"FOTO 3")</f>
        <v>FOTO 3</v>
      </c>
      <c r="N409" s="199" t="str">
        <f>HYPERLINK(CONCATENATE("http://www.spr.depen.pr.gov.br/centralvagas/exibirFoto.jpg?numProntuario=",$E409,"&amp;idImagem=4"),"FOTO 4")</f>
        <v>FOTO 4</v>
      </c>
      <c r="O409" s="199" t="str">
        <f>HYPERLINK(CONCATENATE("http://www.spr.depen.pr.gov.br/centralvagas/exibirFoto.jpg?numProntuario=",$E409,"&amp;idImagem=5"),"FOTO 5")</f>
        <v>FOTO 5</v>
      </c>
      <c r="P409" s="199" t="str">
        <f>HYPERLINK(CONCATENATE("http://www.spr.depen.pr.gov.br/centralvagas/exibirFoto.jpg?numProntuario=",$E409,"&amp;idImagem=6"),"FOTO 6")</f>
        <v>FOTO 6</v>
      </c>
    </row>
    <row r="410" spans="1:16" ht="14.1" customHeight="1" thickTop="1" thickBot="1">
      <c r="A410" s="571" t="s">
        <v>161</v>
      </c>
      <c r="B410" s="127"/>
      <c r="C410" s="118" t="s">
        <v>2392</v>
      </c>
      <c r="D410" s="130" t="s">
        <v>631</v>
      </c>
      <c r="E410" s="117">
        <v>63723</v>
      </c>
      <c r="F410" s="116"/>
      <c r="G410" s="119"/>
      <c r="H410" s="116"/>
      <c r="I410" s="119"/>
      <c r="J410" s="116"/>
      <c r="K410" s="199" t="str">
        <f>HYPERLINK(CONCATENATE("http://www.spr.depen.pr.gov.br/centralvagas/exibirFoto.jpg?numProntuario=",$E410,"&amp;idImagem=1"),"FOTO 1")</f>
        <v>FOTO 1</v>
      </c>
      <c r="L410" s="199" t="str">
        <f>HYPERLINK(CONCATENATE("http://www.spr.depen.pr.gov.br/centralvagas/exibirFoto.jpg?numProntuario=",$E410,"&amp;idImagem=2"),"FOTO 2")</f>
        <v>FOTO 2</v>
      </c>
      <c r="M410" s="199" t="str">
        <f>HYPERLINK(CONCATENATE("http://www.spr.depen.pr.gov.br/centralvagas/exibirFoto.jpg?numProntuario=",$E410,"&amp;idImagem=3"),"FOTO 3")</f>
        <v>FOTO 3</v>
      </c>
      <c r="N410" s="199" t="str">
        <f>HYPERLINK(CONCATENATE("http://www.spr.depen.pr.gov.br/centralvagas/exibirFoto.jpg?numProntuario=",$E410,"&amp;idImagem=4"),"FOTO 4")</f>
        <v>FOTO 4</v>
      </c>
      <c r="O410" s="199" t="str">
        <f>HYPERLINK(CONCATENATE("http://www.spr.depen.pr.gov.br/centralvagas/exibirFoto.jpg?numProntuario=",$E410,"&amp;idImagem=5"),"FOTO 5")</f>
        <v>FOTO 5</v>
      </c>
      <c r="P410" s="199" t="str">
        <f>HYPERLINK(CONCATENATE("http://www.spr.depen.pr.gov.br/centralvagas/exibirFoto.jpg?numProntuario=",$E410,"&amp;idImagem=6"),"FOTO 6")</f>
        <v>FOTO 6</v>
      </c>
    </row>
    <row r="411" spans="1:16" ht="14.1" customHeight="1" thickTop="1" thickBot="1">
      <c r="A411" s="571" t="s">
        <v>161</v>
      </c>
      <c r="B411" s="438"/>
      <c r="C411" s="118" t="s">
        <v>2392</v>
      </c>
      <c r="D411" s="130" t="s">
        <v>311</v>
      </c>
      <c r="E411" s="117">
        <v>63312</v>
      </c>
      <c r="F411" s="116"/>
      <c r="G411" s="119"/>
      <c r="H411" s="132"/>
      <c r="I411" s="136"/>
      <c r="J411" s="116"/>
      <c r="K411" s="199" t="str">
        <f>HYPERLINK(CONCATENATE("http://www.spr.depen.pr.gov.br/centralvagas/exibirFoto.jpg?numProntuario=",$E411,"&amp;idImagem=1"),"FOTO 1")</f>
        <v>FOTO 1</v>
      </c>
      <c r="L411" s="199" t="str">
        <f>HYPERLINK(CONCATENATE("http://www.spr.depen.pr.gov.br/centralvagas/exibirFoto.jpg?numProntuario=",$E411,"&amp;idImagem=2"),"FOTO 2")</f>
        <v>FOTO 2</v>
      </c>
      <c r="M411" s="199" t="str">
        <f>HYPERLINK(CONCATENATE("http://www.spr.depen.pr.gov.br/centralvagas/exibirFoto.jpg?numProntuario=",$E411,"&amp;idImagem=3"),"FOTO 3")</f>
        <v>FOTO 3</v>
      </c>
      <c r="N411" s="199" t="str">
        <f>HYPERLINK(CONCATENATE("http://www.spr.depen.pr.gov.br/centralvagas/exibirFoto.jpg?numProntuario=",$E411,"&amp;idImagem=4"),"FOTO 4")</f>
        <v>FOTO 4</v>
      </c>
      <c r="O411" s="199" t="str">
        <f>HYPERLINK(CONCATENATE("http://www.spr.depen.pr.gov.br/centralvagas/exibirFoto.jpg?numProntuario=",$E411,"&amp;idImagem=5"),"FOTO 5")</f>
        <v>FOTO 5</v>
      </c>
      <c r="P411" s="199" t="str">
        <f>HYPERLINK(CONCATENATE("http://www.spr.depen.pr.gov.br/centralvagas/exibirFoto.jpg?numProntuario=",$E411,"&amp;idImagem=6"),"FOTO 6")</f>
        <v>FOTO 6</v>
      </c>
    </row>
    <row r="412" spans="1:16" ht="14.1" customHeight="1" thickTop="1" thickBot="1">
      <c r="A412" s="571" t="s">
        <v>161</v>
      </c>
      <c r="B412" s="127"/>
      <c r="C412" s="118" t="s">
        <v>2392</v>
      </c>
      <c r="D412" s="131" t="s">
        <v>2132</v>
      </c>
      <c r="E412" s="117">
        <v>122415</v>
      </c>
      <c r="F412" s="118"/>
      <c r="G412" s="119"/>
      <c r="H412" s="116"/>
      <c r="I412" s="119"/>
      <c r="J412" s="116"/>
      <c r="K412" s="199" t="str">
        <f>HYPERLINK(CONCATENATE("http://www.spr.depen.pr.gov.br/centralvagas/exibirFoto.jpg?numProntuario=",$E412,"&amp;idImagem=1"),"FOTO 1")</f>
        <v>FOTO 1</v>
      </c>
      <c r="L412" s="199" t="str">
        <f>HYPERLINK(CONCATENATE("http://www.spr.depen.pr.gov.br/centralvagas/exibirFoto.jpg?numProntuario=",$E412,"&amp;idImagem=2"),"FOTO 2")</f>
        <v>FOTO 2</v>
      </c>
      <c r="M412" s="199" t="str">
        <f>HYPERLINK(CONCATENATE("http://www.spr.depen.pr.gov.br/centralvagas/exibirFoto.jpg?numProntuario=",$E412,"&amp;idImagem=3"),"FOTO 3")</f>
        <v>FOTO 3</v>
      </c>
      <c r="N412" s="199" t="str">
        <f>HYPERLINK(CONCATENATE("http://www.spr.depen.pr.gov.br/centralvagas/exibirFoto.jpg?numProntuario=",$E412,"&amp;idImagem=4"),"FOTO 4")</f>
        <v>FOTO 4</v>
      </c>
      <c r="O412" s="199" t="str">
        <f>HYPERLINK(CONCATENATE("http://www.spr.depen.pr.gov.br/centralvagas/exibirFoto.jpg?numProntuario=",$E412,"&amp;idImagem=5"),"FOTO 5")</f>
        <v>FOTO 5</v>
      </c>
      <c r="P412" s="199" t="str">
        <f>HYPERLINK(CONCATENATE("http://www.spr.depen.pr.gov.br/centralvagas/exibirFoto.jpg?numProntuario=",$E412,"&amp;idImagem=6"),"FOTO 6")</f>
        <v>FOTO 6</v>
      </c>
    </row>
    <row r="413" spans="1:16" ht="14.1" customHeight="1" thickTop="1" thickBot="1">
      <c r="A413" s="571" t="s">
        <v>161</v>
      </c>
      <c r="B413" s="127"/>
      <c r="C413" s="116" t="s">
        <v>2450</v>
      </c>
      <c r="D413" s="129" t="s">
        <v>797</v>
      </c>
      <c r="E413" s="144">
        <v>49736</v>
      </c>
      <c r="F413" s="116"/>
      <c r="G413" s="154"/>
      <c r="H413" s="134"/>
      <c r="I413" s="119"/>
      <c r="J413" s="116"/>
      <c r="K413" s="199" t="str">
        <f>HYPERLINK(CONCATENATE("http://www.spr.depen.pr.gov.br/centralvagas/exibirFoto.jpg?numProntuario=",$E413,"&amp;idImagem=1"),"FOTO 1")</f>
        <v>FOTO 1</v>
      </c>
      <c r="L413" s="199" t="str">
        <f>HYPERLINK(CONCATENATE("http://www.spr.depen.pr.gov.br/centralvagas/exibirFoto.jpg?numProntuario=",$E413,"&amp;idImagem=2"),"FOTO 2")</f>
        <v>FOTO 2</v>
      </c>
      <c r="M413" s="199" t="str">
        <f>HYPERLINK(CONCATENATE("http://www.spr.depen.pr.gov.br/centralvagas/exibirFoto.jpg?numProntuario=",$E413,"&amp;idImagem=3"),"FOTO 3")</f>
        <v>FOTO 3</v>
      </c>
      <c r="N413" s="199" t="str">
        <f>HYPERLINK(CONCATENATE("http://www.spr.depen.pr.gov.br/centralvagas/exibirFoto.jpg?numProntuario=",$E413,"&amp;idImagem=4"),"FOTO 4")</f>
        <v>FOTO 4</v>
      </c>
      <c r="O413" s="199" t="str">
        <f>HYPERLINK(CONCATENATE("http://www.spr.depen.pr.gov.br/centralvagas/exibirFoto.jpg?numProntuario=",$E413,"&amp;idImagem=5"),"FOTO 5")</f>
        <v>FOTO 5</v>
      </c>
      <c r="P413" s="199" t="str">
        <f>HYPERLINK(CONCATENATE("http://www.spr.depen.pr.gov.br/centralvagas/exibirFoto.jpg?numProntuario=",$E413,"&amp;idImagem=6"),"FOTO 6")</f>
        <v>FOTO 6</v>
      </c>
    </row>
    <row r="414" spans="1:16" ht="14.1" customHeight="1" thickTop="1" thickBot="1">
      <c r="A414" s="571" t="s">
        <v>161</v>
      </c>
      <c r="B414" s="127"/>
      <c r="C414" s="116" t="s">
        <v>2450</v>
      </c>
      <c r="D414" s="131" t="s">
        <v>1867</v>
      </c>
      <c r="E414" s="117">
        <v>21837</v>
      </c>
      <c r="F414" s="116"/>
      <c r="G414" s="119"/>
      <c r="H414" s="116"/>
      <c r="I414" s="119"/>
      <c r="J414" s="116"/>
      <c r="K414" s="199" t="str">
        <f>HYPERLINK(CONCATENATE("http://www.spr.depen.pr.gov.br/centralvagas/exibirFoto.jpg?numProntuario=",$E414,"&amp;idImagem=1"),"FOTO 1")</f>
        <v>FOTO 1</v>
      </c>
      <c r="L414" s="199" t="str">
        <f>HYPERLINK(CONCATENATE("http://www.spr.depen.pr.gov.br/centralvagas/exibirFoto.jpg?numProntuario=",$E414,"&amp;idImagem=2"),"FOTO 2")</f>
        <v>FOTO 2</v>
      </c>
      <c r="M414" s="199" t="str">
        <f>HYPERLINK(CONCATENATE("http://www.spr.depen.pr.gov.br/centralvagas/exibirFoto.jpg?numProntuario=",$E414,"&amp;idImagem=3"),"FOTO 3")</f>
        <v>FOTO 3</v>
      </c>
      <c r="N414" s="199" t="str">
        <f>HYPERLINK(CONCATENATE("http://www.spr.depen.pr.gov.br/centralvagas/exibirFoto.jpg?numProntuario=",$E414,"&amp;idImagem=4"),"FOTO 4")</f>
        <v>FOTO 4</v>
      </c>
      <c r="O414" s="199" t="str">
        <f>HYPERLINK(CONCATENATE("http://www.spr.depen.pr.gov.br/centralvagas/exibirFoto.jpg?numProntuario=",$E414,"&amp;idImagem=5"),"FOTO 5")</f>
        <v>FOTO 5</v>
      </c>
      <c r="P414" s="199" t="str">
        <f>HYPERLINK(CONCATENATE("http://www.spr.depen.pr.gov.br/centralvagas/exibirFoto.jpg?numProntuario=",$E414,"&amp;idImagem=6"),"FOTO 6")</f>
        <v>FOTO 6</v>
      </c>
    </row>
    <row r="415" spans="1:16" ht="14.1" customHeight="1" thickTop="1" thickBot="1">
      <c r="A415" s="571" t="s">
        <v>161</v>
      </c>
      <c r="B415" s="127"/>
      <c r="C415" s="116" t="s">
        <v>2450</v>
      </c>
      <c r="D415" s="130" t="s">
        <v>1755</v>
      </c>
      <c r="E415" s="117">
        <v>102368</v>
      </c>
      <c r="F415" s="116"/>
      <c r="G415" s="119"/>
      <c r="H415" s="116"/>
      <c r="I415" s="119"/>
      <c r="J415" s="132"/>
      <c r="K415" s="199" t="str">
        <f>HYPERLINK(CONCATENATE("http://www.spr.depen.pr.gov.br/centralvagas/exibirFoto.jpg?numProntuario=",$E415,"&amp;idImagem=1"),"FOTO 1")</f>
        <v>FOTO 1</v>
      </c>
      <c r="L415" s="199" t="str">
        <f>HYPERLINK(CONCATENATE("http://www.spr.depen.pr.gov.br/centralvagas/exibirFoto.jpg?numProntuario=",$E415,"&amp;idImagem=2"),"FOTO 2")</f>
        <v>FOTO 2</v>
      </c>
      <c r="M415" s="199" t="str">
        <f>HYPERLINK(CONCATENATE("http://www.spr.depen.pr.gov.br/centralvagas/exibirFoto.jpg?numProntuario=",$E415,"&amp;idImagem=3"),"FOTO 3")</f>
        <v>FOTO 3</v>
      </c>
      <c r="N415" s="199" t="str">
        <f>HYPERLINK(CONCATENATE("http://www.spr.depen.pr.gov.br/centralvagas/exibirFoto.jpg?numProntuario=",$E415,"&amp;idImagem=4"),"FOTO 4")</f>
        <v>FOTO 4</v>
      </c>
      <c r="O415" s="199" t="str">
        <f>HYPERLINK(CONCATENATE("http://www.spr.depen.pr.gov.br/centralvagas/exibirFoto.jpg?numProntuario=",$E415,"&amp;idImagem=5"),"FOTO 5")</f>
        <v>FOTO 5</v>
      </c>
      <c r="P415" s="199" t="str">
        <f>HYPERLINK(CONCATENATE("http://www.spr.depen.pr.gov.br/centralvagas/exibirFoto.jpg?numProntuario=",$E415,"&amp;idImagem=6"),"FOTO 6")</f>
        <v>FOTO 6</v>
      </c>
    </row>
    <row r="416" spans="1:16" ht="14.1" customHeight="1" thickTop="1" thickBot="1">
      <c r="A416" s="571" t="s">
        <v>161</v>
      </c>
      <c r="B416" s="143"/>
      <c r="C416" s="116" t="s">
        <v>2450</v>
      </c>
      <c r="D416" s="131" t="s">
        <v>2308</v>
      </c>
      <c r="E416" s="117">
        <v>109976</v>
      </c>
      <c r="F416" s="116"/>
      <c r="G416" s="119"/>
      <c r="H416" s="116"/>
      <c r="I416" s="119"/>
      <c r="J416" s="116"/>
      <c r="K416" s="199" t="str">
        <f>HYPERLINK(CONCATENATE("http://www.spr.depen.pr.gov.br/centralvagas/exibirFoto.jpg?numProntuario=",$E416,"&amp;idImagem=1"),"FOTO 1")</f>
        <v>FOTO 1</v>
      </c>
      <c r="L416" s="199" t="str">
        <f>HYPERLINK(CONCATENATE("http://www.spr.depen.pr.gov.br/centralvagas/exibirFoto.jpg?numProntuario=",$E416,"&amp;idImagem=2"),"FOTO 2")</f>
        <v>FOTO 2</v>
      </c>
      <c r="M416" s="199" t="str">
        <f>HYPERLINK(CONCATENATE("http://www.spr.depen.pr.gov.br/centralvagas/exibirFoto.jpg?numProntuario=",$E416,"&amp;idImagem=3"),"FOTO 3")</f>
        <v>FOTO 3</v>
      </c>
      <c r="N416" s="199" t="str">
        <f>HYPERLINK(CONCATENATE("http://www.spr.depen.pr.gov.br/centralvagas/exibirFoto.jpg?numProntuario=",$E416,"&amp;idImagem=4"),"FOTO 4")</f>
        <v>FOTO 4</v>
      </c>
      <c r="O416" s="199" t="str">
        <f>HYPERLINK(CONCATENATE("http://www.spr.depen.pr.gov.br/centralvagas/exibirFoto.jpg?numProntuario=",$E416,"&amp;idImagem=5"),"FOTO 5")</f>
        <v>FOTO 5</v>
      </c>
      <c r="P416" s="199" t="str">
        <f>HYPERLINK(CONCATENATE("http://www.spr.depen.pr.gov.br/centralvagas/exibirFoto.jpg?numProntuario=",$E416,"&amp;idImagem=6"),"FOTO 6")</f>
        <v>FOTO 6</v>
      </c>
    </row>
    <row r="417" spans="1:16" ht="14.1" customHeight="1" thickTop="1" thickBot="1">
      <c r="A417" s="571" t="s">
        <v>161</v>
      </c>
      <c r="B417" s="229"/>
      <c r="C417" s="118" t="s">
        <v>2450</v>
      </c>
      <c r="D417" s="130" t="s">
        <v>1738</v>
      </c>
      <c r="E417" s="117">
        <v>117807</v>
      </c>
      <c r="F417" s="116"/>
      <c r="G417" s="119"/>
      <c r="H417" s="116"/>
      <c r="I417" s="119"/>
      <c r="J417" s="132"/>
      <c r="K417" s="199" t="str">
        <f>HYPERLINK(CONCATENATE("http://www.spr.depen.pr.gov.br/centralvagas/exibirFoto.jpg?numProntuario=",$E417,"&amp;idImagem=1"),"FOTO 1")</f>
        <v>FOTO 1</v>
      </c>
      <c r="L417" s="199" t="str">
        <f>HYPERLINK(CONCATENATE("http://www.spr.depen.pr.gov.br/centralvagas/exibirFoto.jpg?numProntuario=",$E417,"&amp;idImagem=2"),"FOTO 2")</f>
        <v>FOTO 2</v>
      </c>
      <c r="M417" s="199" t="str">
        <f>HYPERLINK(CONCATENATE("http://www.spr.depen.pr.gov.br/centralvagas/exibirFoto.jpg?numProntuario=",$E417,"&amp;idImagem=3"),"FOTO 3")</f>
        <v>FOTO 3</v>
      </c>
      <c r="N417" s="199" t="str">
        <f>HYPERLINK(CONCATENATE("http://www.spr.depen.pr.gov.br/centralvagas/exibirFoto.jpg?numProntuario=",$E417,"&amp;idImagem=4"),"FOTO 4")</f>
        <v>FOTO 4</v>
      </c>
      <c r="O417" s="199" t="str">
        <f>HYPERLINK(CONCATENATE("http://www.spr.depen.pr.gov.br/centralvagas/exibirFoto.jpg?numProntuario=",$E417,"&amp;idImagem=5"),"FOTO 5")</f>
        <v>FOTO 5</v>
      </c>
      <c r="P417" s="199" t="str">
        <f>HYPERLINK(CONCATENATE("http://www.spr.depen.pr.gov.br/centralvagas/exibirFoto.jpg?numProntuario=",$E417,"&amp;idImagem=6"),"FOTO 6")</f>
        <v>FOTO 6</v>
      </c>
    </row>
    <row r="418" spans="1:16" ht="14.1" customHeight="1" thickTop="1" thickBot="1">
      <c r="A418" s="372" t="s">
        <v>263</v>
      </c>
      <c r="B418" s="228" t="s">
        <v>3730</v>
      </c>
      <c r="C418" s="145" t="s">
        <v>2749</v>
      </c>
      <c r="D418" s="606" t="s">
        <v>2383</v>
      </c>
      <c r="E418" s="608">
        <v>133747</v>
      </c>
      <c r="F418" s="116"/>
      <c r="G418" s="119"/>
      <c r="H418" s="116"/>
      <c r="I418" s="119"/>
      <c r="J418" s="132"/>
      <c r="K418" s="199" t="str">
        <f>HYPERLINK(CONCATENATE("http://www.spr.depen.pr.gov.br/centralvagas/exibirFoto.jpg?numProntuario=",$E418,"&amp;idImagem=1"),"FOTO 1")</f>
        <v>FOTO 1</v>
      </c>
      <c r="L418" s="425" t="s">
        <v>3609</v>
      </c>
      <c r="M418" s="199" t="str">
        <f>HYPERLINK(CONCATENATE("http://www.spr.depen.pr.gov.br/centralvagas/exibirFoto.jpg?numProntuario=",$E418,"&amp;idImagem=3"),"FOTO 3")</f>
        <v>FOTO 3</v>
      </c>
      <c r="N418" s="199" t="str">
        <f>HYPERLINK(CONCATENATE("http://www.spr.depen.pr.gov.br/centralvagas/exibirFoto.jpg?numProntuario=",$E418,"&amp;idImagem=4"),"FOTO 4")</f>
        <v>FOTO 4</v>
      </c>
      <c r="O418" s="199" t="str">
        <f>HYPERLINK(CONCATENATE("http://www.spr.depen.pr.gov.br/centralvagas/exibirFoto.jpg?numProntuario=",$E418,"&amp;idImagem=5"),"FOTO 5")</f>
        <v>FOTO 5</v>
      </c>
      <c r="P418" s="199" t="str">
        <f>HYPERLINK(CONCATENATE("http://www.spr.depen.pr.gov.br/centralvagas/exibirFoto.jpg?numProntuario=",$E418,"&amp;idImagem=6"),"FOTO 6")</f>
        <v>FOTO 6</v>
      </c>
    </row>
    <row r="419" spans="1:16" ht="14.1" customHeight="1" thickTop="1" thickBot="1">
      <c r="A419" s="118"/>
      <c r="B419" s="419"/>
      <c r="C419" s="418" t="s">
        <v>2749</v>
      </c>
      <c r="D419" s="417" t="s">
        <v>3622</v>
      </c>
      <c r="E419" s="117">
        <v>126793</v>
      </c>
      <c r="F419" s="116"/>
      <c r="G419" s="162"/>
      <c r="H419" s="116"/>
      <c r="I419" s="119"/>
      <c r="J419" s="116"/>
      <c r="K419" s="199" t="str">
        <f>HYPERLINK(CONCATENATE("http://www.spr.depen.pr.gov.br/centralvagas/exibirFoto.jpg?numProntuario=",$E419,"&amp;idImagem=1"),"FOTO 1")</f>
        <v>FOTO 1</v>
      </c>
      <c r="L419" s="199" t="str">
        <f>HYPERLINK(CONCATENATE("http://www.spr.depen.pr.gov.br/centralvagas/exibirFoto.jpg?numProntuario=",$E419,"&amp;idImagem=2"),"FOTO 2")</f>
        <v>FOTO 2</v>
      </c>
      <c r="M419" s="199" t="str">
        <f>HYPERLINK(CONCATENATE("http://www.spr.depen.pr.gov.br/centralvagas/exibirFoto.jpg?numProntuario=",$E419,"&amp;idImagem=3"),"FOTO 3")</f>
        <v>FOTO 3</v>
      </c>
      <c r="N419" s="199" t="str">
        <f>HYPERLINK(CONCATENATE("http://www.spr.depen.pr.gov.br/centralvagas/exibirFoto.jpg?numProntuario=",$E419,"&amp;idImagem=4"),"FOTO 4")</f>
        <v>FOTO 4</v>
      </c>
      <c r="O419" s="199" t="str">
        <f>HYPERLINK(CONCATENATE("http://www.spr.depen.pr.gov.br/centralvagas/exibirFoto.jpg?numProntuario=",$E419,"&amp;idImagem=5"),"FOTO 5")</f>
        <v>FOTO 5</v>
      </c>
      <c r="P419" s="199" t="str">
        <f>HYPERLINK(CONCATENATE("http://www.spr.depen.pr.gov.br/centralvagas/exibirFoto.jpg?numProntuario=",$E419,"&amp;idImagem=6"),"FOTO 6")</f>
        <v>FOTO 6</v>
      </c>
    </row>
    <row r="420" spans="1:16" ht="14.1" customHeight="1" thickTop="1" thickBot="1">
      <c r="A420" s="251" t="s">
        <v>1524</v>
      </c>
      <c r="B420" s="254">
        <v>44161</v>
      </c>
      <c r="C420" s="251" t="s">
        <v>2749</v>
      </c>
      <c r="D420" s="252" t="s">
        <v>3638</v>
      </c>
      <c r="E420" s="205">
        <v>21555</v>
      </c>
      <c r="F420" s="116"/>
      <c r="G420" s="119"/>
      <c r="H420" s="116"/>
      <c r="I420" s="119"/>
      <c r="J420" s="116"/>
      <c r="K420" s="199" t="str">
        <f>HYPERLINK(CONCATENATE("http://www.spr.depen.pr.gov.br/centralvagas/exibirFoto.jpg?numProntuario=",$E420,"&amp;idImagem=1"),"FOTO 1")</f>
        <v>FOTO 1</v>
      </c>
      <c r="L420" s="199" t="str">
        <f>HYPERLINK(CONCATENATE("http://www.spr.depen.pr.gov.br/centralvagas/exibirFoto.jpg?numProntuario=",$E420,"&amp;idImagem=2"),"FOTO 2")</f>
        <v>FOTO 2</v>
      </c>
      <c r="M420" s="199" t="str">
        <f>HYPERLINK(CONCATENATE("http://www.spr.depen.pr.gov.br/centralvagas/exibirFoto.jpg?numProntuario=",$E420,"&amp;idImagem=3"),"FOTO 3")</f>
        <v>FOTO 3</v>
      </c>
      <c r="N420" s="199" t="str">
        <f>HYPERLINK(CONCATENATE("http://www.spr.depen.pr.gov.br/centralvagas/exibirFoto.jpg?numProntuario=",$E420,"&amp;idImagem=4"),"FOTO 4")</f>
        <v>FOTO 4</v>
      </c>
      <c r="O420" s="199" t="str">
        <f>HYPERLINK(CONCATENATE("http://www.spr.depen.pr.gov.br/centralvagas/exibirFoto.jpg?numProntuario=",$E420,"&amp;idImagem=5"),"FOTO 5")</f>
        <v>FOTO 5</v>
      </c>
      <c r="P420" s="199" t="str">
        <f>HYPERLINK(CONCATENATE("http://www.spr.depen.pr.gov.br/centralvagas/exibirFoto.jpg?numProntuario=",$E420,"&amp;idImagem=6"),"FOTO 6")</f>
        <v>FOTO 6</v>
      </c>
    </row>
    <row r="421" spans="1:16" ht="14.1" customHeight="1" thickTop="1" thickBot="1">
      <c r="A421" s="251" t="s">
        <v>1524</v>
      </c>
      <c r="B421" s="254">
        <v>44161</v>
      </c>
      <c r="C421" s="251" t="s">
        <v>2749</v>
      </c>
      <c r="D421" s="566" t="s">
        <v>3640</v>
      </c>
      <c r="E421" s="205">
        <v>63748</v>
      </c>
      <c r="F421" s="145"/>
      <c r="G421" s="162"/>
      <c r="H421" s="116"/>
      <c r="I421" s="162"/>
      <c r="J421" s="116"/>
      <c r="K421" s="199" t="str">
        <f>HYPERLINK(CONCATENATE("http://www.spr.depen.pr.gov.br/centralvagas/exibirFoto.jpg?numProntuario=",$E421,"&amp;idImagem=1"),"FOTO 1")</f>
        <v>FOTO 1</v>
      </c>
      <c r="L421" s="199" t="str">
        <f>HYPERLINK(CONCATENATE("http://www.spr.depen.pr.gov.br/centralvagas/exibirFoto.jpg?numProntuario=",$E421,"&amp;idImagem=2"),"FOTO 2")</f>
        <v>FOTO 2</v>
      </c>
      <c r="M421" s="199" t="str">
        <f>HYPERLINK(CONCATENATE("http://www.spr.depen.pr.gov.br/centralvagas/exibirFoto.jpg?numProntuario=",$E421,"&amp;idImagem=3"),"FOTO 3")</f>
        <v>FOTO 3</v>
      </c>
      <c r="N421" s="199" t="str">
        <f>HYPERLINK(CONCATENATE("http://www.spr.depen.pr.gov.br/centralvagas/exibirFoto.jpg?numProntuario=",$E421,"&amp;idImagem=4"),"FOTO 4")</f>
        <v>FOTO 4</v>
      </c>
      <c r="O421" s="199" t="str">
        <f>HYPERLINK(CONCATENATE("http://www.spr.depen.pr.gov.br/centralvagas/exibirFoto.jpg?numProntuario=",$E421,"&amp;idImagem=5"),"FOTO 5")</f>
        <v>FOTO 5</v>
      </c>
      <c r="P421" s="199" t="str">
        <f>HYPERLINK(CONCATENATE("http://www.spr.depen.pr.gov.br/centralvagas/exibirFoto.jpg?numProntuario=",$E421,"&amp;idImagem=6"),"FOTO 6")</f>
        <v>FOTO 6</v>
      </c>
    </row>
    <row r="422" spans="1:16" ht="14.1" customHeight="1" thickTop="1" thickBot="1">
      <c r="A422" s="571" t="s">
        <v>161</v>
      </c>
      <c r="B422" s="143"/>
      <c r="C422" s="116" t="s">
        <v>103</v>
      </c>
      <c r="D422" s="131" t="s">
        <v>3702</v>
      </c>
      <c r="E422" s="117">
        <v>57284</v>
      </c>
      <c r="F422" s="243"/>
      <c r="G422" s="119"/>
      <c r="H422" s="116"/>
      <c r="I422" s="119"/>
      <c r="J422" s="116"/>
      <c r="K422" s="199" t="str">
        <f>HYPERLINK(CONCATENATE("http://www.spr.depen.pr.gov.br/centralvagas/exibirFoto.jpg?numProntuario=",$E422,"&amp;idImagem=1"),"FOTO 1")</f>
        <v>FOTO 1</v>
      </c>
      <c r="L422" s="199" t="str">
        <f>HYPERLINK(CONCATENATE("http://www.spr.depen.pr.gov.br/centralvagas/exibirFoto.jpg?numProntuario=",$E422,"&amp;idImagem=2"),"FOTO 2")</f>
        <v>FOTO 2</v>
      </c>
      <c r="M422" s="199" t="str">
        <f>HYPERLINK(CONCATENATE("http://www.spr.depen.pr.gov.br/centralvagas/exibirFoto.jpg?numProntuario=",$E422,"&amp;idImagem=3"),"FOTO 3")</f>
        <v>FOTO 3</v>
      </c>
      <c r="N422" s="199" t="str">
        <f>HYPERLINK(CONCATENATE("http://www.spr.depen.pr.gov.br/centralvagas/exibirFoto.jpg?numProntuario=",$E422,"&amp;idImagem=4"),"FOTO 4")</f>
        <v>FOTO 4</v>
      </c>
      <c r="O422" s="199" t="str">
        <f>HYPERLINK(CONCATENATE("http://www.spr.depen.pr.gov.br/centralvagas/exibirFoto.jpg?numProntuario=",$E422,"&amp;idImagem=5"),"FOTO 5")</f>
        <v>FOTO 5</v>
      </c>
      <c r="P422" s="199" t="str">
        <f>HYPERLINK(CONCATENATE("http://www.spr.depen.pr.gov.br/centralvagas/exibirFoto.jpg?numProntuario=",$E422,"&amp;idImagem=6"),"FOTO 6")</f>
        <v>FOTO 6</v>
      </c>
    </row>
    <row r="423" spans="1:16" ht="14.1" customHeight="1" thickTop="1" thickBot="1">
      <c r="A423" s="571" t="s">
        <v>161</v>
      </c>
      <c r="B423" s="147"/>
      <c r="C423" s="116" t="s">
        <v>103</v>
      </c>
      <c r="D423" s="131" t="s">
        <v>2544</v>
      </c>
      <c r="E423" s="117">
        <v>115234</v>
      </c>
      <c r="F423" s="116"/>
      <c r="G423" s="119"/>
      <c r="H423" s="116"/>
      <c r="I423" s="119"/>
      <c r="J423" s="116"/>
      <c r="K423" s="199" t="str">
        <f>HYPERLINK(CONCATENATE("http://www.spr.depen.pr.gov.br/centralvagas/exibirFoto.jpg?numProntuario=",$E423,"&amp;idImagem=1"),"FOTO 1")</f>
        <v>FOTO 1</v>
      </c>
      <c r="L423" s="199" t="str">
        <f>HYPERLINK(CONCATENATE("http://www.spr.depen.pr.gov.br/centralvagas/exibirFoto.jpg?numProntuario=",$E423,"&amp;idImagem=2"),"FOTO 2")</f>
        <v>FOTO 2</v>
      </c>
      <c r="M423" s="199" t="str">
        <f>HYPERLINK(CONCATENATE("http://www.spr.depen.pr.gov.br/centralvagas/exibirFoto.jpg?numProntuario=",$E423,"&amp;idImagem=3"),"FOTO 3")</f>
        <v>FOTO 3</v>
      </c>
      <c r="N423" s="199" t="str">
        <f>HYPERLINK(CONCATENATE("http://www.spr.depen.pr.gov.br/centralvagas/exibirFoto.jpg?numProntuario=",$E423,"&amp;idImagem=4"),"FOTO 4")</f>
        <v>FOTO 4</v>
      </c>
      <c r="O423" s="199" t="str">
        <f>HYPERLINK(CONCATENATE("http://www.spr.depen.pr.gov.br/centralvagas/exibirFoto.jpg?numProntuario=",$E423,"&amp;idImagem=5"),"FOTO 5")</f>
        <v>FOTO 5</v>
      </c>
      <c r="P423" s="199" t="str">
        <f>HYPERLINK(CONCATENATE("http://www.spr.depen.pr.gov.br/centralvagas/exibirFoto.jpg?numProntuario=",$E423,"&amp;idImagem=6"),"FOTO 6")</f>
        <v>FOTO 6</v>
      </c>
    </row>
    <row r="424" spans="1:16" ht="14.1" customHeight="1" thickTop="1" thickBot="1">
      <c r="A424" s="571" t="s">
        <v>161</v>
      </c>
      <c r="B424" s="143"/>
      <c r="C424" s="116" t="s">
        <v>103</v>
      </c>
      <c r="D424" s="130" t="s">
        <v>1028</v>
      </c>
      <c r="E424" s="117">
        <v>63656</v>
      </c>
      <c r="F424" s="116"/>
      <c r="G424" s="119"/>
      <c r="H424" s="116"/>
      <c r="I424" s="119"/>
      <c r="J424" s="116"/>
      <c r="K424" s="199" t="str">
        <f>HYPERLINK(CONCATENATE("http://www.spr.depen.pr.gov.br/centralvagas/exibirFoto.jpg?numProntuario=",$E424,"&amp;idImagem=1"),"FOTO 1")</f>
        <v>FOTO 1</v>
      </c>
      <c r="L424" s="199" t="str">
        <f>HYPERLINK(CONCATENATE("http://www.spr.depen.pr.gov.br/centralvagas/exibirFoto.jpg?numProntuario=",$E424,"&amp;idImagem=2"),"FOTO 2")</f>
        <v>FOTO 2</v>
      </c>
      <c r="M424" s="199" t="str">
        <f>HYPERLINK(CONCATENATE("http://www.spr.depen.pr.gov.br/centralvagas/exibirFoto.jpg?numProntuario=",$E424,"&amp;idImagem=3"),"FOTO 3")</f>
        <v>FOTO 3</v>
      </c>
      <c r="N424" s="199" t="str">
        <f>HYPERLINK(CONCATENATE("http://www.spr.depen.pr.gov.br/centralvagas/exibirFoto.jpg?numProntuario=",$E424,"&amp;idImagem=4"),"FOTO 4")</f>
        <v>FOTO 4</v>
      </c>
      <c r="O424" s="199" t="str">
        <f>HYPERLINK(CONCATENATE("http://www.spr.depen.pr.gov.br/centralvagas/exibirFoto.jpg?numProntuario=",$E424,"&amp;idImagem=5"),"FOTO 5")</f>
        <v>FOTO 5</v>
      </c>
      <c r="P424" s="199" t="str">
        <f>HYPERLINK(CONCATENATE("http://www.spr.depen.pr.gov.br/centralvagas/exibirFoto.jpg?numProntuario=",$E424,"&amp;idImagem=6"),"FOTO 6")</f>
        <v>FOTO 6</v>
      </c>
    </row>
    <row r="425" spans="1:16" ht="14.1" customHeight="1" thickTop="1" thickBot="1">
      <c r="A425" s="571" t="s">
        <v>161</v>
      </c>
      <c r="B425" s="438"/>
      <c r="C425" s="116" t="s">
        <v>103</v>
      </c>
      <c r="D425" s="122" t="s">
        <v>1971</v>
      </c>
      <c r="E425" s="157">
        <v>109478</v>
      </c>
      <c r="F425" s="116"/>
      <c r="G425" s="119"/>
      <c r="H425" s="116"/>
      <c r="I425" s="119"/>
      <c r="J425" s="123"/>
      <c r="K425" s="199" t="str">
        <f>HYPERLINK(CONCATENATE("http://www.spr.depen.pr.gov.br/centralvagas/exibirFoto.jpg?numProntuario=",$E425,"&amp;idImagem=1"),"FOTO 1")</f>
        <v>FOTO 1</v>
      </c>
      <c r="L425" s="199" t="str">
        <f>HYPERLINK(CONCATENATE("http://www.spr.depen.pr.gov.br/centralvagas/exibirFoto.jpg?numProntuario=",$E425,"&amp;idImagem=2"),"FOTO 2")</f>
        <v>FOTO 2</v>
      </c>
      <c r="M425" s="199" t="str">
        <f>HYPERLINK(CONCATENATE("http://www.spr.depen.pr.gov.br/centralvagas/exibirFoto.jpg?numProntuario=",$E425,"&amp;idImagem=3"),"FOTO 3")</f>
        <v>FOTO 3</v>
      </c>
      <c r="N425" s="199" t="str">
        <f>HYPERLINK(CONCATENATE("http://www.spr.depen.pr.gov.br/centralvagas/exibirFoto.jpg?numProntuario=",$E425,"&amp;idImagem=4"),"FOTO 4")</f>
        <v>FOTO 4</v>
      </c>
      <c r="O425" s="199" t="str">
        <f>HYPERLINK(CONCATENATE("http://www.spr.depen.pr.gov.br/centralvagas/exibirFoto.jpg?numProntuario=",$E425,"&amp;idImagem=5"),"FOTO 5")</f>
        <v>FOTO 5</v>
      </c>
      <c r="P425" s="199" t="str">
        <f>HYPERLINK(CONCATENATE("http://www.spr.depen.pr.gov.br/centralvagas/exibirFoto.jpg?numProntuario=",$E425,"&amp;idImagem=6"),"FOTO 6")</f>
        <v>FOTO 6</v>
      </c>
    </row>
    <row r="426" spans="1:16" ht="14.1" customHeight="1" thickTop="1" thickBot="1">
      <c r="A426" s="572" t="s">
        <v>161</v>
      </c>
      <c r="B426" s="419"/>
      <c r="C426" s="116" t="s">
        <v>103</v>
      </c>
      <c r="D426" s="218" t="s">
        <v>3703</v>
      </c>
      <c r="E426" s="117">
        <v>142201</v>
      </c>
      <c r="F426" s="116"/>
      <c r="G426" s="119"/>
      <c r="H426" s="116"/>
      <c r="I426" s="119"/>
      <c r="J426" s="116"/>
      <c r="K426" s="199" t="str">
        <f>HYPERLINK(CONCATENATE("http://www.spr.depen.pr.gov.br/centralvagas/exibirFoto.jpg?numProntuario=",$E426,"&amp;idImagem=1"),"FOTO 1")</f>
        <v>FOTO 1</v>
      </c>
      <c r="L426" s="199" t="str">
        <f>HYPERLINK(CONCATENATE("http://www.spr.depen.pr.gov.br/centralvagas/exibirFoto.jpg?numProntuario=",$E426,"&amp;idImagem=2"),"FOTO 2")</f>
        <v>FOTO 2</v>
      </c>
      <c r="M426" s="199" t="str">
        <f>HYPERLINK(CONCATENATE("http://www.spr.depen.pr.gov.br/centralvagas/exibirFoto.jpg?numProntuario=",$E426,"&amp;idImagem=3"),"FOTO 3")</f>
        <v>FOTO 3</v>
      </c>
      <c r="N426" s="199" t="str">
        <f>HYPERLINK(CONCATENATE("http://www.spr.depen.pr.gov.br/centralvagas/exibirFoto.jpg?numProntuario=",$E426,"&amp;idImagem=4"),"FOTO 4")</f>
        <v>FOTO 4</v>
      </c>
      <c r="O426" s="199" t="str">
        <f>HYPERLINK(CONCATENATE("http://www.spr.depen.pr.gov.br/centralvagas/exibirFoto.jpg?numProntuario=",$E426,"&amp;idImagem=5"),"FOTO 5")</f>
        <v>FOTO 5</v>
      </c>
      <c r="P426" s="199" t="str">
        <f>HYPERLINK(CONCATENATE("http://www.spr.depen.pr.gov.br/centralvagas/exibirFoto.jpg?numProntuario=",$E426,"&amp;idImagem=6"),"FOTO 6")</f>
        <v>FOTO 6</v>
      </c>
    </row>
    <row r="427" spans="1:16" ht="14.1" customHeight="1" thickTop="1" thickBot="1">
      <c r="A427" s="571" t="s">
        <v>161</v>
      </c>
      <c r="B427" s="147"/>
      <c r="C427" s="116" t="s">
        <v>2448</v>
      </c>
      <c r="D427" s="131" t="s">
        <v>512</v>
      </c>
      <c r="E427" s="117">
        <v>102579</v>
      </c>
      <c r="F427" s="116"/>
      <c r="G427" s="119"/>
      <c r="H427" s="116"/>
      <c r="I427" s="119"/>
      <c r="J427" s="116"/>
      <c r="K427" s="199" t="str">
        <f>HYPERLINK(CONCATENATE("http://www.spr.depen.pr.gov.br/centralvagas/exibirFoto.jpg?numProntuario=",$E427,"&amp;idImagem=1"),"FOTO 1")</f>
        <v>FOTO 1</v>
      </c>
      <c r="L427" s="199" t="str">
        <f>HYPERLINK(CONCATENATE("http://www.spr.depen.pr.gov.br/centralvagas/exibirFoto.jpg?numProntuario=",$E427,"&amp;idImagem=2"),"FOTO 2")</f>
        <v>FOTO 2</v>
      </c>
      <c r="M427" s="199" t="str">
        <f>HYPERLINK(CONCATENATE("http://www.spr.depen.pr.gov.br/centralvagas/exibirFoto.jpg?numProntuario=",$E427,"&amp;idImagem=3"),"FOTO 3")</f>
        <v>FOTO 3</v>
      </c>
      <c r="N427" s="199" t="str">
        <f>HYPERLINK(CONCATENATE("http://www.spr.depen.pr.gov.br/centralvagas/exibirFoto.jpg?numProntuario=",$E427,"&amp;idImagem=4"),"FOTO 4")</f>
        <v>FOTO 4</v>
      </c>
      <c r="O427" s="199" t="str">
        <f>HYPERLINK(CONCATENATE("http://www.spr.depen.pr.gov.br/centralvagas/exibirFoto.jpg?numProntuario=",$E427,"&amp;idImagem=5"),"FOTO 5")</f>
        <v>FOTO 5</v>
      </c>
      <c r="P427" s="199" t="str">
        <f>HYPERLINK(CONCATENATE("http://www.spr.depen.pr.gov.br/centralvagas/exibirFoto.jpg?numProntuario=",$E427,"&amp;idImagem=6"),"FOTO 6")</f>
        <v>FOTO 6</v>
      </c>
    </row>
    <row r="428" spans="1:16" ht="14.1" customHeight="1" thickTop="1" thickBot="1">
      <c r="A428" s="571" t="s">
        <v>161</v>
      </c>
      <c r="B428" s="147"/>
      <c r="C428" s="116" t="s">
        <v>2448</v>
      </c>
      <c r="D428" s="129" t="s">
        <v>2252</v>
      </c>
      <c r="E428" s="117">
        <v>148527</v>
      </c>
      <c r="F428" s="116"/>
      <c r="G428" s="119"/>
      <c r="H428" s="116"/>
      <c r="I428" s="119"/>
      <c r="J428" s="132"/>
      <c r="K428" s="199" t="str">
        <f>HYPERLINK(CONCATENATE("http://www.spr.depen.pr.gov.br/centralvagas/exibirFoto.jpg?numProntuario=",$E428,"&amp;idImagem=1"),"FOTO 1")</f>
        <v>FOTO 1</v>
      </c>
      <c r="L428" s="199" t="str">
        <f>HYPERLINK(CONCATENATE("http://www.spr.depen.pr.gov.br/centralvagas/exibirFoto.jpg?numProntuario=",$E428,"&amp;idImagem=2"),"FOTO 2")</f>
        <v>FOTO 2</v>
      </c>
      <c r="M428" s="199" t="str">
        <f>HYPERLINK(CONCATENATE("http://www.spr.depen.pr.gov.br/centralvagas/exibirFoto.jpg?numProntuario=",$E428,"&amp;idImagem=3"),"FOTO 3")</f>
        <v>FOTO 3</v>
      </c>
      <c r="N428" s="199" t="str">
        <f>HYPERLINK(CONCATENATE("http://www.spr.depen.pr.gov.br/centralvagas/exibirFoto.jpg?numProntuario=",$E428,"&amp;idImagem=4"),"FOTO 4")</f>
        <v>FOTO 4</v>
      </c>
      <c r="O428" s="199" t="str">
        <f>HYPERLINK(CONCATENATE("http://www.spr.depen.pr.gov.br/centralvagas/exibirFoto.jpg?numProntuario=",$E428,"&amp;idImagem=5"),"FOTO 5")</f>
        <v>FOTO 5</v>
      </c>
      <c r="P428" s="199" t="str">
        <f>HYPERLINK(CONCATENATE("http://www.spr.depen.pr.gov.br/centralvagas/exibirFoto.jpg?numProntuario=",$E428,"&amp;idImagem=6"),"FOTO 6")</f>
        <v>FOTO 6</v>
      </c>
    </row>
    <row r="429" spans="1:16" ht="14.1" customHeight="1" thickTop="1" thickBot="1">
      <c r="A429" s="571" t="s">
        <v>161</v>
      </c>
      <c r="B429" s="127"/>
      <c r="C429" s="116" t="s">
        <v>2448</v>
      </c>
      <c r="D429" s="122" t="s">
        <v>2139</v>
      </c>
      <c r="E429" s="117">
        <v>123368</v>
      </c>
      <c r="F429" s="116"/>
      <c r="G429" s="119"/>
      <c r="H429" s="116"/>
      <c r="I429" s="119"/>
      <c r="J429" s="116"/>
      <c r="K429" s="199" t="str">
        <f>HYPERLINK(CONCATENATE("http://www.spr.depen.pr.gov.br/centralvagas/exibirFoto.jpg?numProntuario=",$E429,"&amp;idImagem=1"),"FOTO 1")</f>
        <v>FOTO 1</v>
      </c>
      <c r="L429" s="199" t="str">
        <f>HYPERLINK(CONCATENATE("http://www.spr.depen.pr.gov.br/centralvagas/exibirFoto.jpg?numProntuario=",$E429,"&amp;idImagem=2"),"FOTO 2")</f>
        <v>FOTO 2</v>
      </c>
      <c r="M429" s="199" t="str">
        <f>HYPERLINK(CONCATENATE("http://www.spr.depen.pr.gov.br/centralvagas/exibirFoto.jpg?numProntuario=",$E429,"&amp;idImagem=3"),"FOTO 3")</f>
        <v>FOTO 3</v>
      </c>
      <c r="N429" s="199" t="str">
        <f>HYPERLINK(CONCATENATE("http://www.spr.depen.pr.gov.br/centralvagas/exibirFoto.jpg?numProntuario=",$E429,"&amp;idImagem=4"),"FOTO 4")</f>
        <v>FOTO 4</v>
      </c>
      <c r="O429" s="199" t="str">
        <f>HYPERLINK(CONCATENATE("http://www.spr.depen.pr.gov.br/centralvagas/exibirFoto.jpg?numProntuario=",$E429,"&amp;idImagem=5"),"FOTO 5")</f>
        <v>FOTO 5</v>
      </c>
      <c r="P429" s="199" t="str">
        <f>HYPERLINK(CONCATENATE("http://www.spr.depen.pr.gov.br/centralvagas/exibirFoto.jpg?numProntuario=",$E429,"&amp;idImagem=6"),"FOTO 6")</f>
        <v>FOTO 6</v>
      </c>
    </row>
    <row r="430" spans="1:16" ht="14.1" customHeight="1" thickTop="1" thickBot="1">
      <c r="A430" s="571" t="s">
        <v>161</v>
      </c>
      <c r="B430" s="147"/>
      <c r="C430" s="116" t="s">
        <v>2448</v>
      </c>
      <c r="D430" s="130" t="s">
        <v>2512</v>
      </c>
      <c r="E430" s="117">
        <v>120499</v>
      </c>
      <c r="F430" s="116"/>
      <c r="G430" s="119"/>
      <c r="H430" s="116"/>
      <c r="I430" s="119"/>
      <c r="J430" s="116"/>
      <c r="K430" s="199" t="str">
        <f>HYPERLINK(CONCATENATE("http://www.spr.depen.pr.gov.br/centralvagas/exibirFoto.jpg?numProntuario=",$E430,"&amp;idImagem=1"),"FOTO 1")</f>
        <v>FOTO 1</v>
      </c>
      <c r="L430" s="199" t="str">
        <f>HYPERLINK(CONCATENATE("http://www.spr.depen.pr.gov.br/centralvagas/exibirFoto.jpg?numProntuario=",$E430,"&amp;idImagem=2"),"FOTO 2")</f>
        <v>FOTO 2</v>
      </c>
      <c r="M430" s="199" t="str">
        <f>HYPERLINK(CONCATENATE("http://www.spr.depen.pr.gov.br/centralvagas/exibirFoto.jpg?numProntuario=",$E430,"&amp;idImagem=3"),"FOTO 3")</f>
        <v>FOTO 3</v>
      </c>
      <c r="N430" s="199" t="str">
        <f>HYPERLINK(CONCATENATE("http://www.spr.depen.pr.gov.br/centralvagas/exibirFoto.jpg?numProntuario=",$E430,"&amp;idImagem=4"),"FOTO 4")</f>
        <v>FOTO 4</v>
      </c>
      <c r="O430" s="199" t="str">
        <f>HYPERLINK(CONCATENATE("http://www.spr.depen.pr.gov.br/centralvagas/exibirFoto.jpg?numProntuario=",$E430,"&amp;idImagem=5"),"FOTO 5")</f>
        <v>FOTO 5</v>
      </c>
      <c r="P430" s="199" t="str">
        <f>HYPERLINK(CONCATENATE("http://www.spr.depen.pr.gov.br/centralvagas/exibirFoto.jpg?numProntuario=",$E430,"&amp;idImagem=6"),"FOTO 6")</f>
        <v>FOTO 6</v>
      </c>
    </row>
    <row r="431" spans="1:16" ht="14.1" customHeight="1" thickTop="1" thickBot="1">
      <c r="A431" s="571" t="s">
        <v>161</v>
      </c>
      <c r="B431" s="321"/>
      <c r="C431" s="116" t="s">
        <v>2448</v>
      </c>
      <c r="D431" s="130" t="s">
        <v>1667</v>
      </c>
      <c r="E431" s="117">
        <v>119320</v>
      </c>
      <c r="F431" s="116"/>
      <c r="G431" s="119"/>
      <c r="H431" s="140"/>
      <c r="I431" s="119"/>
      <c r="J431" s="116"/>
      <c r="K431" s="199" t="str">
        <f>HYPERLINK(CONCATENATE("http://www.spr.depen.pr.gov.br/centralvagas/exibirFoto.jpg?numProntuario=",$E431,"&amp;idImagem=1"),"FOTO 1")</f>
        <v>FOTO 1</v>
      </c>
      <c r="L431" s="199" t="str">
        <f>HYPERLINK(CONCATENATE("http://www.spr.depen.pr.gov.br/centralvagas/exibirFoto.jpg?numProntuario=",$E431,"&amp;idImagem=2"),"FOTO 2")</f>
        <v>FOTO 2</v>
      </c>
      <c r="M431" s="199" t="str">
        <f>HYPERLINK(CONCATENATE("http://www.spr.depen.pr.gov.br/centralvagas/exibirFoto.jpg?numProntuario=",$E431,"&amp;idImagem=3"),"FOTO 3")</f>
        <v>FOTO 3</v>
      </c>
      <c r="N431" s="199" t="str">
        <f>HYPERLINK(CONCATENATE("http://www.spr.depen.pr.gov.br/centralvagas/exibirFoto.jpg?numProntuario=",$E431,"&amp;idImagem=4"),"FOTO 4")</f>
        <v>FOTO 4</v>
      </c>
      <c r="O431" s="199" t="str">
        <f>HYPERLINK(CONCATENATE("http://www.spr.depen.pr.gov.br/centralvagas/exibirFoto.jpg?numProntuario=",$E431,"&amp;idImagem=5"),"FOTO 5")</f>
        <v>FOTO 5</v>
      </c>
      <c r="P431" s="199" t="str">
        <f>HYPERLINK(CONCATENATE("http://www.spr.depen.pr.gov.br/centralvagas/exibirFoto.jpg?numProntuario=",$E431,"&amp;idImagem=6"),"FOTO 6")</f>
        <v>FOTO 6</v>
      </c>
    </row>
    <row r="432" spans="1:16" ht="14.1" customHeight="1" thickTop="1" thickBot="1">
      <c r="A432" s="571" t="s">
        <v>161</v>
      </c>
      <c r="B432" s="147"/>
      <c r="C432" s="116" t="s">
        <v>2449</v>
      </c>
      <c r="D432" s="122" t="s">
        <v>2377</v>
      </c>
      <c r="E432" s="117">
        <v>140671</v>
      </c>
      <c r="F432" s="116"/>
      <c r="G432" s="119"/>
      <c r="H432" s="116"/>
      <c r="I432" s="119"/>
      <c r="J432" s="116"/>
      <c r="K432" s="199" t="str">
        <f>HYPERLINK(CONCATENATE("http://www.spr.depen.pr.gov.br/centralvagas/exibirFoto.jpg?numProntuario=",$E432,"&amp;idImagem=1"),"FOTO 1")</f>
        <v>FOTO 1</v>
      </c>
      <c r="L432" s="199" t="str">
        <f>HYPERLINK(CONCATENATE("http://www.spr.depen.pr.gov.br/centralvagas/exibirFoto.jpg?numProntuario=",$E432,"&amp;idImagem=2"),"FOTO 2")</f>
        <v>FOTO 2</v>
      </c>
      <c r="M432" s="199" t="str">
        <f>HYPERLINK(CONCATENATE("http://www.spr.depen.pr.gov.br/centralvagas/exibirFoto.jpg?numProntuario=",$E432,"&amp;idImagem=3"),"FOTO 3")</f>
        <v>FOTO 3</v>
      </c>
      <c r="N432" s="199" t="str">
        <f>HYPERLINK(CONCATENATE("http://www.spr.depen.pr.gov.br/centralvagas/exibirFoto.jpg?numProntuario=",$E432,"&amp;idImagem=4"),"FOTO 4")</f>
        <v>FOTO 4</v>
      </c>
      <c r="O432" s="199" t="str">
        <f>HYPERLINK(CONCATENATE("http://www.spr.depen.pr.gov.br/centralvagas/exibirFoto.jpg?numProntuario=",$E432,"&amp;idImagem=5"),"FOTO 5")</f>
        <v>FOTO 5</v>
      </c>
      <c r="P432" s="199" t="str">
        <f>HYPERLINK(CONCATENATE("http://www.spr.depen.pr.gov.br/centralvagas/exibirFoto.jpg?numProntuario=",$E432,"&amp;idImagem=6"),"FOTO 6")</f>
        <v>FOTO 6</v>
      </c>
    </row>
    <row r="433" spans="1:16" ht="14.1" customHeight="1" thickTop="1" thickBot="1">
      <c r="A433" s="571" t="s">
        <v>161</v>
      </c>
      <c r="B433" s="127"/>
      <c r="C433" s="116" t="s">
        <v>2449</v>
      </c>
      <c r="D433" s="130" t="s">
        <v>2047</v>
      </c>
      <c r="E433" s="117">
        <v>131704</v>
      </c>
      <c r="F433" s="116"/>
      <c r="G433" s="136"/>
      <c r="H433" s="132"/>
      <c r="I433" s="136"/>
      <c r="J433" s="116"/>
      <c r="K433" s="199" t="str">
        <f>HYPERLINK(CONCATENATE("http://www.spr.depen.pr.gov.br/centralvagas/exibirFoto.jpg?numProntuario=",$E433,"&amp;idImagem=1"),"FOTO 1")</f>
        <v>FOTO 1</v>
      </c>
      <c r="L433" s="199" t="str">
        <f>HYPERLINK(CONCATENATE("http://www.spr.depen.pr.gov.br/centralvagas/exibirFoto.jpg?numProntuario=",$E433,"&amp;idImagem=2"),"FOTO 2")</f>
        <v>FOTO 2</v>
      </c>
      <c r="M433" s="199" t="str">
        <f>HYPERLINK(CONCATENATE("http://www.spr.depen.pr.gov.br/centralvagas/exibirFoto.jpg?numProntuario=",$E433,"&amp;idImagem=3"),"FOTO 3")</f>
        <v>FOTO 3</v>
      </c>
      <c r="N433" s="199" t="str">
        <f>HYPERLINK(CONCATENATE("http://www.spr.depen.pr.gov.br/centralvagas/exibirFoto.jpg?numProntuario=",$E433,"&amp;idImagem=4"),"FOTO 4")</f>
        <v>FOTO 4</v>
      </c>
      <c r="O433" s="199" t="str">
        <f>HYPERLINK(CONCATENATE("http://www.spr.depen.pr.gov.br/centralvagas/exibirFoto.jpg?numProntuario=",$E433,"&amp;idImagem=5"),"FOTO 5")</f>
        <v>FOTO 5</v>
      </c>
      <c r="P433" s="199" t="str">
        <f>HYPERLINK(CONCATENATE("http://www.spr.depen.pr.gov.br/centralvagas/exibirFoto.jpg?numProntuario=",$E433,"&amp;idImagem=6"),"FOTO 6")</f>
        <v>FOTO 6</v>
      </c>
    </row>
    <row r="434" spans="1:16" ht="14.1" customHeight="1" thickTop="1" thickBot="1">
      <c r="A434" s="571" t="s">
        <v>161</v>
      </c>
      <c r="B434" s="127"/>
      <c r="C434" s="116" t="s">
        <v>2449</v>
      </c>
      <c r="D434" s="130" t="s">
        <v>3704</v>
      </c>
      <c r="E434" s="117">
        <v>63881</v>
      </c>
      <c r="F434" s="134"/>
      <c r="G434" s="135"/>
      <c r="H434" s="116"/>
      <c r="I434" s="135"/>
      <c r="J434" s="116"/>
      <c r="K434" s="199" t="str">
        <f>HYPERLINK(CONCATENATE("http://www.spr.depen.pr.gov.br/centralvagas/exibirFoto.jpg?numProntuario=",$E434,"&amp;idImagem=1"),"FOTO 1")</f>
        <v>FOTO 1</v>
      </c>
      <c r="L434" s="199" t="str">
        <f>HYPERLINK(CONCATENATE("http://www.spr.depen.pr.gov.br/centralvagas/exibirFoto.jpg?numProntuario=",$E434,"&amp;idImagem=2"),"FOTO 2")</f>
        <v>FOTO 2</v>
      </c>
      <c r="M434" s="199" t="str">
        <f>HYPERLINK(CONCATENATE("http://www.spr.depen.pr.gov.br/centralvagas/exibirFoto.jpg?numProntuario=",$E434,"&amp;idImagem=3"),"FOTO 3")</f>
        <v>FOTO 3</v>
      </c>
      <c r="N434" s="199" t="str">
        <f>HYPERLINK(CONCATENATE("http://www.spr.depen.pr.gov.br/centralvagas/exibirFoto.jpg?numProntuario=",$E434,"&amp;idImagem=4"),"FOTO 4")</f>
        <v>FOTO 4</v>
      </c>
      <c r="O434" s="199" t="str">
        <f>HYPERLINK(CONCATENATE("http://www.spr.depen.pr.gov.br/centralvagas/exibirFoto.jpg?numProntuario=",$E434,"&amp;idImagem=5"),"FOTO 5")</f>
        <v>FOTO 5</v>
      </c>
      <c r="P434" s="199" t="str">
        <f>HYPERLINK(CONCATENATE("http://www.spr.depen.pr.gov.br/centralvagas/exibirFoto.jpg?numProntuario=",$E434,"&amp;idImagem=6"),"FOTO 6")</f>
        <v>FOTO 6</v>
      </c>
    </row>
    <row r="435" spans="1:16" ht="14.1" customHeight="1" thickTop="1" thickBot="1">
      <c r="A435" s="571" t="s">
        <v>161</v>
      </c>
      <c r="B435" s="147"/>
      <c r="C435" s="116" t="s">
        <v>2449</v>
      </c>
      <c r="D435" s="129" t="s">
        <v>1720</v>
      </c>
      <c r="E435" s="117">
        <v>113255</v>
      </c>
      <c r="F435" s="116"/>
      <c r="G435" s="119"/>
      <c r="H435" s="116"/>
      <c r="I435" s="119"/>
      <c r="J435" s="132"/>
      <c r="K435" s="199" t="str">
        <f>HYPERLINK(CONCATENATE("http://www.spr.depen.pr.gov.br/centralvagas/exibirFoto.jpg?numProntuario=",$E435,"&amp;idImagem=1"),"FOTO 1")</f>
        <v>FOTO 1</v>
      </c>
      <c r="L435" s="199" t="str">
        <f>HYPERLINK(CONCATENATE("http://www.spr.depen.pr.gov.br/centralvagas/exibirFoto.jpg?numProntuario=",$E435,"&amp;idImagem=2"),"FOTO 2")</f>
        <v>FOTO 2</v>
      </c>
      <c r="M435" s="199" t="str">
        <f>HYPERLINK(CONCATENATE("http://www.spr.depen.pr.gov.br/centralvagas/exibirFoto.jpg?numProntuario=",$E435,"&amp;idImagem=3"),"FOTO 3")</f>
        <v>FOTO 3</v>
      </c>
      <c r="N435" s="199" t="str">
        <f>HYPERLINK(CONCATENATE("http://www.spr.depen.pr.gov.br/centralvagas/exibirFoto.jpg?numProntuario=",$E435,"&amp;idImagem=4"),"FOTO 4")</f>
        <v>FOTO 4</v>
      </c>
      <c r="O435" s="199" t="str">
        <f>HYPERLINK(CONCATENATE("http://www.spr.depen.pr.gov.br/centralvagas/exibirFoto.jpg?numProntuario=",$E435,"&amp;idImagem=5"),"FOTO 5")</f>
        <v>FOTO 5</v>
      </c>
      <c r="P435" s="199" t="str">
        <f>HYPERLINK(CONCATENATE("http://www.spr.depen.pr.gov.br/centralvagas/exibirFoto.jpg?numProntuario=",$E435,"&amp;idImagem=6"),"FOTO 6")</f>
        <v>FOTO 6</v>
      </c>
    </row>
    <row r="436" spans="1:16" ht="14.1" customHeight="1" thickTop="1" thickBot="1">
      <c r="A436" s="571" t="s">
        <v>161</v>
      </c>
      <c r="B436" s="127"/>
      <c r="C436" s="116" t="s">
        <v>2449</v>
      </c>
      <c r="D436" s="129" t="s">
        <v>2188</v>
      </c>
      <c r="E436" s="117">
        <v>142868</v>
      </c>
      <c r="F436" s="116"/>
      <c r="G436" s="119"/>
      <c r="H436" s="116"/>
      <c r="I436" s="119"/>
      <c r="J436" s="116"/>
      <c r="K436" s="199" t="str">
        <f>HYPERLINK(CONCATENATE("http://www.spr.depen.pr.gov.br/centralvagas/exibirFoto.jpg?numProntuario=",$E436,"&amp;idImagem=1"),"FOTO 1")</f>
        <v>FOTO 1</v>
      </c>
      <c r="L436" s="199" t="str">
        <f>HYPERLINK(CONCATENATE("http://www.spr.depen.pr.gov.br/centralvagas/exibirFoto.jpg?numProntuario=",$E436,"&amp;idImagem=2"),"FOTO 2")</f>
        <v>FOTO 2</v>
      </c>
      <c r="M436" s="199" t="str">
        <f>HYPERLINK(CONCATENATE("http://www.spr.depen.pr.gov.br/centralvagas/exibirFoto.jpg?numProntuario=",$E436,"&amp;idImagem=3"),"FOTO 3")</f>
        <v>FOTO 3</v>
      </c>
      <c r="N436" s="199" t="str">
        <f>HYPERLINK(CONCATENATE("http://www.spr.depen.pr.gov.br/centralvagas/exibirFoto.jpg?numProntuario=",$E436,"&amp;idImagem=4"),"FOTO 4")</f>
        <v>FOTO 4</v>
      </c>
      <c r="O436" s="199" t="str">
        <f>HYPERLINK(CONCATENATE("http://www.spr.depen.pr.gov.br/centralvagas/exibirFoto.jpg?numProntuario=",$E436,"&amp;idImagem=5"),"FOTO 5")</f>
        <v>FOTO 5</v>
      </c>
      <c r="P436" s="199" t="str">
        <f>HYPERLINK(CONCATENATE("http://www.spr.depen.pr.gov.br/centralvagas/exibirFoto.jpg?numProntuario=",$E436,"&amp;idImagem=6"),"FOTO 6")</f>
        <v>FOTO 6</v>
      </c>
    </row>
    <row r="437" spans="1:16" ht="14.1" customHeight="1" thickTop="1" thickBot="1">
      <c r="A437" s="571" t="s">
        <v>161</v>
      </c>
      <c r="B437" s="419"/>
      <c r="C437" s="116" t="s">
        <v>2394</v>
      </c>
      <c r="D437" s="130" t="s">
        <v>527</v>
      </c>
      <c r="E437" s="117">
        <v>7004</v>
      </c>
      <c r="F437" s="116"/>
      <c r="G437" s="119"/>
      <c r="H437" s="116"/>
      <c r="I437" s="119"/>
      <c r="J437" s="116"/>
      <c r="K437" s="199" t="str">
        <f>HYPERLINK(CONCATENATE("http://www.spr.depen.pr.gov.br/centralvagas/exibirFoto.jpg?numProntuario=",$E437,"&amp;idImagem=1"),"FOTO 1")</f>
        <v>FOTO 1</v>
      </c>
      <c r="L437" s="199" t="str">
        <f>HYPERLINK(CONCATENATE("http://www.spr.depen.pr.gov.br/centralvagas/exibirFoto.jpg?numProntuario=",$E437,"&amp;idImagem=2"),"FOTO 2")</f>
        <v>FOTO 2</v>
      </c>
      <c r="M437" s="199" t="str">
        <f>HYPERLINK(CONCATENATE("http://www.spr.depen.pr.gov.br/centralvagas/exibirFoto.jpg?numProntuario=",$E437,"&amp;idImagem=3"),"FOTO 3")</f>
        <v>FOTO 3</v>
      </c>
      <c r="N437" s="199" t="str">
        <f>HYPERLINK(CONCATENATE("http://www.spr.depen.pr.gov.br/centralvagas/exibirFoto.jpg?numProntuario=",$E437,"&amp;idImagem=4"),"FOTO 4")</f>
        <v>FOTO 4</v>
      </c>
      <c r="O437" s="199" t="str">
        <f>HYPERLINK(CONCATENATE("http://www.spr.depen.pr.gov.br/centralvagas/exibirFoto.jpg?numProntuario=",$E437,"&amp;idImagem=5"),"FOTO 5")</f>
        <v>FOTO 5</v>
      </c>
      <c r="P437" s="199" t="str">
        <f>HYPERLINK(CONCATENATE("http://www.spr.depen.pr.gov.br/centralvagas/exibirFoto.jpg?numProntuario=",$E437,"&amp;idImagem=6"),"FOTO 6")</f>
        <v>FOTO 6</v>
      </c>
    </row>
    <row r="438" spans="1:16" ht="14.1" customHeight="1" thickTop="1" thickBot="1">
      <c r="A438" s="571" t="s">
        <v>161</v>
      </c>
      <c r="B438" s="419"/>
      <c r="C438" s="116" t="s">
        <v>2394</v>
      </c>
      <c r="D438" s="129" t="s">
        <v>2500</v>
      </c>
      <c r="E438" s="117">
        <v>142545</v>
      </c>
      <c r="F438" s="116"/>
      <c r="G438" s="119"/>
      <c r="H438" s="116"/>
      <c r="I438" s="119"/>
      <c r="J438" s="116"/>
      <c r="K438" s="199" t="str">
        <f>HYPERLINK(CONCATENATE("http://www.spr.depen.pr.gov.br/centralvagas/exibirFoto.jpg?numProntuario=",$E438,"&amp;idImagem=1"),"FOTO 1")</f>
        <v>FOTO 1</v>
      </c>
      <c r="L438" s="199" t="str">
        <f>HYPERLINK(CONCATENATE("http://www.spr.depen.pr.gov.br/centralvagas/exibirFoto.jpg?numProntuario=",$E438,"&amp;idImagem=2"),"FOTO 2")</f>
        <v>FOTO 2</v>
      </c>
      <c r="M438" s="199" t="str">
        <f>HYPERLINK(CONCATENATE("http://www.spr.depen.pr.gov.br/centralvagas/exibirFoto.jpg?numProntuario=",$E438,"&amp;idImagem=3"),"FOTO 3")</f>
        <v>FOTO 3</v>
      </c>
      <c r="N438" s="199" t="str">
        <f>HYPERLINK(CONCATENATE("http://www.spr.depen.pr.gov.br/centralvagas/exibirFoto.jpg?numProntuario=",$E438,"&amp;idImagem=4"),"FOTO 4")</f>
        <v>FOTO 4</v>
      </c>
      <c r="O438" s="199" t="str">
        <f>HYPERLINK(CONCATENATE("http://www.spr.depen.pr.gov.br/centralvagas/exibirFoto.jpg?numProntuario=",$E438,"&amp;idImagem=5"),"FOTO 5")</f>
        <v>FOTO 5</v>
      </c>
      <c r="P438" s="199" t="str">
        <f>HYPERLINK(CONCATENATE("http://www.spr.depen.pr.gov.br/centralvagas/exibirFoto.jpg?numProntuario=",$E438,"&amp;idImagem=6"),"FOTO 6")</f>
        <v>FOTO 6</v>
      </c>
    </row>
    <row r="439" spans="1:16" ht="14.1" customHeight="1" thickTop="1" thickBot="1">
      <c r="A439" s="571" t="s">
        <v>161</v>
      </c>
      <c r="B439" s="419"/>
      <c r="C439" s="116" t="s">
        <v>2394</v>
      </c>
      <c r="D439" s="130" t="s">
        <v>3596</v>
      </c>
      <c r="E439" s="117">
        <v>119629</v>
      </c>
      <c r="F439" s="116"/>
      <c r="G439" s="119"/>
      <c r="H439" s="132"/>
      <c r="I439" s="119"/>
      <c r="J439" s="116"/>
      <c r="K439" s="199" t="str">
        <f>HYPERLINK(CONCATENATE("http://www.spr.depen.pr.gov.br/centralvagas/exibirFoto.jpg?numProntuario=",$E439,"&amp;idImagem=1"),"FOTO 1")</f>
        <v>FOTO 1</v>
      </c>
      <c r="L439" s="199" t="str">
        <f>HYPERLINK(CONCATENATE("http://www.spr.depen.pr.gov.br/centralvagas/exibirFoto.jpg?numProntuario=",$E439,"&amp;idImagem=2"),"FOTO 2")</f>
        <v>FOTO 2</v>
      </c>
      <c r="M439" s="199" t="str">
        <f>HYPERLINK(CONCATENATE("http://www.spr.depen.pr.gov.br/centralvagas/exibirFoto.jpg?numProntuario=",$E439,"&amp;idImagem=3"),"FOTO 3")</f>
        <v>FOTO 3</v>
      </c>
      <c r="N439" s="199" t="str">
        <f>HYPERLINK(CONCATENATE("http://www.spr.depen.pr.gov.br/centralvagas/exibirFoto.jpg?numProntuario=",$E439,"&amp;idImagem=4"),"FOTO 4")</f>
        <v>FOTO 4</v>
      </c>
      <c r="O439" s="199" t="str">
        <f>HYPERLINK(CONCATENATE("http://www.spr.depen.pr.gov.br/centralvagas/exibirFoto.jpg?numProntuario=",$E439,"&amp;idImagem=5"),"FOTO 5")</f>
        <v>FOTO 5</v>
      </c>
      <c r="P439" s="199" t="str">
        <f>HYPERLINK(CONCATENATE("http://www.spr.depen.pr.gov.br/centralvagas/exibirFoto.jpg?numProntuario=",$E439,"&amp;idImagem=6"),"FOTO 6")</f>
        <v>FOTO 6</v>
      </c>
    </row>
    <row r="440" spans="1:16" ht="14.1" customHeight="1" thickTop="1" thickBot="1">
      <c r="A440" s="573" t="s">
        <v>161</v>
      </c>
      <c r="B440" s="419"/>
      <c r="C440" s="116" t="s">
        <v>2394</v>
      </c>
      <c r="D440" s="131" t="s">
        <v>3705</v>
      </c>
      <c r="E440" s="117">
        <v>63810</v>
      </c>
      <c r="F440" s="116"/>
      <c r="G440" s="119"/>
      <c r="H440" s="116"/>
      <c r="I440" s="119"/>
      <c r="J440" s="132"/>
      <c r="K440" s="199" t="str">
        <f>HYPERLINK(CONCATENATE("http://www.spr.depen.pr.gov.br/centralvagas/exibirFoto.jpg?numProntuario=",$E440,"&amp;idImagem=1"),"FOTO 1")</f>
        <v>FOTO 1</v>
      </c>
      <c r="L440" s="199" t="str">
        <f>HYPERLINK(CONCATENATE("http://www.spr.depen.pr.gov.br/centralvagas/exibirFoto.jpg?numProntuario=",$E440,"&amp;idImagem=2"),"FOTO 2")</f>
        <v>FOTO 2</v>
      </c>
      <c r="M440" s="199" t="str">
        <f>HYPERLINK(CONCATENATE("http://www.spr.depen.pr.gov.br/centralvagas/exibirFoto.jpg?numProntuario=",$E440,"&amp;idImagem=3"),"FOTO 3")</f>
        <v>FOTO 3</v>
      </c>
      <c r="N440" s="199" t="str">
        <f>HYPERLINK(CONCATENATE("http://www.spr.depen.pr.gov.br/centralvagas/exibirFoto.jpg?numProntuario=",$E440,"&amp;idImagem=4"),"FOTO 4")</f>
        <v>FOTO 4</v>
      </c>
      <c r="O440" s="199" t="str">
        <f>HYPERLINK(CONCATENATE("http://www.spr.depen.pr.gov.br/centralvagas/exibirFoto.jpg?numProntuario=",$E440,"&amp;idImagem=5"),"FOTO 5")</f>
        <v>FOTO 5</v>
      </c>
      <c r="P440" s="199" t="str">
        <f>HYPERLINK(CONCATENATE("http://www.spr.depen.pr.gov.br/centralvagas/exibirFoto.jpg?numProntuario=",$E440,"&amp;idImagem=6"),"FOTO 6")</f>
        <v>FOTO 6</v>
      </c>
    </row>
    <row r="441" spans="1:16" ht="14.1" customHeight="1" thickTop="1" thickBot="1">
      <c r="A441" s="571" t="s">
        <v>161</v>
      </c>
      <c r="B441" s="438"/>
      <c r="C441" s="116" t="s">
        <v>2394</v>
      </c>
      <c r="D441" s="122" t="s">
        <v>2337</v>
      </c>
      <c r="E441" s="117">
        <v>135679</v>
      </c>
      <c r="F441" s="116"/>
      <c r="G441" s="119"/>
      <c r="H441" s="132"/>
      <c r="I441" s="119"/>
      <c r="J441" s="132"/>
      <c r="K441" s="199" t="str">
        <f>HYPERLINK(CONCATENATE("http://www.spr.depen.pr.gov.br/centralvagas/exibirFoto.jpg?numProntuario=",$E441,"&amp;idImagem=1"),"FOTO 1")</f>
        <v>FOTO 1</v>
      </c>
      <c r="L441" s="199" t="str">
        <f>HYPERLINK(CONCATENATE("http://www.spr.depen.pr.gov.br/centralvagas/exibirFoto.jpg?numProntuario=",$E441,"&amp;idImagem=2"),"FOTO 2")</f>
        <v>FOTO 2</v>
      </c>
      <c r="M441" s="199" t="str">
        <f>HYPERLINK(CONCATENATE("http://www.spr.depen.pr.gov.br/centralvagas/exibirFoto.jpg?numProntuario=",$E441,"&amp;idImagem=3"),"FOTO 3")</f>
        <v>FOTO 3</v>
      </c>
      <c r="N441" s="199" t="str">
        <f>HYPERLINK(CONCATENATE("http://www.spr.depen.pr.gov.br/centralvagas/exibirFoto.jpg?numProntuario=",$E441,"&amp;idImagem=4"),"FOTO 4")</f>
        <v>FOTO 4</v>
      </c>
      <c r="O441" s="199" t="str">
        <f>HYPERLINK(CONCATENATE("http://www.spr.depen.pr.gov.br/centralvagas/exibirFoto.jpg?numProntuario=",$E441,"&amp;idImagem=5"),"FOTO 5")</f>
        <v>FOTO 5</v>
      </c>
      <c r="P441" s="199" t="str">
        <f>HYPERLINK(CONCATENATE("http://www.spr.depen.pr.gov.br/centralvagas/exibirFoto.jpg?numProntuario=",$E441,"&amp;idImagem=6"),"FOTO 6")</f>
        <v>FOTO 6</v>
      </c>
    </row>
    <row r="442" spans="1:16" ht="14.1" customHeight="1" thickTop="1" thickBot="1">
      <c r="A442" s="571" t="s">
        <v>161</v>
      </c>
      <c r="B442" s="127"/>
      <c r="C442" s="116" t="s">
        <v>2405</v>
      </c>
      <c r="D442" s="130" t="s">
        <v>2046</v>
      </c>
      <c r="E442" s="117">
        <v>125459</v>
      </c>
      <c r="F442" s="116"/>
      <c r="G442" s="119"/>
      <c r="H442" s="116"/>
      <c r="I442" s="119"/>
      <c r="J442" s="132"/>
      <c r="K442" s="199" t="str">
        <f>HYPERLINK(CONCATENATE("http://www.spr.depen.pr.gov.br/centralvagas/exibirFoto.jpg?numProntuario=",$E442,"&amp;idImagem=1"),"FOTO 1")</f>
        <v>FOTO 1</v>
      </c>
      <c r="L442" s="199" t="str">
        <f>HYPERLINK(CONCATENATE("http://www.spr.depen.pr.gov.br/centralvagas/exibirFoto.jpg?numProntuario=",$E442,"&amp;idImagem=2"),"FOTO 2")</f>
        <v>FOTO 2</v>
      </c>
      <c r="M442" s="199" t="str">
        <f>HYPERLINK(CONCATENATE("http://www.spr.depen.pr.gov.br/centralvagas/exibirFoto.jpg?numProntuario=",$E442,"&amp;idImagem=3"),"FOTO 3")</f>
        <v>FOTO 3</v>
      </c>
      <c r="N442" s="199" t="str">
        <f>HYPERLINK(CONCATENATE("http://www.spr.depen.pr.gov.br/centralvagas/exibirFoto.jpg?numProntuario=",$E442,"&amp;idImagem=4"),"FOTO 4")</f>
        <v>FOTO 4</v>
      </c>
      <c r="O442" s="199" t="str">
        <f>HYPERLINK(CONCATENATE("http://www.spr.depen.pr.gov.br/centralvagas/exibirFoto.jpg?numProntuario=",$E442,"&amp;idImagem=5"),"FOTO 5")</f>
        <v>FOTO 5</v>
      </c>
      <c r="P442" s="199" t="str">
        <f>HYPERLINK(CONCATENATE("http://www.spr.depen.pr.gov.br/centralvagas/exibirFoto.jpg?numProntuario=",$E442,"&amp;idImagem=6"),"FOTO 6")</f>
        <v>FOTO 6</v>
      </c>
    </row>
    <row r="443" spans="1:16" ht="14.1" customHeight="1" thickTop="1" thickBot="1">
      <c r="A443" s="571" t="s">
        <v>161</v>
      </c>
      <c r="B443" s="143"/>
      <c r="C443" s="116" t="s">
        <v>2405</v>
      </c>
      <c r="D443" s="122" t="s">
        <v>2780</v>
      </c>
      <c r="E443" s="117">
        <v>28401</v>
      </c>
      <c r="F443" s="116"/>
      <c r="G443" s="119"/>
      <c r="H443" s="116"/>
      <c r="I443" s="119"/>
      <c r="J443" s="116"/>
      <c r="K443" s="199" t="str">
        <f>HYPERLINK(CONCATENATE("http://www.spr.depen.pr.gov.br/centralvagas/exibirFoto.jpg?numProntuario=",$E443,"&amp;idImagem=1"),"FOTO 1")</f>
        <v>FOTO 1</v>
      </c>
      <c r="L443" s="199" t="str">
        <f>HYPERLINK(CONCATENATE("http://www.spr.depen.pr.gov.br/centralvagas/exibirFoto.jpg?numProntuario=",$E443,"&amp;idImagem=2"),"FOTO 2")</f>
        <v>FOTO 2</v>
      </c>
      <c r="M443" s="199" t="str">
        <f>HYPERLINK(CONCATENATE("http://www.spr.depen.pr.gov.br/centralvagas/exibirFoto.jpg?numProntuario=",$E443,"&amp;idImagem=3"),"FOTO 3")</f>
        <v>FOTO 3</v>
      </c>
      <c r="N443" s="199" t="str">
        <f>HYPERLINK(CONCATENATE("http://www.spr.depen.pr.gov.br/centralvagas/exibirFoto.jpg?numProntuario=",$E443,"&amp;idImagem=4"),"FOTO 4")</f>
        <v>FOTO 4</v>
      </c>
      <c r="O443" s="199" t="str">
        <f>HYPERLINK(CONCATENATE("http://www.spr.depen.pr.gov.br/centralvagas/exibirFoto.jpg?numProntuario=",$E443,"&amp;idImagem=5"),"FOTO 5")</f>
        <v>FOTO 5</v>
      </c>
      <c r="P443" s="199" t="str">
        <f>HYPERLINK(CONCATENATE("http://www.spr.depen.pr.gov.br/centralvagas/exibirFoto.jpg?numProntuario=",$E443,"&amp;idImagem=6"),"FOTO 6")</f>
        <v>FOTO 6</v>
      </c>
    </row>
    <row r="444" spans="1:16" ht="14.1" customHeight="1" thickTop="1" thickBot="1">
      <c r="A444" s="572" t="s">
        <v>161</v>
      </c>
      <c r="B444" s="143"/>
      <c r="C444" s="118" t="s">
        <v>2405</v>
      </c>
      <c r="D444" s="122" t="s">
        <v>2645</v>
      </c>
      <c r="E444" s="117">
        <v>108306</v>
      </c>
      <c r="F444" s="243"/>
      <c r="G444" s="244"/>
      <c r="H444" s="116"/>
      <c r="I444" s="119"/>
      <c r="J444" s="116"/>
      <c r="K444" s="199" t="str">
        <f>HYPERLINK(CONCATENATE("http://www.spr.depen.pr.gov.br/centralvagas/exibirFoto.jpg?numProntuario=",$E444,"&amp;idImagem=1"),"FOTO 1")</f>
        <v>FOTO 1</v>
      </c>
      <c r="L444" s="199" t="str">
        <f>HYPERLINK(CONCATENATE("http://www.spr.depen.pr.gov.br/centralvagas/exibirFoto.jpg?numProntuario=",$E444,"&amp;idImagem=2"),"FOTO 2")</f>
        <v>FOTO 2</v>
      </c>
      <c r="M444" s="199" t="str">
        <f>HYPERLINK(CONCATENATE("http://www.spr.depen.pr.gov.br/centralvagas/exibirFoto.jpg?numProntuario=",$E444,"&amp;idImagem=3"),"FOTO 3")</f>
        <v>FOTO 3</v>
      </c>
      <c r="N444" s="199" t="str">
        <f>HYPERLINK(CONCATENATE("http://www.spr.depen.pr.gov.br/centralvagas/exibirFoto.jpg?numProntuario=",$E444,"&amp;idImagem=4"),"FOTO 4")</f>
        <v>FOTO 4</v>
      </c>
      <c r="O444" s="199" t="str">
        <f>HYPERLINK(CONCATENATE("http://www.spr.depen.pr.gov.br/centralvagas/exibirFoto.jpg?numProntuario=",$E444,"&amp;idImagem=5"),"FOTO 5")</f>
        <v>FOTO 5</v>
      </c>
      <c r="P444" s="199" t="str">
        <f>HYPERLINK(CONCATENATE("http://www.spr.depen.pr.gov.br/centralvagas/exibirFoto.jpg?numProntuario=",$E444,"&amp;idImagem=6"),"FOTO 6")</f>
        <v>FOTO 6</v>
      </c>
    </row>
    <row r="445" spans="1:16" ht="14.1" customHeight="1" thickTop="1" thickBot="1">
      <c r="A445" s="573" t="s">
        <v>161</v>
      </c>
      <c r="B445" s="245"/>
      <c r="C445" s="118" t="s">
        <v>2405</v>
      </c>
      <c r="D445" s="131" t="s">
        <v>3616</v>
      </c>
      <c r="E445" s="117"/>
      <c r="F445" s="116"/>
      <c r="G445" s="119"/>
      <c r="H445" s="116"/>
      <c r="I445" s="119"/>
      <c r="J445" s="132"/>
      <c r="K445" s="199"/>
      <c r="L445" s="199"/>
      <c r="M445" s="199"/>
      <c r="N445" s="199"/>
      <c r="O445" s="199"/>
      <c r="P445" s="199"/>
    </row>
    <row r="446" spans="1:16" ht="14.1" customHeight="1" thickTop="1" thickBot="1">
      <c r="A446" s="571" t="s">
        <v>161</v>
      </c>
      <c r="B446" s="127"/>
      <c r="C446" s="116" t="s">
        <v>2405</v>
      </c>
      <c r="D446" s="130" t="s">
        <v>3706</v>
      </c>
      <c r="E446" s="466">
        <v>106934</v>
      </c>
      <c r="F446" s="133"/>
      <c r="G446" s="119"/>
      <c r="H446" s="116"/>
      <c r="I446" s="119"/>
      <c r="J446" s="116"/>
      <c r="K446" s="199" t="str">
        <f>HYPERLINK(CONCATENATE("http://www.spr.depen.pr.gov.br/centralvagas/exibirFoto.jpg?numProntuario=",$E446,"&amp;idImagem=1"),"FOTO 1")</f>
        <v>FOTO 1</v>
      </c>
      <c r="L446" s="199" t="str">
        <f>HYPERLINK(CONCATENATE("http://www.spr.depen.pr.gov.br/centralvagas/exibirFoto.jpg?numProntuario=",$E446,"&amp;idImagem=2"),"FOTO 2")</f>
        <v>FOTO 2</v>
      </c>
      <c r="M446" s="199" t="str">
        <f>HYPERLINK(CONCATENATE("http://www.spr.depen.pr.gov.br/centralvagas/exibirFoto.jpg?numProntuario=",$E446,"&amp;idImagem=3"),"FOTO 3")</f>
        <v>FOTO 3</v>
      </c>
      <c r="N446" s="199" t="str">
        <f>HYPERLINK(CONCATENATE("http://www.spr.depen.pr.gov.br/centralvagas/exibirFoto.jpg?numProntuario=",$E446,"&amp;idImagem=4"),"FOTO 4")</f>
        <v>FOTO 4</v>
      </c>
      <c r="O446" s="199" t="str">
        <f>HYPERLINK(CONCATENATE("http://www.spr.depen.pr.gov.br/centralvagas/exibirFoto.jpg?numProntuario=",$E446,"&amp;idImagem=5"),"FOTO 5")</f>
        <v>FOTO 5</v>
      </c>
      <c r="P446" s="199" t="str">
        <f>HYPERLINK(CONCATENATE("http://www.spr.depen.pr.gov.br/centralvagas/exibirFoto.jpg?numProntuario=",$E446,"&amp;idImagem=6"),"FOTO 6")</f>
        <v>FOTO 6</v>
      </c>
    </row>
    <row r="447" spans="1:16" ht="14.1" customHeight="1" thickTop="1" thickBot="1">
      <c r="A447" s="605" t="s">
        <v>161</v>
      </c>
      <c r="B447" s="419"/>
      <c r="C447" s="118" t="s">
        <v>48</v>
      </c>
      <c r="D447" s="122" t="s">
        <v>2330</v>
      </c>
      <c r="E447" s="144">
        <v>156138</v>
      </c>
      <c r="F447" s="118"/>
      <c r="G447" s="119"/>
      <c r="H447" s="116"/>
      <c r="I447" s="119"/>
      <c r="J447" s="116"/>
      <c r="K447" s="199" t="str">
        <f>HYPERLINK(CONCATENATE("http://www.spr.depen.pr.gov.br/centralvagas/exibirFoto.jpg?numProntuario=",$E447,"&amp;idImagem=1"),"FOTO 1")</f>
        <v>FOTO 1</v>
      </c>
      <c r="L447" s="199" t="str">
        <f>HYPERLINK(CONCATENATE("http://www.spr.depen.pr.gov.br/centralvagas/exibirFoto.jpg?numProntuario=",$E447,"&amp;idImagem=2"),"FOTO 2")</f>
        <v>FOTO 2</v>
      </c>
      <c r="M447" s="199" t="str">
        <f>HYPERLINK(CONCATENATE("http://www.spr.depen.pr.gov.br/centralvagas/exibirFoto.jpg?numProntuario=",$E447,"&amp;idImagem=3"),"FOTO 3")</f>
        <v>FOTO 3</v>
      </c>
      <c r="N447" s="199" t="str">
        <f>HYPERLINK(CONCATENATE("http://www.spr.depen.pr.gov.br/centralvagas/exibirFoto.jpg?numProntuario=",$E447,"&amp;idImagem=4"),"FOTO 4")</f>
        <v>FOTO 4</v>
      </c>
      <c r="O447" s="199" t="str">
        <f>HYPERLINK(CONCATENATE("http://www.spr.depen.pr.gov.br/centralvagas/exibirFoto.jpg?numProntuario=",$E447,"&amp;idImagem=5"),"FOTO 5")</f>
        <v>FOTO 5</v>
      </c>
      <c r="P447" s="199" t="str">
        <f>HYPERLINK(CONCATENATE("http://www.spr.depen.pr.gov.br/centralvagas/exibirFoto.jpg?numProntuario=",$E447,"&amp;idImagem=6"),"FOTO 6")</f>
        <v>FOTO 6</v>
      </c>
    </row>
    <row r="448" spans="1:16" ht="14.1" customHeight="1" thickTop="1" thickBot="1">
      <c r="A448" s="579" t="s">
        <v>3720</v>
      </c>
      <c r="B448" s="578">
        <v>44151</v>
      </c>
      <c r="C448" s="446" t="s">
        <v>48</v>
      </c>
      <c r="D448" s="447" t="s">
        <v>2423</v>
      </c>
      <c r="E448" s="448">
        <v>141376</v>
      </c>
      <c r="F448" s="123"/>
      <c r="G448" s="119"/>
      <c r="H448" s="116"/>
      <c r="I448" s="119"/>
      <c r="J448" s="116"/>
      <c r="K448" s="199" t="str">
        <f>HYPERLINK(CONCATENATE("http://www.spr.depen.pr.gov.br/centralvagas/exibirFoto.jpg?numProntuario=",$E448,"&amp;idImagem=1"),"FOTO 1")</f>
        <v>FOTO 1</v>
      </c>
      <c r="L448" s="199" t="str">
        <f>HYPERLINK(CONCATENATE("http://www.spr.depen.pr.gov.br/centralvagas/exibirFoto.jpg?numProntuario=",$E448,"&amp;idImagem=2"),"FOTO 2")</f>
        <v>FOTO 2</v>
      </c>
      <c r="M448" s="199" t="str">
        <f>HYPERLINK(CONCATENATE("http://www.spr.depen.pr.gov.br/centralvagas/exibirFoto.jpg?numProntuario=",$E448,"&amp;idImagem=3"),"FOTO 3")</f>
        <v>FOTO 3</v>
      </c>
      <c r="N448" s="199" t="str">
        <f>HYPERLINK(CONCATENATE("http://www.spr.depen.pr.gov.br/centralvagas/exibirFoto.jpg?numProntuario=",$E448,"&amp;idImagem=4"),"FOTO 4")</f>
        <v>FOTO 4</v>
      </c>
      <c r="O448" s="199" t="str">
        <f>HYPERLINK(CONCATENATE("http://www.spr.depen.pr.gov.br/centralvagas/exibirFoto.jpg?numProntuario=",$E448,"&amp;idImagem=5"),"FOTO 5")</f>
        <v>FOTO 5</v>
      </c>
      <c r="P448" s="199" t="str">
        <f>HYPERLINK(CONCATENATE("http://www.spr.depen.pr.gov.br/centralvagas/exibirFoto.jpg?numProntuario=",$E448,"&amp;idImagem=6"),"FOTO 6")</f>
        <v>FOTO 6</v>
      </c>
    </row>
    <row r="449" spans="1:16" ht="14.1" customHeight="1" thickTop="1" thickBot="1">
      <c r="A449" s="605" t="s">
        <v>161</v>
      </c>
      <c r="B449" s="419"/>
      <c r="C449" s="118" t="s">
        <v>48</v>
      </c>
      <c r="D449" s="122" t="s">
        <v>2145</v>
      </c>
      <c r="E449" s="144">
        <v>102441</v>
      </c>
      <c r="F449" s="116"/>
      <c r="G449" s="119"/>
      <c r="H449" s="116"/>
      <c r="I449" s="119"/>
      <c r="J449" s="116"/>
      <c r="K449" s="199" t="str">
        <f>HYPERLINK(CONCATENATE("http://www.spr.depen.pr.gov.br/centralvagas/exibirFoto.jpg?numProntuario=",$E449,"&amp;idImagem=1"),"FOTO 1")</f>
        <v>FOTO 1</v>
      </c>
      <c r="L449" s="199" t="str">
        <f>HYPERLINK(CONCATENATE("http://www.spr.depen.pr.gov.br/centralvagas/exibirFoto.jpg?numProntuario=",$E449,"&amp;idImagem=2"),"FOTO 2")</f>
        <v>FOTO 2</v>
      </c>
      <c r="M449" s="199" t="str">
        <f>HYPERLINK(CONCATENATE("http://www.spr.depen.pr.gov.br/centralvagas/exibirFoto.jpg?numProntuario=",$E449,"&amp;idImagem=3"),"FOTO 3")</f>
        <v>FOTO 3</v>
      </c>
      <c r="N449" s="199" t="str">
        <f>HYPERLINK(CONCATENATE("http://www.spr.depen.pr.gov.br/centralvagas/exibirFoto.jpg?numProntuario=",$E449,"&amp;idImagem=4"),"FOTO 4")</f>
        <v>FOTO 4</v>
      </c>
      <c r="O449" s="199" t="str">
        <f>HYPERLINK(CONCATENATE("http://www.spr.depen.pr.gov.br/centralvagas/exibirFoto.jpg?numProntuario=",$E449,"&amp;idImagem=5"),"FOTO 5")</f>
        <v>FOTO 5</v>
      </c>
      <c r="P449" s="199" t="str">
        <f>HYPERLINK(CONCATENATE("http://www.spr.depen.pr.gov.br/centralvagas/exibirFoto.jpg?numProntuario=",$E449,"&amp;idImagem=6"),"FOTO 6")</f>
        <v>FOTO 6</v>
      </c>
    </row>
    <row r="450" spans="1:16" ht="14.1" customHeight="1" thickTop="1" thickBot="1">
      <c r="A450" s="605" t="s">
        <v>161</v>
      </c>
      <c r="B450" s="419"/>
      <c r="C450" s="118" t="s">
        <v>48</v>
      </c>
      <c r="D450" s="122" t="s">
        <v>2017</v>
      </c>
      <c r="E450" s="144">
        <v>14680</v>
      </c>
      <c r="F450" s="116"/>
      <c r="G450" s="136"/>
      <c r="H450" s="116"/>
      <c r="I450" s="136"/>
      <c r="J450" s="116"/>
      <c r="K450" s="199" t="str">
        <f>HYPERLINK(CONCATENATE("http://www.spr.depen.pr.gov.br/centralvagas/exibirFoto.jpg?numProntuario=",$E450,"&amp;idImagem=1"),"FOTO 1")</f>
        <v>FOTO 1</v>
      </c>
      <c r="L450" s="199" t="str">
        <f>HYPERLINK(CONCATENATE("http://www.spr.depen.pr.gov.br/centralvagas/exibirFoto.jpg?numProntuario=",$E450,"&amp;idImagem=2"),"FOTO 2")</f>
        <v>FOTO 2</v>
      </c>
      <c r="M450" s="199" t="str">
        <f>HYPERLINK(CONCATENATE("http://www.spr.depen.pr.gov.br/centralvagas/exibirFoto.jpg?numProntuario=",$E450,"&amp;idImagem=3"),"FOTO 3")</f>
        <v>FOTO 3</v>
      </c>
      <c r="N450" s="199" t="str">
        <f>HYPERLINK(CONCATENATE("http://www.spr.depen.pr.gov.br/centralvagas/exibirFoto.jpg?numProntuario=",$E450,"&amp;idImagem=4"),"FOTO 4")</f>
        <v>FOTO 4</v>
      </c>
      <c r="O450" s="199" t="str">
        <f>HYPERLINK(CONCATENATE("http://www.spr.depen.pr.gov.br/centralvagas/exibirFoto.jpg?numProntuario=",$E450,"&amp;idImagem=5"),"FOTO 5")</f>
        <v>FOTO 5</v>
      </c>
      <c r="P450" s="199" t="str">
        <f>HYPERLINK(CONCATENATE("http://www.spr.depen.pr.gov.br/centralvagas/exibirFoto.jpg?numProntuario=",$E450,"&amp;idImagem=6"),"FOTO 6")</f>
        <v>FOTO 6</v>
      </c>
    </row>
    <row r="451" spans="1:16" ht="14.1" customHeight="1" thickTop="1" thickBot="1">
      <c r="A451" s="605" t="s">
        <v>161</v>
      </c>
      <c r="B451" s="419"/>
      <c r="C451" s="118" t="s">
        <v>48</v>
      </c>
      <c r="D451" s="122" t="s">
        <v>2428</v>
      </c>
      <c r="E451" s="144">
        <v>21521</v>
      </c>
      <c r="F451" s="116"/>
      <c r="G451" s="119"/>
      <c r="H451" s="116"/>
      <c r="I451" s="119"/>
      <c r="J451" s="116"/>
      <c r="K451" s="199" t="str">
        <f>HYPERLINK(CONCATENATE("http://www.spr.depen.pr.gov.br/centralvagas/exibirFoto.jpg?numProntuario=",$E451,"&amp;idImagem=1"),"FOTO 1")</f>
        <v>FOTO 1</v>
      </c>
      <c r="L451" s="199" t="str">
        <f>HYPERLINK(CONCATENATE("http://www.spr.depen.pr.gov.br/centralvagas/exibirFoto.jpg?numProntuario=",$E451,"&amp;idImagem=2"),"FOTO 2")</f>
        <v>FOTO 2</v>
      </c>
      <c r="M451" s="199" t="str">
        <f>HYPERLINK(CONCATENATE("http://www.spr.depen.pr.gov.br/centralvagas/exibirFoto.jpg?numProntuario=",$E451,"&amp;idImagem=3"),"FOTO 3")</f>
        <v>FOTO 3</v>
      </c>
      <c r="N451" s="199" t="str">
        <f>HYPERLINK(CONCATENATE("http://www.spr.depen.pr.gov.br/centralvagas/exibirFoto.jpg?numProntuario=",$E451,"&amp;idImagem=4"),"FOTO 4")</f>
        <v>FOTO 4</v>
      </c>
      <c r="O451" s="199" t="str">
        <f>HYPERLINK(CONCATENATE("http://www.spr.depen.pr.gov.br/centralvagas/exibirFoto.jpg?numProntuario=",$E451,"&amp;idImagem=5"),"FOTO 5")</f>
        <v>FOTO 5</v>
      </c>
      <c r="P451" s="199" t="str">
        <f>HYPERLINK(CONCATENATE("http://www.spr.depen.pr.gov.br/centralvagas/exibirFoto.jpg?numProntuario=",$E451,"&amp;idImagem=6"),"FOTO 6")</f>
        <v>FOTO 6</v>
      </c>
    </row>
    <row r="452" spans="1:16" ht="14.1" customHeight="1" thickTop="1" thickBot="1">
      <c r="A452" s="571" t="s">
        <v>161</v>
      </c>
      <c r="B452" s="127"/>
      <c r="C452" s="116" t="s">
        <v>892</v>
      </c>
      <c r="D452" s="130" t="s">
        <v>2466</v>
      </c>
      <c r="E452" s="117">
        <v>161736</v>
      </c>
      <c r="F452" s="116"/>
      <c r="G452" s="119"/>
      <c r="H452" s="116"/>
      <c r="I452" s="119"/>
      <c r="J452" s="132"/>
      <c r="K452" s="199" t="str">
        <f>HYPERLINK(CONCATENATE("http://www.spr.depen.pr.gov.br/centralvagas/exibirFoto.jpg?numProntuario=",$E452,"&amp;idImagem=1"),"FOTO 1")</f>
        <v>FOTO 1</v>
      </c>
      <c r="L452" s="199" t="str">
        <f>HYPERLINK(CONCATENATE("http://www.spr.depen.pr.gov.br/centralvagas/exibirFoto.jpg?numProntuario=",$E452,"&amp;idImagem=2"),"FOTO 2")</f>
        <v>FOTO 2</v>
      </c>
      <c r="M452" s="199" t="str">
        <f>HYPERLINK(CONCATENATE("http://www.spr.depen.pr.gov.br/centralvagas/exibirFoto.jpg?numProntuario=",$E452,"&amp;idImagem=3"),"FOTO 3")</f>
        <v>FOTO 3</v>
      </c>
      <c r="N452" s="199" t="str">
        <f>HYPERLINK(CONCATENATE("http://www.spr.depen.pr.gov.br/centralvagas/exibirFoto.jpg?numProntuario=",$E452,"&amp;idImagem=4"),"FOTO 4")</f>
        <v>FOTO 4</v>
      </c>
      <c r="O452" s="199" t="str">
        <f>HYPERLINK(CONCATENATE("http://www.spr.depen.pr.gov.br/centralvagas/exibirFoto.jpg?numProntuario=",$E452,"&amp;idImagem=5"),"FOTO 5")</f>
        <v>FOTO 5</v>
      </c>
      <c r="P452" s="199" t="str">
        <f>HYPERLINK(CONCATENATE("http://www.spr.depen.pr.gov.br/centralvagas/exibirFoto.jpg?numProntuario=",$E452,"&amp;idImagem=6"),"FOTO 6")</f>
        <v>FOTO 6</v>
      </c>
    </row>
    <row r="453" spans="1:16" ht="14.1" customHeight="1" thickTop="1" thickBot="1">
      <c r="A453" s="571" t="s">
        <v>161</v>
      </c>
      <c r="B453" s="127"/>
      <c r="C453" s="116" t="s">
        <v>892</v>
      </c>
      <c r="D453" s="130" t="s">
        <v>2601</v>
      </c>
      <c r="E453" s="117">
        <v>130856</v>
      </c>
      <c r="F453" s="116"/>
      <c r="G453" s="119"/>
      <c r="H453" s="116"/>
      <c r="I453" s="119"/>
      <c r="J453" s="132"/>
      <c r="K453" s="199" t="str">
        <f>HYPERLINK(CONCATENATE("http://www.spr.depen.pr.gov.br/centralvagas/exibirFoto.jpg?numProntuario=",$E453,"&amp;idImagem=1"),"FOTO 1")</f>
        <v>FOTO 1</v>
      </c>
      <c r="L453" s="199" t="str">
        <f>HYPERLINK(CONCATENATE("http://www.spr.depen.pr.gov.br/centralvagas/exibirFoto.jpg?numProntuario=",$E453,"&amp;idImagem=2"),"FOTO 2")</f>
        <v>FOTO 2</v>
      </c>
      <c r="M453" s="199" t="str">
        <f>HYPERLINK(CONCATENATE("http://www.spr.depen.pr.gov.br/centralvagas/exibirFoto.jpg?numProntuario=",$E453,"&amp;idImagem=3"),"FOTO 3")</f>
        <v>FOTO 3</v>
      </c>
      <c r="N453" s="199" t="str">
        <f>HYPERLINK(CONCATENATE("http://www.spr.depen.pr.gov.br/centralvagas/exibirFoto.jpg?numProntuario=",$E453,"&amp;idImagem=4"),"FOTO 4")</f>
        <v>FOTO 4</v>
      </c>
      <c r="O453" s="199" t="str">
        <f>HYPERLINK(CONCATENATE("http://www.spr.depen.pr.gov.br/centralvagas/exibirFoto.jpg?numProntuario=",$E453,"&amp;idImagem=5"),"FOTO 5")</f>
        <v>FOTO 5</v>
      </c>
      <c r="P453" s="199" t="str">
        <f>HYPERLINK(CONCATENATE("http://www.spr.depen.pr.gov.br/centralvagas/exibirFoto.jpg?numProntuario=",$E453,"&amp;idImagem=6"),"FOTO 6")</f>
        <v>FOTO 6</v>
      </c>
    </row>
    <row r="454" spans="1:16" ht="14.1" customHeight="1" thickTop="1" thickBot="1">
      <c r="A454" s="571" t="s">
        <v>161</v>
      </c>
      <c r="B454" s="322"/>
      <c r="C454" s="116" t="s">
        <v>892</v>
      </c>
      <c r="D454" s="131" t="s">
        <v>2320</v>
      </c>
      <c r="E454" s="117">
        <v>155747</v>
      </c>
      <c r="F454" s="116"/>
      <c r="G454" s="119"/>
      <c r="H454" s="116"/>
      <c r="I454" s="119"/>
      <c r="J454" s="132"/>
      <c r="K454" s="199" t="str">
        <f>HYPERLINK(CONCATENATE("http://www.spr.depen.pr.gov.br/centralvagas/exibirFoto.jpg?numProntuario=",$E454,"&amp;idImagem=1"),"FOTO 1")</f>
        <v>FOTO 1</v>
      </c>
      <c r="L454" s="199" t="str">
        <f>HYPERLINK(CONCATENATE("http://www.spr.depen.pr.gov.br/centralvagas/exibirFoto.jpg?numProntuario=",$E454,"&amp;idImagem=2"),"FOTO 2")</f>
        <v>FOTO 2</v>
      </c>
      <c r="M454" s="199" t="str">
        <f>HYPERLINK(CONCATENATE("http://www.spr.depen.pr.gov.br/centralvagas/exibirFoto.jpg?numProntuario=",$E454,"&amp;idImagem=3"),"FOTO 3")</f>
        <v>FOTO 3</v>
      </c>
      <c r="N454" s="199" t="str">
        <f>HYPERLINK(CONCATENATE("http://www.spr.depen.pr.gov.br/centralvagas/exibirFoto.jpg?numProntuario=",$E454,"&amp;idImagem=4"),"FOTO 4")</f>
        <v>FOTO 4</v>
      </c>
      <c r="O454" s="199" t="str">
        <f>HYPERLINK(CONCATENATE("http://www.spr.depen.pr.gov.br/centralvagas/exibirFoto.jpg?numProntuario=",$E454,"&amp;idImagem=5"),"FOTO 5")</f>
        <v>FOTO 5</v>
      </c>
      <c r="P454" s="199" t="str">
        <f>HYPERLINK(CONCATENATE("http://www.spr.depen.pr.gov.br/centralvagas/exibirFoto.jpg?numProntuario=",$E454,"&amp;idImagem=6"),"FOTO 6")</f>
        <v>FOTO 6</v>
      </c>
    </row>
    <row r="455" spans="1:16" ht="14.1" customHeight="1" thickTop="1" thickBot="1">
      <c r="A455" s="573" t="s">
        <v>161</v>
      </c>
      <c r="B455" s="127"/>
      <c r="C455" s="118" t="s">
        <v>892</v>
      </c>
      <c r="D455" s="122" t="s">
        <v>2656</v>
      </c>
      <c r="E455" s="117">
        <v>135101</v>
      </c>
      <c r="F455" s="471"/>
      <c r="G455" s="135"/>
      <c r="H455" s="124"/>
      <c r="I455" s="135"/>
      <c r="J455" s="116"/>
      <c r="K455" s="199" t="str">
        <f>HYPERLINK(CONCATENATE("http://www.spr.depen.pr.gov.br/centralvagas/exibirFoto.jpg?numProntuario=",$E455,"&amp;idImagem=1"),"FOTO 1")</f>
        <v>FOTO 1</v>
      </c>
      <c r="L455" s="199" t="str">
        <f>HYPERLINK(CONCATENATE("http://www.spr.depen.pr.gov.br/centralvagas/exibirFoto.jpg?numProntuario=",$E455,"&amp;idImagem=2"),"FOTO 2")</f>
        <v>FOTO 2</v>
      </c>
      <c r="M455" s="199" t="str">
        <f>HYPERLINK(CONCATENATE("http://www.spr.depen.pr.gov.br/centralvagas/exibirFoto.jpg?numProntuario=",$E455,"&amp;idImagem=3"),"FOTO 3")</f>
        <v>FOTO 3</v>
      </c>
      <c r="N455" s="199" t="str">
        <f>HYPERLINK(CONCATENATE("http://www.spr.depen.pr.gov.br/centralvagas/exibirFoto.jpg?numProntuario=",$E455,"&amp;idImagem=4"),"FOTO 4")</f>
        <v>FOTO 4</v>
      </c>
      <c r="O455" s="199" t="str">
        <f>HYPERLINK(CONCATENATE("http://www.spr.depen.pr.gov.br/centralvagas/exibirFoto.jpg?numProntuario=",$E455,"&amp;idImagem=5"),"FOTO 5")</f>
        <v>FOTO 5</v>
      </c>
      <c r="P455" s="199" t="str">
        <f>HYPERLINK(CONCATENATE("http://www.spr.depen.pr.gov.br/centralvagas/exibirFoto.jpg?numProntuario=",$E455,"&amp;idImagem=6"),"FOTO 6")</f>
        <v>FOTO 6</v>
      </c>
    </row>
    <row r="456" spans="1:16" ht="14.1" customHeight="1" thickTop="1" thickBot="1">
      <c r="A456" s="571" t="s">
        <v>161</v>
      </c>
      <c r="B456" s="143"/>
      <c r="C456" s="116" t="s">
        <v>892</v>
      </c>
      <c r="D456" s="130" t="s">
        <v>1126</v>
      </c>
      <c r="E456" s="117">
        <v>63307</v>
      </c>
      <c r="F456" s="116"/>
      <c r="G456" s="119"/>
      <c r="H456" s="116"/>
      <c r="I456" s="119"/>
      <c r="J456" s="116"/>
      <c r="K456" s="199" t="str">
        <f>HYPERLINK(CONCATENATE("http://www.spr.depen.pr.gov.br/centralvagas/exibirFoto.jpg?numProntuario=",$E456,"&amp;idImagem=1"),"FOTO 1")</f>
        <v>FOTO 1</v>
      </c>
      <c r="L456" s="199" t="str">
        <f>HYPERLINK(CONCATENATE("http://www.spr.depen.pr.gov.br/centralvagas/exibirFoto.jpg?numProntuario=",$E456,"&amp;idImagem=2"),"FOTO 2")</f>
        <v>FOTO 2</v>
      </c>
      <c r="M456" s="199" t="str">
        <f>HYPERLINK(CONCATENATE("http://www.spr.depen.pr.gov.br/centralvagas/exibirFoto.jpg?numProntuario=",$E456,"&amp;idImagem=3"),"FOTO 3")</f>
        <v>FOTO 3</v>
      </c>
      <c r="N456" s="199" t="str">
        <f>HYPERLINK(CONCATENATE("http://www.spr.depen.pr.gov.br/centralvagas/exibirFoto.jpg?numProntuario=",$E456,"&amp;idImagem=4"),"FOTO 4")</f>
        <v>FOTO 4</v>
      </c>
      <c r="O456" s="199" t="str">
        <f>HYPERLINK(CONCATENATE("http://www.spr.depen.pr.gov.br/centralvagas/exibirFoto.jpg?numProntuario=",$E456,"&amp;idImagem=5"),"FOTO 5")</f>
        <v>FOTO 5</v>
      </c>
      <c r="P456" s="199" t="str">
        <f>HYPERLINK(CONCATENATE("http://www.spr.depen.pr.gov.br/centralvagas/exibirFoto.jpg?numProntuario=",$E456,"&amp;idImagem=6"),"FOTO 6")</f>
        <v>FOTO 6</v>
      </c>
    </row>
    <row r="457" spans="1:16" ht="14.1" customHeight="1" thickTop="1" thickBot="1">
      <c r="A457" s="571" t="s">
        <v>161</v>
      </c>
      <c r="B457" s="127"/>
      <c r="C457" s="116" t="s">
        <v>2556</v>
      </c>
      <c r="D457" s="130" t="s">
        <v>2437</v>
      </c>
      <c r="E457" s="117">
        <v>116201</v>
      </c>
      <c r="F457" s="116"/>
      <c r="G457" s="119"/>
      <c r="H457" s="116"/>
      <c r="I457" s="119"/>
      <c r="J457" s="116"/>
      <c r="K457" s="199" t="str">
        <f>HYPERLINK(CONCATENATE("http://www.spr.depen.pr.gov.br/centralvagas/exibirFoto.jpg?numProntuario=",$E457,"&amp;idImagem=1"),"FOTO 1")</f>
        <v>FOTO 1</v>
      </c>
      <c r="L457" s="199" t="str">
        <f>HYPERLINK(CONCATENATE("http://www.spr.depen.pr.gov.br/centralvagas/exibirFoto.jpg?numProntuario=",$E457,"&amp;idImagem=2"),"FOTO 2")</f>
        <v>FOTO 2</v>
      </c>
      <c r="M457" s="199" t="str">
        <f>HYPERLINK(CONCATENATE("http://www.spr.depen.pr.gov.br/centralvagas/exibirFoto.jpg?numProntuario=",$E457,"&amp;idImagem=3"),"FOTO 3")</f>
        <v>FOTO 3</v>
      </c>
      <c r="N457" s="199" t="str">
        <f>HYPERLINK(CONCATENATE("http://www.spr.depen.pr.gov.br/centralvagas/exibirFoto.jpg?numProntuario=",$E457,"&amp;idImagem=4"),"FOTO 4")</f>
        <v>FOTO 4</v>
      </c>
      <c r="O457" s="199" t="str">
        <f>HYPERLINK(CONCATENATE("http://www.spr.depen.pr.gov.br/centralvagas/exibirFoto.jpg?numProntuario=",$E457,"&amp;idImagem=5"),"FOTO 5")</f>
        <v>FOTO 5</v>
      </c>
      <c r="P457" s="199" t="str">
        <f>HYPERLINK(CONCATENATE("http://www.spr.depen.pr.gov.br/centralvagas/exibirFoto.jpg?numProntuario=",$E457,"&amp;idImagem=6"),"FOTO 6")</f>
        <v>FOTO 6</v>
      </c>
    </row>
    <row r="458" spans="1:16" ht="14.1" customHeight="1" thickTop="1" thickBot="1">
      <c r="A458" s="571" t="s">
        <v>161</v>
      </c>
      <c r="B458" s="127"/>
      <c r="C458" s="116" t="s">
        <v>2556</v>
      </c>
      <c r="D458" s="130" t="s">
        <v>3707</v>
      </c>
      <c r="E458" s="117">
        <v>46631</v>
      </c>
      <c r="F458" s="116"/>
      <c r="G458" s="119"/>
      <c r="H458" s="116"/>
      <c r="I458" s="119"/>
      <c r="J458" s="116"/>
      <c r="K458" s="199" t="str">
        <f>HYPERLINK(CONCATENATE("http://www.spr.depen.pr.gov.br/centralvagas/exibirFoto.jpg?numProntuario=",$E458,"&amp;idImagem=1"),"FOTO 1")</f>
        <v>FOTO 1</v>
      </c>
      <c r="L458" s="199" t="str">
        <f>HYPERLINK(CONCATENATE("http://www.spr.depen.pr.gov.br/centralvagas/exibirFoto.jpg?numProntuario=",$E458,"&amp;idImagem=2"),"FOTO 2")</f>
        <v>FOTO 2</v>
      </c>
      <c r="M458" s="199" t="str">
        <f>HYPERLINK(CONCATENATE("http://www.spr.depen.pr.gov.br/centralvagas/exibirFoto.jpg?numProntuario=",$E458,"&amp;idImagem=3"),"FOTO 3")</f>
        <v>FOTO 3</v>
      </c>
      <c r="N458" s="199" t="str">
        <f>HYPERLINK(CONCATENATE("http://www.spr.depen.pr.gov.br/centralvagas/exibirFoto.jpg?numProntuario=",$E458,"&amp;idImagem=4"),"FOTO 4")</f>
        <v>FOTO 4</v>
      </c>
      <c r="O458" s="199" t="str">
        <f>HYPERLINK(CONCATENATE("http://www.spr.depen.pr.gov.br/centralvagas/exibirFoto.jpg?numProntuario=",$E458,"&amp;idImagem=5"),"FOTO 5")</f>
        <v>FOTO 5</v>
      </c>
      <c r="P458" s="199" t="str">
        <f>HYPERLINK(CONCATENATE("http://www.spr.depen.pr.gov.br/centralvagas/exibirFoto.jpg?numProntuario=",$E458,"&amp;idImagem=6"),"FOTO 6")</f>
        <v>FOTO 6</v>
      </c>
    </row>
    <row r="459" spans="1:16" ht="14.1" customHeight="1" thickTop="1" thickBot="1">
      <c r="A459" s="571" t="s">
        <v>161</v>
      </c>
      <c r="B459" s="127"/>
      <c r="C459" s="116" t="s">
        <v>2556</v>
      </c>
      <c r="D459" s="441" t="s">
        <v>1087</v>
      </c>
      <c r="E459" s="117">
        <v>102250</v>
      </c>
      <c r="F459" s="116"/>
      <c r="G459" s="119"/>
      <c r="H459" s="116"/>
      <c r="I459" s="119"/>
      <c r="J459" s="132"/>
      <c r="K459" s="199" t="str">
        <f>HYPERLINK(CONCATENATE("http://www.spr.depen.pr.gov.br/centralvagas/exibirFoto.jpg?numProntuario=",$E459,"&amp;idImagem=1"),"FOTO 1")</f>
        <v>FOTO 1</v>
      </c>
      <c r="L459" s="199" t="str">
        <f>HYPERLINK(CONCATENATE("http://www.spr.depen.pr.gov.br/centralvagas/exibirFoto.jpg?numProntuario=",$E459,"&amp;idImagem=2"),"FOTO 2")</f>
        <v>FOTO 2</v>
      </c>
      <c r="M459" s="199" t="str">
        <f>HYPERLINK(CONCATENATE("http://www.spr.depen.pr.gov.br/centralvagas/exibirFoto.jpg?numProntuario=",$E459,"&amp;idImagem=3"),"FOTO 3")</f>
        <v>FOTO 3</v>
      </c>
      <c r="N459" s="199" t="str">
        <f>HYPERLINK(CONCATENATE("http://www.spr.depen.pr.gov.br/centralvagas/exibirFoto.jpg?numProntuario=",$E459,"&amp;idImagem=4"),"FOTO 4")</f>
        <v>FOTO 4</v>
      </c>
      <c r="O459" s="199" t="str">
        <f>HYPERLINK(CONCATENATE("http://www.spr.depen.pr.gov.br/centralvagas/exibirFoto.jpg?numProntuario=",$E459,"&amp;idImagem=5"),"FOTO 5")</f>
        <v>FOTO 5</v>
      </c>
      <c r="P459" s="199" t="str">
        <f>HYPERLINK(CONCATENATE("http://www.spr.depen.pr.gov.br/centralvagas/exibirFoto.jpg?numProntuario=",$E459,"&amp;idImagem=6"),"FOTO 6")</f>
        <v>FOTO 6</v>
      </c>
    </row>
    <row r="460" spans="1:16" ht="14.1" customHeight="1" thickTop="1" thickBot="1">
      <c r="A460" s="571" t="s">
        <v>161</v>
      </c>
      <c r="B460" s="228"/>
      <c r="C460" s="116" t="s">
        <v>2556</v>
      </c>
      <c r="D460" s="130" t="s">
        <v>3514</v>
      </c>
      <c r="E460" s="117">
        <v>101667</v>
      </c>
      <c r="F460" s="116"/>
      <c r="G460" s="119"/>
      <c r="H460" s="116"/>
      <c r="I460" s="119"/>
      <c r="J460" s="116"/>
      <c r="K460" s="199" t="str">
        <f>HYPERLINK(CONCATENATE("http://www.spr.depen.pr.gov.br/centralvagas/exibirFoto.jpg?numProntuario=",$E460,"&amp;idImagem=1"),"FOTO 1")</f>
        <v>FOTO 1</v>
      </c>
      <c r="L460" s="199" t="str">
        <f>HYPERLINK(CONCATENATE("http://www.spr.depen.pr.gov.br/centralvagas/exibirFoto.jpg?numProntuario=",$E460,"&amp;idImagem=2"),"FOTO 2")</f>
        <v>FOTO 2</v>
      </c>
      <c r="M460" s="199" t="str">
        <f>HYPERLINK(CONCATENATE("http://www.spr.depen.pr.gov.br/centralvagas/exibirFoto.jpg?numProntuario=",$E460,"&amp;idImagem=3"),"FOTO 3")</f>
        <v>FOTO 3</v>
      </c>
      <c r="N460" s="199" t="str">
        <f>HYPERLINK(CONCATENATE("http://www.spr.depen.pr.gov.br/centralvagas/exibirFoto.jpg?numProntuario=",$E460,"&amp;idImagem=4"),"FOTO 4")</f>
        <v>FOTO 4</v>
      </c>
      <c r="O460" s="199" t="str">
        <f>HYPERLINK(CONCATENATE("http://www.spr.depen.pr.gov.br/centralvagas/exibirFoto.jpg?numProntuario=",$E460,"&amp;idImagem=5"),"FOTO 5")</f>
        <v>FOTO 5</v>
      </c>
      <c r="P460" s="199" t="str">
        <f>HYPERLINK(CONCATENATE("http://www.spr.depen.pr.gov.br/centralvagas/exibirFoto.jpg?numProntuario=",$E460,"&amp;idImagem=6"),"FOTO 6")</f>
        <v>FOTO 6</v>
      </c>
    </row>
    <row r="461" spans="1:16" ht="14.1" customHeight="1" thickTop="1" thickBot="1">
      <c r="A461" s="571" t="s">
        <v>161</v>
      </c>
      <c r="B461" s="147"/>
      <c r="C461" s="116" t="s">
        <v>2556</v>
      </c>
      <c r="D461" s="130" t="s">
        <v>2254</v>
      </c>
      <c r="E461" s="117">
        <v>101856</v>
      </c>
      <c r="F461" s="116"/>
      <c r="G461" s="119"/>
      <c r="H461" s="116"/>
      <c r="I461" s="119"/>
      <c r="J461" s="132"/>
      <c r="K461" s="199" t="str">
        <f>HYPERLINK(CONCATENATE("http://www.spr.depen.pr.gov.br/centralvagas/exibirFoto.jpg?numProntuario=",$E461,"&amp;idImagem=1"),"FOTO 1")</f>
        <v>FOTO 1</v>
      </c>
      <c r="L461" s="199" t="str">
        <f>HYPERLINK(CONCATENATE("http://www.spr.depen.pr.gov.br/centralvagas/exibirFoto.jpg?numProntuario=",$E461,"&amp;idImagem=2"),"FOTO 2")</f>
        <v>FOTO 2</v>
      </c>
      <c r="M461" s="199" t="str">
        <f>HYPERLINK(CONCATENATE("http://www.spr.depen.pr.gov.br/centralvagas/exibirFoto.jpg?numProntuario=",$E461,"&amp;idImagem=3"),"FOTO 3")</f>
        <v>FOTO 3</v>
      </c>
      <c r="N461" s="199" t="str">
        <f>HYPERLINK(CONCATENATE("http://www.spr.depen.pr.gov.br/centralvagas/exibirFoto.jpg?numProntuario=",$E461,"&amp;idImagem=4"),"FOTO 4")</f>
        <v>FOTO 4</v>
      </c>
      <c r="O461" s="199" t="str">
        <f>HYPERLINK(CONCATENATE("http://www.spr.depen.pr.gov.br/centralvagas/exibirFoto.jpg?numProntuario=",$E461,"&amp;idImagem=5"),"FOTO 5")</f>
        <v>FOTO 5</v>
      </c>
      <c r="P461" s="199" t="str">
        <f>HYPERLINK(CONCATENATE("http://www.spr.depen.pr.gov.br/centralvagas/exibirFoto.jpg?numProntuario=",$E461,"&amp;idImagem=6"),"FOTO 6")</f>
        <v>FOTO 6</v>
      </c>
    </row>
    <row r="462" spans="1:16" ht="14.1" customHeight="1" thickTop="1" thickBot="1">
      <c r="A462" s="150"/>
      <c r="B462" s="438"/>
      <c r="C462" s="118" t="s">
        <v>2581</v>
      </c>
      <c r="D462" s="131" t="s">
        <v>2741</v>
      </c>
      <c r="E462" s="117">
        <v>103654</v>
      </c>
      <c r="F462" s="116"/>
      <c r="G462" s="119"/>
      <c r="H462" s="116"/>
      <c r="I462" s="119"/>
      <c r="J462" s="132"/>
      <c r="K462" s="199" t="str">
        <f>HYPERLINK(CONCATENATE("http://www.spr.depen.pr.gov.br/centralvagas/exibirFoto.jpg?numProntuario=",$E462,"&amp;idImagem=1"),"FOTO 1")</f>
        <v>FOTO 1</v>
      </c>
      <c r="L462" s="199" t="str">
        <f>HYPERLINK(CONCATENATE("http://www.spr.depen.pr.gov.br/centralvagas/exibirFoto.jpg?numProntuario=",$E462,"&amp;idImagem=2"),"FOTO 2")</f>
        <v>FOTO 2</v>
      </c>
      <c r="M462" s="199" t="str">
        <f>HYPERLINK(CONCATENATE("http://www.spr.depen.pr.gov.br/centralvagas/exibirFoto.jpg?numProntuario=",$E462,"&amp;idImagem=3"),"FOTO 3")</f>
        <v>FOTO 3</v>
      </c>
      <c r="N462" s="199" t="str">
        <f>HYPERLINK(CONCATENATE("http://www.spr.depen.pr.gov.br/centralvagas/exibirFoto.jpg?numProntuario=",$E462,"&amp;idImagem=4"),"FOTO 4")</f>
        <v>FOTO 4</v>
      </c>
      <c r="O462" s="199" t="str">
        <f>HYPERLINK(CONCATENATE("http://www.spr.depen.pr.gov.br/centralvagas/exibirFoto.jpg?numProntuario=",$E462,"&amp;idImagem=5"),"FOTO 5")</f>
        <v>FOTO 5</v>
      </c>
      <c r="P462" s="199" t="str">
        <f>HYPERLINK(CONCATENATE("http://www.spr.depen.pr.gov.br/centralvagas/exibirFoto.jpg?numProntuario=",$E462,"&amp;idImagem=6"),"FOTO 6")</f>
        <v>FOTO 6</v>
      </c>
    </row>
    <row r="463" spans="1:16" ht="14.1" customHeight="1" thickTop="1" thickBot="1">
      <c r="A463" s="116"/>
      <c r="B463" s="419"/>
      <c r="C463" s="118" t="s">
        <v>2581</v>
      </c>
      <c r="D463" s="131" t="s">
        <v>1966</v>
      </c>
      <c r="E463" s="466">
        <v>134273</v>
      </c>
      <c r="F463" s="133"/>
      <c r="G463" s="119"/>
      <c r="H463" s="116"/>
      <c r="I463" s="119"/>
      <c r="J463" s="116"/>
      <c r="K463" s="199" t="str">
        <f>HYPERLINK(CONCATENATE("http://www.spr.depen.pr.gov.br/centralvagas/exibirFoto.jpg?numProntuario=",$E463,"&amp;idImagem=1"),"FOTO 1")</f>
        <v>FOTO 1</v>
      </c>
      <c r="L463" s="199" t="str">
        <f>HYPERLINK(CONCATENATE("http://www.spr.depen.pr.gov.br/centralvagas/exibirFoto.jpg?numProntuario=",$E463,"&amp;idImagem=2"),"FOTO 2")</f>
        <v>FOTO 2</v>
      </c>
      <c r="M463" s="199" t="str">
        <f>HYPERLINK(CONCATENATE("http://www.spr.depen.pr.gov.br/centralvagas/exibirFoto.jpg?numProntuario=",$E463,"&amp;idImagem=3"),"FOTO 3")</f>
        <v>FOTO 3</v>
      </c>
      <c r="N463" s="199" t="str">
        <f>HYPERLINK(CONCATENATE("http://www.spr.depen.pr.gov.br/centralvagas/exibirFoto.jpg?numProntuario=",$E463,"&amp;idImagem=4"),"FOTO 4")</f>
        <v>FOTO 4</v>
      </c>
      <c r="O463" s="199" t="str">
        <f>HYPERLINK(CONCATENATE("http://www.spr.depen.pr.gov.br/centralvagas/exibirFoto.jpg?numProntuario=",$E463,"&amp;idImagem=5"),"FOTO 5")</f>
        <v>FOTO 5</v>
      </c>
      <c r="P463" s="199" t="str">
        <f>HYPERLINK(CONCATENATE("http://www.spr.depen.pr.gov.br/centralvagas/exibirFoto.jpg?numProntuario=",$E463,"&amp;idImagem=6"),"FOTO 6")</f>
        <v>FOTO 6</v>
      </c>
    </row>
    <row r="464" spans="1:16" ht="14.1" customHeight="1" thickTop="1" thickBot="1">
      <c r="A464" s="120"/>
      <c r="B464" s="143"/>
      <c r="C464" s="118" t="s">
        <v>2581</v>
      </c>
      <c r="D464" s="131" t="s">
        <v>1868</v>
      </c>
      <c r="E464" s="117">
        <v>111056</v>
      </c>
      <c r="F464" s="145"/>
      <c r="G464" s="162"/>
      <c r="H464" s="116"/>
      <c r="I464" s="162"/>
      <c r="J464" s="116"/>
      <c r="K464" s="199" t="str">
        <f>HYPERLINK(CONCATENATE("http://www.spr.depen.pr.gov.br/centralvagas/exibirFoto.jpg?numProntuario=",$E464,"&amp;idImagem=1"),"FOTO 1")</f>
        <v>FOTO 1</v>
      </c>
      <c r="L464" s="199" t="str">
        <f>HYPERLINK(CONCATENATE("http://www.spr.depen.pr.gov.br/centralvagas/exibirFoto.jpg?numProntuario=",$E464,"&amp;idImagem=2"),"FOTO 2")</f>
        <v>FOTO 2</v>
      </c>
      <c r="M464" s="199" t="str">
        <f>HYPERLINK(CONCATENATE("http://www.spr.depen.pr.gov.br/centralvagas/exibirFoto.jpg?numProntuario=",$E464,"&amp;idImagem=3"),"FOTO 3")</f>
        <v>FOTO 3</v>
      </c>
      <c r="N464" s="199" t="str">
        <f>HYPERLINK(CONCATENATE("http://www.spr.depen.pr.gov.br/centralvagas/exibirFoto.jpg?numProntuario=",$E464,"&amp;idImagem=4"),"FOTO 4")</f>
        <v>FOTO 4</v>
      </c>
      <c r="O464" s="199" t="str">
        <f>HYPERLINK(CONCATENATE("http://www.spr.depen.pr.gov.br/centralvagas/exibirFoto.jpg?numProntuario=",$E464,"&amp;idImagem=5"),"FOTO 5")</f>
        <v>FOTO 5</v>
      </c>
      <c r="P464" s="199" t="str">
        <f>HYPERLINK(CONCATENATE("http://www.spr.depen.pr.gov.br/centralvagas/exibirFoto.jpg?numProntuario=",$E464,"&amp;idImagem=6"),"FOTO 6")</f>
        <v>FOTO 6</v>
      </c>
    </row>
    <row r="465" spans="1:16" ht="14.1" customHeight="1" thickTop="1" thickBot="1">
      <c r="A465" s="118"/>
      <c r="B465" s="438"/>
      <c r="C465" s="118" t="s">
        <v>2581</v>
      </c>
      <c r="D465" s="130" t="s">
        <v>3413</v>
      </c>
      <c r="E465" s="117">
        <v>104024</v>
      </c>
      <c r="F465" s="116"/>
      <c r="G465" s="119"/>
      <c r="H465" s="116"/>
      <c r="I465" s="119"/>
      <c r="J465" s="116"/>
      <c r="K465" s="199" t="str">
        <f>HYPERLINK(CONCATENATE("http://www.spr.depen.pr.gov.br/centralvagas/exibirFoto.jpg?numProntuario=",$E465,"&amp;idImagem=1"),"FOTO 1")</f>
        <v>FOTO 1</v>
      </c>
      <c r="L465" s="199" t="str">
        <f>HYPERLINK(CONCATENATE("http://www.spr.depen.pr.gov.br/centralvagas/exibirFoto.jpg?numProntuario=",$E465,"&amp;idImagem=2"),"FOTO 2")</f>
        <v>FOTO 2</v>
      </c>
      <c r="M465" s="199" t="str">
        <f>HYPERLINK(CONCATENATE("http://www.spr.depen.pr.gov.br/centralvagas/exibirFoto.jpg?numProntuario=",$E465,"&amp;idImagem=3"),"FOTO 3")</f>
        <v>FOTO 3</v>
      </c>
      <c r="N465" s="199" t="str">
        <f>HYPERLINK(CONCATENATE("http://www.spr.depen.pr.gov.br/centralvagas/exibirFoto.jpg?numProntuario=",$E465,"&amp;idImagem=4"),"FOTO 4")</f>
        <v>FOTO 4</v>
      </c>
      <c r="O465" s="199" t="str">
        <f>HYPERLINK(CONCATENATE("http://www.spr.depen.pr.gov.br/centralvagas/exibirFoto.jpg?numProntuario=",$E465,"&amp;idImagem=5"),"FOTO 5")</f>
        <v>FOTO 5</v>
      </c>
      <c r="P465" s="199" t="str">
        <f>HYPERLINK(CONCATENATE("http://www.spr.depen.pr.gov.br/centralvagas/exibirFoto.jpg?numProntuario=",$E465,"&amp;idImagem=6"),"FOTO 6")</f>
        <v>FOTO 6</v>
      </c>
    </row>
    <row r="466" spans="1:16" ht="14.1" customHeight="1" thickTop="1" thickBot="1">
      <c r="A466" s="207"/>
      <c r="B466" s="147"/>
      <c r="C466" s="116" t="s">
        <v>2734</v>
      </c>
      <c r="D466" s="131" t="s">
        <v>2152</v>
      </c>
      <c r="E466" s="117">
        <v>142198</v>
      </c>
      <c r="F466" s="116"/>
      <c r="G466" s="119"/>
      <c r="H466" s="116"/>
      <c r="I466" s="119"/>
      <c r="J466" s="116"/>
      <c r="K466" s="199" t="str">
        <f>HYPERLINK(CONCATENATE("http://www.spr.depen.pr.gov.br/centralvagas/exibirFoto.jpg?numProntuario=",$E466,"&amp;idImagem=1"),"FOTO 1")</f>
        <v>FOTO 1</v>
      </c>
      <c r="L466" s="199" t="str">
        <f>HYPERLINK(CONCATENATE("http://www.spr.depen.pr.gov.br/centralvagas/exibirFoto.jpg?numProntuario=",$E466,"&amp;idImagem=2"),"FOTO 2")</f>
        <v>FOTO 2</v>
      </c>
      <c r="M466" s="199" t="str">
        <f>HYPERLINK(CONCATENATE("http://www.spr.depen.pr.gov.br/centralvagas/exibirFoto.jpg?numProntuario=",$E466,"&amp;idImagem=3"),"FOTO 3")</f>
        <v>FOTO 3</v>
      </c>
      <c r="N466" s="199" t="str">
        <f>HYPERLINK(CONCATENATE("http://www.spr.depen.pr.gov.br/centralvagas/exibirFoto.jpg?numProntuario=",$E466,"&amp;idImagem=4"),"FOTO 4")</f>
        <v>FOTO 4</v>
      </c>
      <c r="O466" s="199" t="str">
        <f>HYPERLINK(CONCATENATE("http://www.spr.depen.pr.gov.br/centralvagas/exibirFoto.jpg?numProntuario=",$E466,"&amp;idImagem=5"),"FOTO 5")</f>
        <v>FOTO 5</v>
      </c>
      <c r="P466" s="199" t="str">
        <f>HYPERLINK(CONCATENATE("http://www.spr.depen.pr.gov.br/centralvagas/exibirFoto.jpg?numProntuario=",$E466,"&amp;idImagem=6"),"FOTO 6")</f>
        <v>FOTO 6</v>
      </c>
    </row>
    <row r="467" spans="1:16" ht="14.1" customHeight="1" thickTop="1" thickBot="1">
      <c r="A467" s="207"/>
      <c r="B467" s="147"/>
      <c r="C467" s="116" t="s">
        <v>2734</v>
      </c>
      <c r="D467" s="131" t="s">
        <v>3567</v>
      </c>
      <c r="E467" s="117">
        <v>179369</v>
      </c>
      <c r="F467" s="116"/>
      <c r="G467" s="119"/>
      <c r="H467" s="116"/>
      <c r="I467" s="119"/>
      <c r="J467" s="116"/>
      <c r="K467" s="199" t="str">
        <f>HYPERLINK(CONCATENATE("http://www.spr.depen.pr.gov.br/centralvagas/exibirFoto.jpg?numProntuario=",$E467,"&amp;idImagem=1"),"FOTO 1")</f>
        <v>FOTO 1</v>
      </c>
      <c r="L467" s="199" t="str">
        <f>HYPERLINK(CONCATENATE("http://www.spr.depen.pr.gov.br/centralvagas/exibirFoto.jpg?numProntuario=",$E467,"&amp;idImagem=2"),"FOTO 2")</f>
        <v>FOTO 2</v>
      </c>
      <c r="M467" s="199" t="str">
        <f>HYPERLINK(CONCATENATE("http://www.spr.depen.pr.gov.br/centralvagas/exibirFoto.jpg?numProntuario=",$E467,"&amp;idImagem=3"),"FOTO 3")</f>
        <v>FOTO 3</v>
      </c>
      <c r="N467" s="199" t="str">
        <f>HYPERLINK(CONCATENATE("http://www.spr.depen.pr.gov.br/centralvagas/exibirFoto.jpg?numProntuario=",$E467,"&amp;idImagem=4"),"FOTO 4")</f>
        <v>FOTO 4</v>
      </c>
      <c r="O467" s="199" t="str">
        <f>HYPERLINK(CONCATENATE("http://www.spr.depen.pr.gov.br/centralvagas/exibirFoto.jpg?numProntuario=",$E467,"&amp;idImagem=5"),"FOTO 5")</f>
        <v>FOTO 5</v>
      </c>
      <c r="P467" s="199" t="str">
        <f>HYPERLINK(CONCATENATE("http://www.spr.depen.pr.gov.br/centralvagas/exibirFoto.jpg?numProntuario=",$E467,"&amp;idImagem=6"),"FOTO 6")</f>
        <v>FOTO 6</v>
      </c>
    </row>
    <row r="468" spans="1:16" ht="14.1" customHeight="1" thickTop="1" thickBot="1">
      <c r="A468" s="207"/>
      <c r="B468" s="147"/>
      <c r="C468" s="116" t="s">
        <v>2734</v>
      </c>
      <c r="D468" s="131" t="s">
        <v>3621</v>
      </c>
      <c r="E468" s="117">
        <v>27143</v>
      </c>
      <c r="F468" s="116"/>
      <c r="G468" s="119"/>
      <c r="H468" s="116"/>
      <c r="I468" s="119"/>
      <c r="J468" s="116"/>
      <c r="K468" s="199" t="str">
        <f>HYPERLINK(CONCATENATE("http://www.spr.depen.pr.gov.br/centralvagas/exibirFoto.jpg?numProntuario=",$E468,"&amp;idImagem=1"),"FOTO 1")</f>
        <v>FOTO 1</v>
      </c>
      <c r="L468" s="199" t="str">
        <f>HYPERLINK(CONCATENATE("http://www.spr.depen.pr.gov.br/centralvagas/exibirFoto.jpg?numProntuario=",$E468,"&amp;idImagem=2"),"FOTO 2")</f>
        <v>FOTO 2</v>
      </c>
      <c r="M468" s="199" t="str">
        <f>HYPERLINK(CONCATENATE("http://www.spr.depen.pr.gov.br/centralvagas/exibirFoto.jpg?numProntuario=",$E468,"&amp;idImagem=3"),"FOTO 3")</f>
        <v>FOTO 3</v>
      </c>
      <c r="N468" s="199" t="str">
        <f>HYPERLINK(CONCATENATE("http://www.spr.depen.pr.gov.br/centralvagas/exibirFoto.jpg?numProntuario=",$E468,"&amp;idImagem=4"),"FOTO 4")</f>
        <v>FOTO 4</v>
      </c>
      <c r="O468" s="199" t="str">
        <f>HYPERLINK(CONCATENATE("http://www.spr.depen.pr.gov.br/centralvagas/exibirFoto.jpg?numProntuario=",$E468,"&amp;idImagem=5"),"FOTO 5")</f>
        <v>FOTO 5</v>
      </c>
      <c r="P468" s="199" t="str">
        <f>HYPERLINK(CONCATENATE("http://www.spr.depen.pr.gov.br/centralvagas/exibirFoto.jpg?numProntuario=",$E468,"&amp;idImagem=6"),"FOTO 6")</f>
        <v>FOTO 6</v>
      </c>
    </row>
    <row r="469" spans="1:16" ht="14.1" customHeight="1" thickTop="1" thickBot="1">
      <c r="A469" s="207"/>
      <c r="B469" s="147"/>
      <c r="C469" s="116" t="s">
        <v>2734</v>
      </c>
      <c r="D469" s="131" t="s">
        <v>3566</v>
      </c>
      <c r="E469" s="117">
        <v>123373</v>
      </c>
      <c r="F469" s="116"/>
      <c r="G469" s="119"/>
      <c r="H469" s="116"/>
      <c r="I469" s="119"/>
      <c r="J469" s="116"/>
      <c r="K469" s="199" t="str">
        <f>HYPERLINK(CONCATENATE("http://www.spr.depen.pr.gov.br/centralvagas/exibirFoto.jpg?numProntuario=",$E469,"&amp;idImagem=1"),"FOTO 1")</f>
        <v>FOTO 1</v>
      </c>
      <c r="L469" s="199" t="str">
        <f>HYPERLINK(CONCATENATE("http://www.spr.depen.pr.gov.br/centralvagas/exibirFoto.jpg?numProntuario=",$E469,"&amp;idImagem=2"),"FOTO 2")</f>
        <v>FOTO 2</v>
      </c>
      <c r="M469" s="199" t="str">
        <f>HYPERLINK(CONCATENATE("http://www.spr.depen.pr.gov.br/centralvagas/exibirFoto.jpg?numProntuario=",$E469,"&amp;idImagem=3"),"FOTO 3")</f>
        <v>FOTO 3</v>
      </c>
      <c r="N469" s="199" t="str">
        <f>HYPERLINK(CONCATENATE("http://www.spr.depen.pr.gov.br/centralvagas/exibirFoto.jpg?numProntuario=",$E469,"&amp;idImagem=4"),"FOTO 4")</f>
        <v>FOTO 4</v>
      </c>
      <c r="O469" s="199" t="str">
        <f>HYPERLINK(CONCATENATE("http://www.spr.depen.pr.gov.br/centralvagas/exibirFoto.jpg?numProntuario=",$E469,"&amp;idImagem=5"),"FOTO 5")</f>
        <v>FOTO 5</v>
      </c>
      <c r="P469" s="199" t="str">
        <f>HYPERLINK(CONCATENATE("http://www.spr.depen.pr.gov.br/centralvagas/exibirFoto.jpg?numProntuario=",$E469,"&amp;idImagem=6"),"FOTO 6")</f>
        <v>FOTO 6</v>
      </c>
    </row>
    <row r="470" spans="1:16" ht="14.1" customHeight="1" thickTop="1" thickBot="1">
      <c r="A470" s="207"/>
      <c r="B470" s="147"/>
      <c r="C470" s="116" t="s">
        <v>2734</v>
      </c>
      <c r="D470" s="131" t="s">
        <v>3571</v>
      </c>
      <c r="E470" s="117">
        <v>124990</v>
      </c>
      <c r="F470" s="116"/>
      <c r="G470" s="119"/>
      <c r="H470" s="116"/>
      <c r="I470" s="119"/>
      <c r="J470" s="116"/>
      <c r="K470" s="199" t="str">
        <f>HYPERLINK(CONCATENATE("http://www.spr.depen.pr.gov.br/centralvagas/exibirFoto.jpg?numProntuario=",$E470,"&amp;idImagem=1"),"FOTO 1")</f>
        <v>FOTO 1</v>
      </c>
      <c r="L470" s="199" t="str">
        <f>HYPERLINK(CONCATENATE("http://www.spr.depen.pr.gov.br/centralvagas/exibirFoto.jpg?numProntuario=",$E470,"&amp;idImagem=2"),"FOTO 2")</f>
        <v>FOTO 2</v>
      </c>
      <c r="M470" s="199" t="str">
        <f>HYPERLINK(CONCATENATE("http://www.spr.depen.pr.gov.br/centralvagas/exibirFoto.jpg?numProntuario=",$E470,"&amp;idImagem=3"),"FOTO 3")</f>
        <v>FOTO 3</v>
      </c>
      <c r="N470" s="199" t="str">
        <f>HYPERLINK(CONCATENATE("http://www.spr.depen.pr.gov.br/centralvagas/exibirFoto.jpg?numProntuario=",$E470,"&amp;idImagem=4"),"FOTO 4")</f>
        <v>FOTO 4</v>
      </c>
      <c r="O470" s="199" t="str">
        <f>HYPERLINK(CONCATENATE("http://www.spr.depen.pr.gov.br/centralvagas/exibirFoto.jpg?numProntuario=",$E470,"&amp;idImagem=5"),"FOTO 5")</f>
        <v>FOTO 5</v>
      </c>
      <c r="P470" s="199" t="str">
        <f>HYPERLINK(CONCATENATE("http://www.spr.depen.pr.gov.br/centralvagas/exibirFoto.jpg?numProntuario=",$E470,"&amp;idImagem=6"),"FOTO 6")</f>
        <v>FOTO 6</v>
      </c>
    </row>
    <row r="471" spans="1:16" ht="14.1" customHeight="1" thickTop="1" thickBot="1">
      <c r="A471" s="134"/>
      <c r="B471" s="337"/>
      <c r="C471" s="116" t="s">
        <v>2734</v>
      </c>
      <c r="D471" s="129" t="s">
        <v>3463</v>
      </c>
      <c r="E471" s="117">
        <v>398038</v>
      </c>
      <c r="F471" s="116"/>
      <c r="G471" s="119"/>
      <c r="H471" s="116"/>
      <c r="I471" s="119"/>
      <c r="J471" s="116"/>
      <c r="K471" s="199" t="str">
        <f>HYPERLINK(CONCATENATE("http://www.spr.depen.pr.gov.br/centralvagas/exibirFoto.jpg?numProntuario=",$E471,"&amp;idImagem=1"),"FOTO 1")</f>
        <v>FOTO 1</v>
      </c>
      <c r="L471" s="199" t="str">
        <f>HYPERLINK(CONCATENATE("http://www.spr.depen.pr.gov.br/centralvagas/exibirFoto.jpg?numProntuario=",$E471,"&amp;idImagem=2"),"FOTO 2")</f>
        <v>FOTO 2</v>
      </c>
      <c r="M471" s="199" t="str">
        <f>HYPERLINK(CONCATENATE("http://www.spr.depen.pr.gov.br/centralvagas/exibirFoto.jpg?numProntuario=",$E471,"&amp;idImagem=3"),"FOTO 3")</f>
        <v>FOTO 3</v>
      </c>
      <c r="N471" s="199" t="str">
        <f>HYPERLINK(CONCATENATE("http://www.spr.depen.pr.gov.br/centralvagas/exibirFoto.jpg?numProntuario=",$E471,"&amp;idImagem=4"),"FOTO 4")</f>
        <v>FOTO 4</v>
      </c>
      <c r="O471" s="199" t="str">
        <f>HYPERLINK(CONCATENATE("http://www.spr.depen.pr.gov.br/centralvagas/exibirFoto.jpg?numProntuario=",$E471,"&amp;idImagem=5"),"FOTO 5")</f>
        <v>FOTO 5</v>
      </c>
      <c r="P471" s="199" t="str">
        <f>HYPERLINK(CONCATENATE("http://www.spr.depen.pr.gov.br/centralvagas/exibirFoto.jpg?numProntuario=",$E471,"&amp;idImagem=6"),"FOTO 6")</f>
        <v>FOTO 6</v>
      </c>
    </row>
    <row r="472" spans="1:16" ht="14.1" customHeight="1" thickTop="1" thickBot="1">
      <c r="A472" s="207"/>
      <c r="B472" s="147"/>
      <c r="C472" s="116" t="s">
        <v>2717</v>
      </c>
      <c r="D472" s="130" t="s">
        <v>2147</v>
      </c>
      <c r="E472" s="466">
        <v>3070</v>
      </c>
      <c r="F472" s="116"/>
      <c r="G472" s="119"/>
      <c r="H472" s="116"/>
      <c r="I472" s="119"/>
      <c r="J472" s="116"/>
      <c r="K472" s="199" t="str">
        <f>HYPERLINK(CONCATENATE("http://www.spr.depen.pr.gov.br/centralvagas/exibirFoto.jpg?numProntuario=",$E472,"&amp;idImagem=1"),"FOTO 1")</f>
        <v>FOTO 1</v>
      </c>
      <c r="L472" s="199" t="str">
        <f>HYPERLINK(CONCATENATE("http://www.spr.depen.pr.gov.br/centralvagas/exibirFoto.jpg?numProntuario=",$E472,"&amp;idImagem=2"),"FOTO 2")</f>
        <v>FOTO 2</v>
      </c>
      <c r="M472" s="199" t="str">
        <f>HYPERLINK(CONCATENATE("http://www.spr.depen.pr.gov.br/centralvagas/exibirFoto.jpg?numProntuario=",$E472,"&amp;idImagem=3"),"FOTO 3")</f>
        <v>FOTO 3</v>
      </c>
      <c r="N472" s="199" t="str">
        <f>HYPERLINK(CONCATENATE("http://www.spr.depen.pr.gov.br/centralvagas/exibirFoto.jpg?numProntuario=",$E472,"&amp;idImagem=4"),"FOTO 4")</f>
        <v>FOTO 4</v>
      </c>
      <c r="O472" s="199" t="str">
        <f>HYPERLINK(CONCATENATE("http://www.spr.depen.pr.gov.br/centralvagas/exibirFoto.jpg?numProntuario=",$E472,"&amp;idImagem=5"),"FOTO 5")</f>
        <v>FOTO 5</v>
      </c>
      <c r="P472" s="199" t="str">
        <f>HYPERLINK(CONCATENATE("http://www.spr.depen.pr.gov.br/centralvagas/exibirFoto.jpg?numProntuario=",$E472,"&amp;idImagem=6"),"FOTO 6")</f>
        <v>FOTO 6</v>
      </c>
    </row>
    <row r="473" spans="1:16" ht="14.1" customHeight="1" thickTop="1" thickBot="1">
      <c r="A473" s="331"/>
      <c r="B473" s="229"/>
      <c r="C473" s="118" t="s">
        <v>2717</v>
      </c>
      <c r="D473" s="122" t="s">
        <v>848</v>
      </c>
      <c r="E473" s="117">
        <v>63853</v>
      </c>
      <c r="F473" s="243"/>
      <c r="G473" s="244"/>
      <c r="H473" s="116"/>
      <c r="I473" s="119"/>
      <c r="J473" s="132"/>
      <c r="K473" s="199" t="str">
        <f>HYPERLINK(CONCATENATE("http://www.spr.depen.pr.gov.br/centralvagas/exibirFoto.jpg?numProntuario=",$E473,"&amp;idImagem=1"),"FOTO 1")</f>
        <v>FOTO 1</v>
      </c>
      <c r="L473" s="199" t="str">
        <f>HYPERLINK(CONCATENATE("http://www.spr.depen.pr.gov.br/centralvagas/exibirFoto.jpg?numProntuario=",$E473,"&amp;idImagem=2"),"FOTO 2")</f>
        <v>FOTO 2</v>
      </c>
      <c r="M473" s="199" t="str">
        <f>HYPERLINK(CONCATENATE("http://www.spr.depen.pr.gov.br/centralvagas/exibirFoto.jpg?numProntuario=",$E473,"&amp;idImagem=3"),"FOTO 3")</f>
        <v>FOTO 3</v>
      </c>
      <c r="N473" s="199" t="str">
        <f>HYPERLINK(CONCATENATE("http://www.spr.depen.pr.gov.br/centralvagas/exibirFoto.jpg?numProntuario=",$E473,"&amp;idImagem=4"),"FOTO 4")</f>
        <v>FOTO 4</v>
      </c>
      <c r="O473" s="199" t="str">
        <f>HYPERLINK(CONCATENATE("http://www.spr.depen.pr.gov.br/centralvagas/exibirFoto.jpg?numProntuario=",$E473,"&amp;idImagem=5"),"FOTO 5")</f>
        <v>FOTO 5</v>
      </c>
      <c r="P473" s="199" t="str">
        <f>HYPERLINK(CONCATENATE("http://www.spr.depen.pr.gov.br/centralvagas/exibirFoto.jpg?numProntuario=",$E473,"&amp;idImagem=6"),"FOTO 6")</f>
        <v>FOTO 6</v>
      </c>
    </row>
    <row r="474" spans="1:16" ht="14.1" customHeight="1" thickTop="1" thickBot="1">
      <c r="A474" s="120"/>
      <c r="B474" s="317"/>
      <c r="C474" s="116" t="s">
        <v>2717</v>
      </c>
      <c r="D474" s="131" t="s">
        <v>3587</v>
      </c>
      <c r="E474" s="117">
        <v>63565</v>
      </c>
      <c r="F474" s="116"/>
      <c r="G474" s="119"/>
      <c r="H474" s="116"/>
      <c r="I474" s="119"/>
      <c r="J474" s="116"/>
      <c r="K474" s="199" t="str">
        <f>HYPERLINK(CONCATENATE("http://www.spr.depen.pr.gov.br/centralvagas/exibirFoto.jpg?numProntuario=",$E474,"&amp;idImagem=1"),"FOTO 1")</f>
        <v>FOTO 1</v>
      </c>
      <c r="L474" s="199" t="str">
        <f>HYPERLINK(CONCATENATE("http://www.spr.depen.pr.gov.br/centralvagas/exibirFoto.jpg?numProntuario=",$E474,"&amp;idImagem=2"),"FOTO 2")</f>
        <v>FOTO 2</v>
      </c>
      <c r="M474" s="199" t="str">
        <f>HYPERLINK(CONCATENATE("http://www.spr.depen.pr.gov.br/centralvagas/exibirFoto.jpg?numProntuario=",$E474,"&amp;idImagem=3"),"FOTO 3")</f>
        <v>FOTO 3</v>
      </c>
      <c r="N474" s="199" t="str">
        <f>HYPERLINK(CONCATENATE("http://www.spr.depen.pr.gov.br/centralvagas/exibirFoto.jpg?numProntuario=",$E474,"&amp;idImagem=4"),"FOTO 4")</f>
        <v>FOTO 4</v>
      </c>
      <c r="O474" s="199" t="str">
        <f>HYPERLINK(CONCATENATE("http://www.spr.depen.pr.gov.br/centralvagas/exibirFoto.jpg?numProntuario=",$E474,"&amp;idImagem=5"),"FOTO 5")</f>
        <v>FOTO 5</v>
      </c>
      <c r="P474" s="199" t="str">
        <f>HYPERLINK(CONCATENATE("http://www.spr.depen.pr.gov.br/centralvagas/exibirFoto.jpg?numProntuario=",$E474,"&amp;idImagem=6"),"FOTO 6")</f>
        <v>FOTO 6</v>
      </c>
    </row>
    <row r="475" spans="1:16" ht="14.1" customHeight="1" thickTop="1" thickBot="1">
      <c r="A475" s="118"/>
      <c r="B475" s="200"/>
      <c r="C475" s="116" t="s">
        <v>2717</v>
      </c>
      <c r="D475" s="158" t="s">
        <v>2597</v>
      </c>
      <c r="E475" s="466">
        <v>63875</v>
      </c>
      <c r="F475" s="132"/>
      <c r="G475" s="136"/>
      <c r="H475" s="132"/>
      <c r="I475" s="136"/>
      <c r="J475" s="116"/>
      <c r="K475" s="199" t="str">
        <f>HYPERLINK(CONCATENATE("http://www.spr.depen.pr.gov.br/centralvagas/exibirFoto.jpg?numProntuario=",$E475,"&amp;idImagem=1"),"FOTO 1")</f>
        <v>FOTO 1</v>
      </c>
      <c r="L475" s="199" t="str">
        <f>HYPERLINK(CONCATENATE("http://www.spr.depen.pr.gov.br/centralvagas/exibirFoto.jpg?numProntuario=",$E475,"&amp;idImagem=2"),"FOTO 2")</f>
        <v>FOTO 2</v>
      </c>
      <c r="M475" s="199" t="str">
        <f>HYPERLINK(CONCATENATE("http://www.spr.depen.pr.gov.br/centralvagas/exibirFoto.jpg?numProntuario=",$E475,"&amp;idImagem=3"),"FOTO 3")</f>
        <v>FOTO 3</v>
      </c>
      <c r="N475" s="199" t="str">
        <f>HYPERLINK(CONCATENATE("http://www.spr.depen.pr.gov.br/centralvagas/exibirFoto.jpg?numProntuario=",$E475,"&amp;idImagem=4"),"FOTO 4")</f>
        <v>FOTO 4</v>
      </c>
      <c r="O475" s="199" t="str">
        <f>HYPERLINK(CONCATENATE("http://www.spr.depen.pr.gov.br/centralvagas/exibirFoto.jpg?numProntuario=",$E475,"&amp;idImagem=5"),"FOTO 5")</f>
        <v>FOTO 5</v>
      </c>
      <c r="P475" s="199" t="str">
        <f>HYPERLINK(CONCATENATE("http://www.spr.depen.pr.gov.br/centralvagas/exibirFoto.jpg?numProntuario=",$E475,"&amp;idImagem=6"),"FOTO 6")</f>
        <v>FOTO 6</v>
      </c>
    </row>
    <row r="476" spans="1:16" ht="14.1" customHeight="1" thickTop="1" thickBot="1">
      <c r="A476" s="251"/>
      <c r="B476" s="229"/>
      <c r="C476" s="125" t="s">
        <v>2716</v>
      </c>
      <c r="D476" s="122" t="s">
        <v>3584</v>
      </c>
      <c r="E476" s="116">
        <v>63775</v>
      </c>
      <c r="F476" s="116"/>
      <c r="G476" s="119"/>
      <c r="H476" s="116"/>
      <c r="I476" s="119"/>
      <c r="J476" s="116"/>
      <c r="K476" s="199" t="str">
        <f>HYPERLINK(CONCATENATE("http://www.spr.depen.pr.gov.br/centralvagas/exibirFoto.jpg?numProntuario=",$E476,"&amp;idImagem=1"),"FOTO 1")</f>
        <v>FOTO 1</v>
      </c>
      <c r="L476" s="199" t="str">
        <f>HYPERLINK(CONCATENATE("http://www.spr.depen.pr.gov.br/centralvagas/exibirFoto.jpg?numProntuario=",$E476,"&amp;idImagem=2"),"FOTO 2")</f>
        <v>FOTO 2</v>
      </c>
      <c r="M476" s="199" t="str">
        <f>HYPERLINK(CONCATENATE("http://www.spr.depen.pr.gov.br/centralvagas/exibirFoto.jpg?numProntuario=",$E476,"&amp;idImagem=3"),"FOTO 3")</f>
        <v>FOTO 3</v>
      </c>
      <c r="N476" s="199" t="str">
        <f>HYPERLINK(CONCATENATE("http://www.spr.depen.pr.gov.br/centralvagas/exibirFoto.jpg?numProntuario=",$E476,"&amp;idImagem=4"),"FOTO 4")</f>
        <v>FOTO 4</v>
      </c>
      <c r="O476" s="199" t="str">
        <f>HYPERLINK(CONCATENATE("http://www.spr.depen.pr.gov.br/centralvagas/exibirFoto.jpg?numProntuario=",$E476,"&amp;idImagem=5"),"FOTO 5")</f>
        <v>FOTO 5</v>
      </c>
      <c r="P476" s="199" t="str">
        <f>HYPERLINK(CONCATENATE("http://www.spr.depen.pr.gov.br/centralvagas/exibirFoto.jpg?numProntuario=",$E476,"&amp;idImagem=6"),"FOTO 6")</f>
        <v>FOTO 6</v>
      </c>
    </row>
    <row r="477" spans="1:16" ht="14.1" customHeight="1" thickTop="1" thickBot="1">
      <c r="A477" s="251"/>
      <c r="B477" s="229"/>
      <c r="C477" s="125" t="s">
        <v>2716</v>
      </c>
      <c r="D477" s="122" t="s">
        <v>833</v>
      </c>
      <c r="E477" s="116">
        <v>27335</v>
      </c>
      <c r="F477" s="116"/>
      <c r="G477" s="119"/>
      <c r="H477" s="116"/>
      <c r="I477" s="119"/>
      <c r="J477" s="116"/>
      <c r="K477" s="199" t="str">
        <f>HYPERLINK(CONCATENATE("http://www.spr.depen.pr.gov.br/centralvagas/exibirFoto.jpg?numProntuario=",$E477,"&amp;idImagem=1"),"FOTO 1")</f>
        <v>FOTO 1</v>
      </c>
      <c r="L477" s="199" t="str">
        <f>HYPERLINK(CONCATENATE("http://www.spr.depen.pr.gov.br/centralvagas/exibirFoto.jpg?numProntuario=",$E477,"&amp;idImagem=2"),"FOTO 2")</f>
        <v>FOTO 2</v>
      </c>
      <c r="M477" s="199" t="str">
        <f>HYPERLINK(CONCATENATE("http://www.spr.depen.pr.gov.br/centralvagas/exibirFoto.jpg?numProntuario=",$E477,"&amp;idImagem=3"),"FOTO 3")</f>
        <v>FOTO 3</v>
      </c>
      <c r="N477" s="199" t="str">
        <f>HYPERLINK(CONCATENATE("http://www.spr.depen.pr.gov.br/centralvagas/exibirFoto.jpg?numProntuario=",$E477,"&amp;idImagem=4"),"FOTO 4")</f>
        <v>FOTO 4</v>
      </c>
      <c r="O477" s="199" t="str">
        <f>HYPERLINK(CONCATENATE("http://www.spr.depen.pr.gov.br/centralvagas/exibirFoto.jpg?numProntuario=",$E477,"&amp;idImagem=5"),"FOTO 5")</f>
        <v>FOTO 5</v>
      </c>
      <c r="P477" s="199" t="str">
        <f>HYPERLINK(CONCATENATE("http://www.spr.depen.pr.gov.br/centralvagas/exibirFoto.jpg?numProntuario=",$E477,"&amp;idImagem=6"),"FOTO 6")</f>
        <v>FOTO 6</v>
      </c>
    </row>
    <row r="478" spans="1:16" ht="14.1" customHeight="1" thickTop="1" thickBot="1">
      <c r="A478" s="373"/>
      <c r="B478" s="229"/>
      <c r="C478" s="116" t="s">
        <v>2716</v>
      </c>
      <c r="D478" s="149" t="s">
        <v>3430</v>
      </c>
      <c r="E478" s="117">
        <v>102176</v>
      </c>
      <c r="F478" s="116"/>
      <c r="G478" s="119"/>
      <c r="H478" s="116"/>
      <c r="I478" s="119"/>
      <c r="J478" s="116"/>
      <c r="K478" s="199" t="str">
        <f>HYPERLINK(CONCATENATE("http://www.spr.depen.pr.gov.br/centralvagas/exibirFoto.jpg?numProntuario=",$E478,"&amp;idImagem=1"),"FOTO 1")</f>
        <v>FOTO 1</v>
      </c>
      <c r="L478" s="199" t="str">
        <f>HYPERLINK(CONCATENATE("http://www.spr.depen.pr.gov.br/centralvagas/exibirFoto.jpg?numProntuario=",$E478,"&amp;idImagem=2"),"FOTO 2")</f>
        <v>FOTO 2</v>
      </c>
      <c r="M478" s="199" t="str">
        <f>HYPERLINK(CONCATENATE("http://www.spr.depen.pr.gov.br/centralvagas/exibirFoto.jpg?numProntuario=",$E478,"&amp;idImagem=3"),"FOTO 3")</f>
        <v>FOTO 3</v>
      </c>
      <c r="N478" s="199" t="str">
        <f>HYPERLINK(CONCATENATE("http://www.spr.depen.pr.gov.br/centralvagas/exibirFoto.jpg?numProntuario=",$E478,"&amp;idImagem=4"),"FOTO 4")</f>
        <v>FOTO 4</v>
      </c>
      <c r="O478" s="199" t="str">
        <f>HYPERLINK(CONCATENATE("http://www.spr.depen.pr.gov.br/centralvagas/exibirFoto.jpg?numProntuario=",$E478,"&amp;idImagem=5"),"FOTO 5")</f>
        <v>FOTO 5</v>
      </c>
      <c r="P478" s="199" t="str">
        <f>HYPERLINK(CONCATENATE("http://www.spr.depen.pr.gov.br/centralvagas/exibirFoto.jpg?numProntuario=",$E478,"&amp;idImagem=6"),"FOTO 6")</f>
        <v>FOTO 6</v>
      </c>
    </row>
    <row r="479" spans="1:16" ht="14.1" customHeight="1" thickTop="1" thickBot="1">
      <c r="A479" s="207"/>
      <c r="B479" s="320"/>
      <c r="C479" s="116" t="s">
        <v>2716</v>
      </c>
      <c r="D479" s="131" t="s">
        <v>1045</v>
      </c>
      <c r="E479" s="117">
        <v>103199</v>
      </c>
      <c r="F479" s="116"/>
      <c r="G479" s="119"/>
      <c r="H479" s="116"/>
      <c r="I479" s="119"/>
      <c r="J479" s="116"/>
      <c r="K479" s="199" t="str">
        <f>HYPERLINK(CONCATENATE("http://www.spr.depen.pr.gov.br/centralvagas/exibirFoto.jpg?numProntuario=",$E479,"&amp;idImagem=1"),"FOTO 1")</f>
        <v>FOTO 1</v>
      </c>
      <c r="L479" s="199" t="str">
        <f>HYPERLINK(CONCATENATE("http://www.spr.depen.pr.gov.br/centralvagas/exibirFoto.jpg?numProntuario=",$E479,"&amp;idImagem=2"),"FOTO 2")</f>
        <v>FOTO 2</v>
      </c>
      <c r="M479" s="199" t="str">
        <f>HYPERLINK(CONCATENATE("http://www.spr.depen.pr.gov.br/centralvagas/exibirFoto.jpg?numProntuario=",$E479,"&amp;idImagem=3"),"FOTO 3")</f>
        <v>FOTO 3</v>
      </c>
      <c r="N479" s="199" t="str">
        <f>HYPERLINK(CONCATENATE("http://www.spr.depen.pr.gov.br/centralvagas/exibirFoto.jpg?numProntuario=",$E479,"&amp;idImagem=4"),"FOTO 4")</f>
        <v>FOTO 4</v>
      </c>
      <c r="O479" s="199" t="str">
        <f>HYPERLINK(CONCATENATE("http://www.spr.depen.pr.gov.br/centralvagas/exibirFoto.jpg?numProntuario=",$E479,"&amp;idImagem=5"),"FOTO 5")</f>
        <v>FOTO 5</v>
      </c>
      <c r="P479" s="199" t="str">
        <f>HYPERLINK(CONCATENATE("http://www.spr.depen.pr.gov.br/centralvagas/exibirFoto.jpg?numProntuario=",$E479,"&amp;idImagem=6"),"FOTO 6")</f>
        <v>FOTO 6</v>
      </c>
    </row>
    <row r="480" spans="1:16" ht="14.1" customHeight="1" thickTop="1" thickBot="1">
      <c r="A480" s="116"/>
      <c r="B480" s="318"/>
      <c r="C480" s="126" t="s">
        <v>2725</v>
      </c>
      <c r="D480" s="128" t="s">
        <v>1745</v>
      </c>
      <c r="E480" s="117">
        <v>44198</v>
      </c>
      <c r="F480" s="116"/>
      <c r="G480" s="119"/>
      <c r="H480" s="116"/>
      <c r="I480" s="119"/>
      <c r="J480" s="132"/>
      <c r="K480" s="199" t="str">
        <f>HYPERLINK(CONCATENATE("http://www.spr.depen.pr.gov.br/centralvagas/exibirFoto.jpg?numProntuario=",$E480,"&amp;idImagem=1"),"FOTO 1")</f>
        <v>FOTO 1</v>
      </c>
      <c r="L480" s="199" t="str">
        <f>HYPERLINK(CONCATENATE("http://www.spr.depen.pr.gov.br/centralvagas/exibirFoto.jpg?numProntuario=",$E480,"&amp;idImagem=2"),"FOTO 2")</f>
        <v>FOTO 2</v>
      </c>
      <c r="M480" s="199" t="str">
        <f>HYPERLINK(CONCATENATE("http://www.spr.depen.pr.gov.br/centralvagas/exibirFoto.jpg?numProntuario=",$E480,"&amp;idImagem=3"),"FOTO 3")</f>
        <v>FOTO 3</v>
      </c>
      <c r="N480" s="199" t="str">
        <f>HYPERLINK(CONCATENATE("http://www.spr.depen.pr.gov.br/centralvagas/exibirFoto.jpg?numProntuario=",$E480,"&amp;idImagem=4"),"FOTO 4")</f>
        <v>FOTO 4</v>
      </c>
      <c r="O480" s="199" t="str">
        <f>HYPERLINK(CONCATENATE("http://www.spr.depen.pr.gov.br/centralvagas/exibirFoto.jpg?numProntuario=",$E480,"&amp;idImagem=5"),"FOTO 5")</f>
        <v>FOTO 5</v>
      </c>
      <c r="P480" s="199" t="str">
        <f>HYPERLINK(CONCATENATE("http://www.spr.depen.pr.gov.br/centralvagas/exibirFoto.jpg?numProntuario=",$E480,"&amp;idImagem=6"),"FOTO 6")</f>
        <v>FOTO 6</v>
      </c>
    </row>
    <row r="481" spans="1:16" ht="14.1" customHeight="1" thickTop="1" thickBot="1">
      <c r="A481" s="242"/>
      <c r="B481" s="245"/>
      <c r="C481" s="116" t="s">
        <v>2725</v>
      </c>
      <c r="D481" s="131" t="s">
        <v>1465</v>
      </c>
      <c r="E481" s="117">
        <v>63734</v>
      </c>
      <c r="F481" s="116"/>
      <c r="G481" s="119"/>
      <c r="H481" s="116"/>
      <c r="I481" s="119"/>
      <c r="J481" s="116"/>
      <c r="K481" s="199" t="str">
        <f>HYPERLINK(CONCATENATE("http://www.spr.depen.pr.gov.br/centralvagas/exibirFoto.jpg?numProntuario=",$E481,"&amp;idImagem=1"),"FOTO 1")</f>
        <v>FOTO 1</v>
      </c>
      <c r="L481" s="199" t="str">
        <f>HYPERLINK(CONCATENATE("http://www.spr.depen.pr.gov.br/centralvagas/exibirFoto.jpg?numProntuario=",$E481,"&amp;idImagem=2"),"FOTO 2")</f>
        <v>FOTO 2</v>
      </c>
      <c r="M481" s="199" t="str">
        <f>HYPERLINK(CONCATENATE("http://www.spr.depen.pr.gov.br/centralvagas/exibirFoto.jpg?numProntuario=",$E481,"&amp;idImagem=3"),"FOTO 3")</f>
        <v>FOTO 3</v>
      </c>
      <c r="N481" s="199" t="str">
        <f>HYPERLINK(CONCATENATE("http://www.spr.depen.pr.gov.br/centralvagas/exibirFoto.jpg?numProntuario=",$E481,"&amp;idImagem=4"),"FOTO 4")</f>
        <v>FOTO 4</v>
      </c>
      <c r="O481" s="199" t="str">
        <f>HYPERLINK(CONCATENATE("http://www.spr.depen.pr.gov.br/centralvagas/exibirFoto.jpg?numProntuario=",$E481,"&amp;idImagem=5"),"FOTO 5")</f>
        <v>FOTO 5</v>
      </c>
      <c r="P481" s="199" t="str">
        <f>HYPERLINK(CONCATENATE("http://www.spr.depen.pr.gov.br/centralvagas/exibirFoto.jpg?numProntuario=",$E481,"&amp;idImagem=6"),"FOTO 6")</f>
        <v>FOTO 6</v>
      </c>
    </row>
    <row r="482" spans="1:16" ht="14.1" customHeight="1" thickTop="1" thickBot="1">
      <c r="A482" s="145"/>
      <c r="B482" s="147"/>
      <c r="C482" s="116" t="s">
        <v>2725</v>
      </c>
      <c r="D482" s="122" t="s">
        <v>3466</v>
      </c>
      <c r="E482" s="117">
        <v>164942</v>
      </c>
      <c r="F482" s="116"/>
      <c r="G482" s="119"/>
      <c r="H482" s="116"/>
      <c r="I482" s="119"/>
      <c r="J482" s="116"/>
      <c r="K482" s="199" t="str">
        <f>HYPERLINK(CONCATENATE("http://www.spr.depen.pr.gov.br/centralvagas/exibirFoto.jpg?numProntuario=",$E482,"&amp;idImagem=1"),"FOTO 1")</f>
        <v>FOTO 1</v>
      </c>
      <c r="L482" s="199" t="str">
        <f>HYPERLINK(CONCATENATE("http://www.spr.depen.pr.gov.br/centralvagas/exibirFoto.jpg?numProntuario=",$E482,"&amp;idImagem=2"),"FOTO 2")</f>
        <v>FOTO 2</v>
      </c>
      <c r="M482" s="199" t="str">
        <f>HYPERLINK(CONCATENATE("http://www.spr.depen.pr.gov.br/centralvagas/exibirFoto.jpg?numProntuario=",$E482,"&amp;idImagem=3"),"FOTO 3")</f>
        <v>FOTO 3</v>
      </c>
      <c r="N482" s="199" t="str">
        <f>HYPERLINK(CONCATENATE("http://www.spr.depen.pr.gov.br/centralvagas/exibirFoto.jpg?numProntuario=",$E482,"&amp;idImagem=4"),"FOTO 4")</f>
        <v>FOTO 4</v>
      </c>
      <c r="O482" s="199" t="str">
        <f>HYPERLINK(CONCATENATE("http://www.spr.depen.pr.gov.br/centralvagas/exibirFoto.jpg?numProntuario=",$E482,"&amp;idImagem=5"),"FOTO 5")</f>
        <v>FOTO 5</v>
      </c>
      <c r="P482" s="199" t="str">
        <f>HYPERLINK(CONCATENATE("http://www.spr.depen.pr.gov.br/centralvagas/exibirFoto.jpg?numProntuario=",$E482,"&amp;idImagem=6"),"FOTO 6")</f>
        <v>FOTO 6</v>
      </c>
    </row>
    <row r="483" spans="1:16" ht="14.1" customHeight="1" thickTop="1" thickBot="1">
      <c r="A483" s="123"/>
      <c r="B483" s="143"/>
      <c r="C483" s="116" t="s">
        <v>2725</v>
      </c>
      <c r="D483" s="131" t="s">
        <v>583</v>
      </c>
      <c r="E483" s="117">
        <v>63625</v>
      </c>
      <c r="F483" s="116"/>
      <c r="G483" s="119"/>
      <c r="H483" s="116"/>
      <c r="I483" s="119"/>
      <c r="J483" s="132"/>
      <c r="K483" s="199" t="str">
        <f>HYPERLINK(CONCATENATE("http://www.spr.depen.pr.gov.br/centralvagas/exibirFoto.jpg?numProntuario=",$E483,"&amp;idImagem=1"),"FOTO 1")</f>
        <v>FOTO 1</v>
      </c>
      <c r="L483" s="199" t="str">
        <f>HYPERLINK(CONCATENATE("http://www.spr.depen.pr.gov.br/centralvagas/exibirFoto.jpg?numProntuario=",$E483,"&amp;idImagem=2"),"FOTO 2")</f>
        <v>FOTO 2</v>
      </c>
      <c r="M483" s="199" t="str">
        <f>HYPERLINK(CONCATENATE("http://www.spr.depen.pr.gov.br/centralvagas/exibirFoto.jpg?numProntuario=",$E483,"&amp;idImagem=3"),"FOTO 3")</f>
        <v>FOTO 3</v>
      </c>
      <c r="N483" s="199" t="str">
        <f>HYPERLINK(CONCATENATE("http://www.spr.depen.pr.gov.br/centralvagas/exibirFoto.jpg?numProntuario=",$E483,"&amp;idImagem=4"),"FOTO 4")</f>
        <v>FOTO 4</v>
      </c>
      <c r="O483" s="199" t="str">
        <f>HYPERLINK(CONCATENATE("http://www.spr.depen.pr.gov.br/centralvagas/exibirFoto.jpg?numProntuario=",$E483,"&amp;idImagem=5"),"FOTO 5")</f>
        <v>FOTO 5</v>
      </c>
      <c r="P483" s="199" t="str">
        <f>HYPERLINK(CONCATENATE("http://www.spr.depen.pr.gov.br/centralvagas/exibirFoto.jpg?numProntuario=",$E483,"&amp;idImagem=6"),"FOTO 6")</f>
        <v>FOTO 6</v>
      </c>
    </row>
    <row r="484" spans="1:16" ht="14.1" customHeight="1" thickTop="1" thickBot="1">
      <c r="A484" s="372" t="s">
        <v>263</v>
      </c>
      <c r="B484" s="317">
        <v>44163</v>
      </c>
      <c r="C484" s="145" t="s">
        <v>2725</v>
      </c>
      <c r="D484" s="142" t="s">
        <v>2708</v>
      </c>
      <c r="E484" s="117">
        <v>24068</v>
      </c>
      <c r="F484" s="116"/>
      <c r="G484" s="119"/>
      <c r="H484" s="116"/>
      <c r="I484" s="119"/>
      <c r="J484" s="132"/>
      <c r="K484" s="199" t="str">
        <f>HYPERLINK(CONCATENATE("http://www.spr.depen.pr.gov.br/centralvagas/exibirFoto.jpg?numProntuario=",$E484,"&amp;idImagem=1"),"FOTO 1")</f>
        <v>FOTO 1</v>
      </c>
      <c r="L484" s="199" t="str">
        <f>HYPERLINK(CONCATENATE("http://www.spr.depen.pr.gov.br/centralvagas/exibirFoto.jpg?numProntuario=",$E484,"&amp;idImagem=2"),"FOTO 2")</f>
        <v>FOTO 2</v>
      </c>
      <c r="M484" s="199" t="str">
        <f>HYPERLINK(CONCATENATE("http://www.spr.depen.pr.gov.br/centralvagas/exibirFoto.jpg?numProntuario=",$E484,"&amp;idImagem=3"),"FOTO 3")</f>
        <v>FOTO 3</v>
      </c>
      <c r="N484" s="199" t="str">
        <f>HYPERLINK(CONCATENATE("http://www.spr.depen.pr.gov.br/centralvagas/exibirFoto.jpg?numProntuario=",$E484,"&amp;idImagem=4"),"FOTO 4")</f>
        <v>FOTO 4</v>
      </c>
      <c r="O484" s="199" t="str">
        <f>HYPERLINK(CONCATENATE("http://www.spr.depen.pr.gov.br/centralvagas/exibirFoto.jpg?numProntuario=",$E484,"&amp;idImagem=5"),"FOTO 5")</f>
        <v>FOTO 5</v>
      </c>
      <c r="P484" s="199" t="str">
        <f>HYPERLINK(CONCATENATE("http://www.spr.depen.pr.gov.br/centralvagas/exibirFoto.jpg?numProntuario=",$E484,"&amp;idImagem=6"),"FOTO 6")</f>
        <v>FOTO 6</v>
      </c>
    </row>
    <row r="485" spans="1:16" ht="14.1" customHeight="1" thickTop="1" thickBot="1">
      <c r="A485" s="123" t="s">
        <v>3476</v>
      </c>
      <c r="B485" s="384"/>
      <c r="C485" s="118" t="s">
        <v>2558</v>
      </c>
      <c r="D485" s="131" t="s">
        <v>2239</v>
      </c>
      <c r="E485" s="117">
        <v>7040</v>
      </c>
      <c r="F485" s="116"/>
      <c r="G485" s="119"/>
      <c r="H485" s="116"/>
      <c r="I485" s="119"/>
      <c r="J485" s="116"/>
      <c r="K485" s="199" t="str">
        <f>HYPERLINK(CONCATENATE("http://www.spr.depen.pr.gov.br/centralvagas/exibirFoto.jpg?numProntuario=",$E485,"&amp;idImagem=1"),"FOTO 1")</f>
        <v>FOTO 1</v>
      </c>
      <c r="L485" s="199" t="str">
        <f>HYPERLINK(CONCATENATE("http://www.spr.depen.pr.gov.br/centralvagas/exibirFoto.jpg?numProntuario=",$E485,"&amp;idImagem=2"),"FOTO 2")</f>
        <v>FOTO 2</v>
      </c>
      <c r="M485" s="199" t="str">
        <f>HYPERLINK(CONCATENATE("http://www.spr.depen.pr.gov.br/centralvagas/exibirFoto.jpg?numProntuario=",$E485,"&amp;idImagem=3"),"FOTO 3")</f>
        <v>FOTO 3</v>
      </c>
      <c r="N485" s="199" t="str">
        <f>HYPERLINK(CONCATENATE("http://www.spr.depen.pr.gov.br/centralvagas/exibirFoto.jpg?numProntuario=",$E485,"&amp;idImagem=4"),"FOTO 4")</f>
        <v>FOTO 4</v>
      </c>
      <c r="O485" s="199" t="str">
        <f>HYPERLINK(CONCATENATE("http://www.spr.depen.pr.gov.br/centralvagas/exibirFoto.jpg?numProntuario=",$E485,"&amp;idImagem=5"),"FOTO 5")</f>
        <v>FOTO 5</v>
      </c>
      <c r="P485" s="199" t="str">
        <f>HYPERLINK(CONCATENATE("http://www.spr.depen.pr.gov.br/centralvagas/exibirFoto.jpg?numProntuario=",$E485,"&amp;idImagem=6"),"FOTO 6")</f>
        <v>FOTO 6</v>
      </c>
    </row>
    <row r="486" spans="1:16" ht="14.1" customHeight="1" thickTop="1" thickBot="1">
      <c r="A486" s="123" t="s">
        <v>108</v>
      </c>
      <c r="B486" s="384"/>
      <c r="C486" s="125" t="s">
        <v>2558</v>
      </c>
      <c r="D486" s="131" t="s">
        <v>1975</v>
      </c>
      <c r="E486" s="117">
        <v>124930</v>
      </c>
      <c r="F486" s="116"/>
      <c r="G486" s="119"/>
      <c r="H486" s="116"/>
      <c r="I486" s="119"/>
      <c r="J486" s="132"/>
      <c r="K486" s="199" t="str">
        <f>HYPERLINK(CONCATENATE("http://www.spr.depen.pr.gov.br/centralvagas/exibirFoto.jpg?numProntuario=",$E486,"&amp;idImagem=1"),"FOTO 1")</f>
        <v>FOTO 1</v>
      </c>
      <c r="L486" s="199" t="str">
        <f>HYPERLINK(CONCATENATE("http://www.spr.depen.pr.gov.br/centralvagas/exibirFoto.jpg?numProntuario=",$E486,"&amp;idImagem=2"),"FOTO 2")</f>
        <v>FOTO 2</v>
      </c>
      <c r="M486" s="199" t="str">
        <f>HYPERLINK(CONCATENATE("http://www.spr.depen.pr.gov.br/centralvagas/exibirFoto.jpg?numProntuario=",$E486,"&amp;idImagem=3"),"FOTO 3")</f>
        <v>FOTO 3</v>
      </c>
      <c r="N486" s="199" t="str">
        <f>HYPERLINK(CONCATENATE("http://www.spr.depen.pr.gov.br/centralvagas/exibirFoto.jpg?numProntuario=",$E486,"&amp;idImagem=4"),"FOTO 4")</f>
        <v>FOTO 4</v>
      </c>
      <c r="O486" s="199" t="str">
        <f>HYPERLINK(CONCATENATE("http://www.spr.depen.pr.gov.br/centralvagas/exibirFoto.jpg?numProntuario=",$E486,"&amp;idImagem=5"),"FOTO 5")</f>
        <v>FOTO 5</v>
      </c>
      <c r="P486" s="199" t="str">
        <f>HYPERLINK(CONCATENATE("http://www.spr.depen.pr.gov.br/centralvagas/exibirFoto.jpg?numProntuario=",$E486,"&amp;idImagem=6"),"FOTO 6")</f>
        <v>FOTO 6</v>
      </c>
    </row>
    <row r="487" spans="1:16" ht="14.1" customHeight="1" thickTop="1" thickBot="1">
      <c r="A487" s="134"/>
      <c r="B487" s="419"/>
      <c r="C487" s="217" t="s">
        <v>2558</v>
      </c>
      <c r="D487" s="231" t="s">
        <v>2785</v>
      </c>
      <c r="E487" s="117">
        <v>27012</v>
      </c>
      <c r="F487" s="116"/>
      <c r="G487" s="119"/>
      <c r="H487" s="116"/>
      <c r="I487" s="119"/>
      <c r="J487" s="116"/>
      <c r="K487" s="199" t="str">
        <f>HYPERLINK(CONCATENATE("http://www.spr.depen.pr.gov.br/centralvagas/exibirFoto.jpg?numProntuario=",$E487,"&amp;idImagem=1"),"FOTO 1")</f>
        <v>FOTO 1</v>
      </c>
      <c r="L487" s="199" t="str">
        <f>HYPERLINK(CONCATENATE("http://www.spr.depen.pr.gov.br/centralvagas/exibirFoto.jpg?numProntuario=",$E487,"&amp;idImagem=2"),"FOTO 2")</f>
        <v>FOTO 2</v>
      </c>
      <c r="M487" s="199" t="str">
        <f>HYPERLINK(CONCATENATE("http://www.spr.depen.pr.gov.br/centralvagas/exibirFoto.jpg?numProntuario=",$E487,"&amp;idImagem=3"),"FOTO 3")</f>
        <v>FOTO 3</v>
      </c>
      <c r="N487" s="199" t="str">
        <f>HYPERLINK(CONCATENATE("http://www.spr.depen.pr.gov.br/centralvagas/exibirFoto.jpg?numProntuario=",$E487,"&amp;idImagem=4"),"FOTO 4")</f>
        <v>FOTO 4</v>
      </c>
      <c r="O487" s="199" t="str">
        <f>HYPERLINK(CONCATENATE("http://www.spr.depen.pr.gov.br/centralvagas/exibirFoto.jpg?numProntuario=",$E487,"&amp;idImagem=5"),"FOTO 5")</f>
        <v>FOTO 5</v>
      </c>
      <c r="P487" s="199" t="str">
        <f>HYPERLINK(CONCATENATE("http://www.spr.depen.pr.gov.br/centralvagas/exibirFoto.jpg?numProntuario=",$E487,"&amp;idImagem=6"),"FOTO 6")</f>
        <v>FOTO 6</v>
      </c>
    </row>
    <row r="488" spans="1:16" ht="14.1" customHeight="1" thickTop="1" thickBot="1">
      <c r="A488" s="123" t="s">
        <v>108</v>
      </c>
      <c r="B488" s="384"/>
      <c r="C488" s="118" t="s">
        <v>2558</v>
      </c>
      <c r="D488" s="122" t="s">
        <v>497</v>
      </c>
      <c r="E488" s="117">
        <v>52163</v>
      </c>
      <c r="F488" s="116"/>
      <c r="G488" s="119"/>
      <c r="H488" s="116"/>
      <c r="I488" s="119"/>
      <c r="J488" s="132"/>
      <c r="K488" s="199" t="str">
        <f>HYPERLINK(CONCATENATE("http://www.spr.depen.pr.gov.br/centralvagas/exibirFoto.jpg?numProntuario=",$E488,"&amp;idImagem=1"),"FOTO 1")</f>
        <v>FOTO 1</v>
      </c>
      <c r="L488" s="199" t="str">
        <f>HYPERLINK(CONCATENATE("http://www.spr.depen.pr.gov.br/centralvagas/exibirFoto.jpg?numProntuario=",$E488,"&amp;idImagem=2"),"FOTO 2")</f>
        <v>FOTO 2</v>
      </c>
      <c r="M488" s="199" t="str">
        <f>HYPERLINK(CONCATENATE("http://www.spr.depen.pr.gov.br/centralvagas/exibirFoto.jpg?numProntuario=",$E488,"&amp;idImagem=3"),"FOTO 3")</f>
        <v>FOTO 3</v>
      </c>
      <c r="N488" s="199" t="str">
        <f>HYPERLINK(CONCATENATE("http://www.spr.depen.pr.gov.br/centralvagas/exibirFoto.jpg?numProntuario=",$E488,"&amp;idImagem=4"),"FOTO 4")</f>
        <v>FOTO 4</v>
      </c>
      <c r="O488" s="199" t="str">
        <f>HYPERLINK(CONCATENATE("http://www.spr.depen.pr.gov.br/centralvagas/exibirFoto.jpg?numProntuario=",$E488,"&amp;idImagem=5"),"FOTO 5")</f>
        <v>FOTO 5</v>
      </c>
      <c r="P488" s="199" t="str">
        <f>HYPERLINK(CONCATENATE("http://www.spr.depen.pr.gov.br/centralvagas/exibirFoto.jpg?numProntuario=",$E488,"&amp;idImagem=6"),"FOTO 6")</f>
        <v>FOTO 6</v>
      </c>
    </row>
    <row r="489" spans="1:16" ht="14.1" customHeight="1" thickTop="1" thickBot="1">
      <c r="A489" s="123" t="s">
        <v>3476</v>
      </c>
      <c r="B489" s="384"/>
      <c r="C489" s="118" t="s">
        <v>2558</v>
      </c>
      <c r="D489" s="131" t="s">
        <v>2173</v>
      </c>
      <c r="E489" s="117">
        <v>120218</v>
      </c>
      <c r="F489" s="116"/>
      <c r="G489" s="119"/>
      <c r="H489" s="132"/>
      <c r="I489" s="119"/>
      <c r="J489" s="116"/>
      <c r="K489" s="199" t="str">
        <f>HYPERLINK(CONCATENATE("http://www.spr.depen.pr.gov.br/centralvagas/exibirFoto.jpg?numProntuario=",$E489,"&amp;idImagem=1"),"FOTO 1")</f>
        <v>FOTO 1</v>
      </c>
      <c r="L489" s="199" t="str">
        <f>HYPERLINK(CONCATENATE("http://www.spr.depen.pr.gov.br/centralvagas/exibirFoto.jpg?numProntuario=",$E489,"&amp;idImagem=2"),"FOTO 2")</f>
        <v>FOTO 2</v>
      </c>
      <c r="M489" s="199" t="str">
        <f>HYPERLINK(CONCATENATE("http://www.spr.depen.pr.gov.br/centralvagas/exibirFoto.jpg?numProntuario=",$E489,"&amp;idImagem=3"),"FOTO 3")</f>
        <v>FOTO 3</v>
      </c>
      <c r="N489" s="199" t="str">
        <f>HYPERLINK(CONCATENATE("http://www.spr.depen.pr.gov.br/centralvagas/exibirFoto.jpg?numProntuario=",$E489,"&amp;idImagem=4"),"FOTO 4")</f>
        <v>FOTO 4</v>
      </c>
      <c r="O489" s="199" t="str">
        <f>HYPERLINK(CONCATENATE("http://www.spr.depen.pr.gov.br/centralvagas/exibirFoto.jpg?numProntuario=",$E489,"&amp;idImagem=5"),"FOTO 5")</f>
        <v>FOTO 5</v>
      </c>
      <c r="P489" s="199" t="str">
        <f>HYPERLINK(CONCATENATE("http://www.spr.depen.pr.gov.br/centralvagas/exibirFoto.jpg?numProntuario=",$E489,"&amp;idImagem=6"),"FOTO 6")</f>
        <v>FOTO 6</v>
      </c>
    </row>
    <row r="490" spans="1:16" ht="14.1" customHeight="1" thickTop="1" thickBot="1">
      <c r="A490" s="571" t="s">
        <v>161</v>
      </c>
      <c r="B490" s="127"/>
      <c r="C490" s="118" t="s">
        <v>2411</v>
      </c>
      <c r="D490" s="131" t="s">
        <v>60</v>
      </c>
      <c r="E490" s="117">
        <v>63151</v>
      </c>
      <c r="F490" s="116"/>
      <c r="G490" s="136"/>
      <c r="H490" s="132"/>
      <c r="I490" s="136"/>
      <c r="J490" s="116"/>
      <c r="K490" s="199" t="str">
        <f>HYPERLINK(CONCATENATE("http://www.spr.depen.pr.gov.br/centralvagas/exibirFoto.jpg?numProntuario=",$E490,"&amp;idImagem=1"),"FOTO 1")</f>
        <v>FOTO 1</v>
      </c>
      <c r="L490" s="199" t="str">
        <f>HYPERLINK(CONCATENATE("http://www.spr.depen.pr.gov.br/centralvagas/exibirFoto.jpg?numProntuario=",$E490,"&amp;idImagem=2"),"FOTO 2")</f>
        <v>FOTO 2</v>
      </c>
      <c r="M490" s="199" t="str">
        <f>HYPERLINK(CONCATENATE("http://www.spr.depen.pr.gov.br/centralvagas/exibirFoto.jpg?numProntuario=",$E490,"&amp;idImagem=3"),"FOTO 3")</f>
        <v>FOTO 3</v>
      </c>
      <c r="N490" s="199" t="str">
        <f>HYPERLINK(CONCATENATE("http://www.spr.depen.pr.gov.br/centralvagas/exibirFoto.jpg?numProntuario=",$E490,"&amp;idImagem=4"),"FOTO 4")</f>
        <v>FOTO 4</v>
      </c>
      <c r="O490" s="199" t="str">
        <f>HYPERLINK(CONCATENATE("http://www.spr.depen.pr.gov.br/centralvagas/exibirFoto.jpg?numProntuario=",$E490,"&amp;idImagem=5"),"FOTO 5")</f>
        <v>FOTO 5</v>
      </c>
      <c r="P490" s="199" t="str">
        <f>HYPERLINK(CONCATENATE("http://www.spr.depen.pr.gov.br/centralvagas/exibirFoto.jpg?numProntuario=",$E490,"&amp;idImagem=6"),"FOTO 6")</f>
        <v>FOTO 6</v>
      </c>
    </row>
    <row r="491" spans="1:16" ht="14.1" customHeight="1" thickTop="1" thickBot="1">
      <c r="A491" s="571" t="s">
        <v>161</v>
      </c>
      <c r="B491" s="143"/>
      <c r="C491" s="116" t="s">
        <v>2411</v>
      </c>
      <c r="D491" s="131" t="s">
        <v>2651</v>
      </c>
      <c r="E491" s="117">
        <v>140089</v>
      </c>
      <c r="F491" s="116"/>
      <c r="G491" s="119"/>
      <c r="H491" s="116"/>
      <c r="I491" s="119"/>
      <c r="J491" s="116"/>
      <c r="K491" s="199" t="str">
        <f>HYPERLINK(CONCATENATE("http://www.spr.depen.pr.gov.br/centralvagas/exibirFoto.jpg?numProntuario=",$E491,"&amp;idImagem=1"),"FOTO 1")</f>
        <v>FOTO 1</v>
      </c>
      <c r="L491" s="199" t="str">
        <f>HYPERLINK(CONCATENATE("http://www.spr.depen.pr.gov.br/centralvagas/exibirFoto.jpg?numProntuario=",$E491,"&amp;idImagem=2"),"FOTO 2")</f>
        <v>FOTO 2</v>
      </c>
      <c r="M491" s="199" t="str">
        <f>HYPERLINK(CONCATENATE("http://www.spr.depen.pr.gov.br/centralvagas/exibirFoto.jpg?numProntuario=",$E491,"&amp;idImagem=3"),"FOTO 3")</f>
        <v>FOTO 3</v>
      </c>
      <c r="N491" s="199" t="str">
        <f>HYPERLINK(CONCATENATE("http://www.spr.depen.pr.gov.br/centralvagas/exibirFoto.jpg?numProntuario=",$E491,"&amp;idImagem=4"),"FOTO 4")</f>
        <v>FOTO 4</v>
      </c>
      <c r="O491" s="199" t="str">
        <f>HYPERLINK(CONCATENATE("http://www.spr.depen.pr.gov.br/centralvagas/exibirFoto.jpg?numProntuario=",$E491,"&amp;idImagem=5"),"FOTO 5")</f>
        <v>FOTO 5</v>
      </c>
      <c r="P491" s="199" t="str">
        <f>HYPERLINK(CONCATENATE("http://www.spr.depen.pr.gov.br/centralvagas/exibirFoto.jpg?numProntuario=",$E491,"&amp;idImagem=6"),"FOTO 6")</f>
        <v>FOTO 6</v>
      </c>
    </row>
    <row r="492" spans="1:16" ht="14.1" customHeight="1" thickTop="1" thickBot="1">
      <c r="A492" s="571" t="s">
        <v>161</v>
      </c>
      <c r="B492" s="472"/>
      <c r="C492" s="116" t="s">
        <v>2411</v>
      </c>
      <c r="D492" s="131" t="s">
        <v>264</v>
      </c>
      <c r="E492" s="117">
        <v>100907</v>
      </c>
      <c r="F492" s="116"/>
      <c r="G492" s="119"/>
      <c r="H492" s="116"/>
      <c r="I492" s="119"/>
      <c r="J492" s="116"/>
      <c r="K492" s="199" t="str">
        <f>HYPERLINK(CONCATENATE("http://www.spr.depen.pr.gov.br/centralvagas/exibirFoto.jpg?numProntuario=",$E492,"&amp;idImagem=1"),"FOTO 1")</f>
        <v>FOTO 1</v>
      </c>
      <c r="L492" s="199" t="str">
        <f>HYPERLINK(CONCATENATE("http://www.spr.depen.pr.gov.br/centralvagas/exibirFoto.jpg?numProntuario=",$E492,"&amp;idImagem=2"),"FOTO 2")</f>
        <v>FOTO 2</v>
      </c>
      <c r="M492" s="199" t="str">
        <f>HYPERLINK(CONCATENATE("http://www.spr.depen.pr.gov.br/centralvagas/exibirFoto.jpg?numProntuario=",$E492,"&amp;idImagem=3"),"FOTO 3")</f>
        <v>FOTO 3</v>
      </c>
      <c r="N492" s="199" t="str">
        <f>HYPERLINK(CONCATENATE("http://www.spr.depen.pr.gov.br/centralvagas/exibirFoto.jpg?numProntuario=",$E492,"&amp;idImagem=4"),"FOTO 4")</f>
        <v>FOTO 4</v>
      </c>
      <c r="O492" s="199" t="str">
        <f>HYPERLINK(CONCATENATE("http://www.spr.depen.pr.gov.br/centralvagas/exibirFoto.jpg?numProntuario=",$E492,"&amp;idImagem=5"),"FOTO 5")</f>
        <v>FOTO 5</v>
      </c>
      <c r="P492" s="199" t="str">
        <f>HYPERLINK(CONCATENATE("http://www.spr.depen.pr.gov.br/centralvagas/exibirFoto.jpg?numProntuario=",$E492,"&amp;idImagem=6"),"FOTO 6")</f>
        <v>FOTO 6</v>
      </c>
    </row>
    <row r="493" spans="1:16" ht="14.1" customHeight="1" thickTop="1" thickBot="1">
      <c r="A493" s="571" t="s">
        <v>161</v>
      </c>
      <c r="B493" s="127"/>
      <c r="C493" s="118" t="s">
        <v>2411</v>
      </c>
      <c r="D493" s="129" t="s">
        <v>1916</v>
      </c>
      <c r="E493" s="117">
        <v>108700</v>
      </c>
      <c r="F493" s="116"/>
      <c r="G493" s="119"/>
      <c r="H493" s="116"/>
      <c r="I493" s="119"/>
      <c r="J493" s="116"/>
      <c r="K493" s="199" t="str">
        <f>HYPERLINK(CONCATENATE("http://www.spr.depen.pr.gov.br/centralvagas/exibirFoto.jpg?numProntuario=",$E493,"&amp;idImagem=1"),"FOTO 1")</f>
        <v>FOTO 1</v>
      </c>
      <c r="L493" s="199" t="str">
        <f>HYPERLINK(CONCATENATE("http://www.spr.depen.pr.gov.br/centralvagas/exibirFoto.jpg?numProntuario=",$E493,"&amp;idImagem=2"),"FOTO 2")</f>
        <v>FOTO 2</v>
      </c>
      <c r="M493" s="199" t="str">
        <f>HYPERLINK(CONCATENATE("http://www.spr.depen.pr.gov.br/centralvagas/exibirFoto.jpg?numProntuario=",$E493,"&amp;idImagem=3"),"FOTO 3")</f>
        <v>FOTO 3</v>
      </c>
      <c r="N493" s="199" t="str">
        <f>HYPERLINK(CONCATENATE("http://www.spr.depen.pr.gov.br/centralvagas/exibirFoto.jpg?numProntuario=",$E493,"&amp;idImagem=4"),"FOTO 4")</f>
        <v>FOTO 4</v>
      </c>
      <c r="O493" s="199" t="str">
        <f>HYPERLINK(CONCATENATE("http://www.spr.depen.pr.gov.br/centralvagas/exibirFoto.jpg?numProntuario=",$E493,"&amp;idImagem=5"),"FOTO 5")</f>
        <v>FOTO 5</v>
      </c>
      <c r="P493" s="199" t="str">
        <f>HYPERLINK(CONCATENATE("http://www.spr.depen.pr.gov.br/centralvagas/exibirFoto.jpg?numProntuario=",$E493,"&amp;idImagem=6"),"FOTO 6")</f>
        <v>FOTO 6</v>
      </c>
    </row>
    <row r="494" spans="1:16" ht="14.1" customHeight="1" thickTop="1" thickBot="1">
      <c r="A494" s="573" t="s">
        <v>161</v>
      </c>
      <c r="B494" s="384"/>
      <c r="C494" s="118" t="s">
        <v>2411</v>
      </c>
      <c r="D494" s="122" t="s">
        <v>2655</v>
      </c>
      <c r="E494" s="117">
        <v>131399</v>
      </c>
      <c r="F494" s="116"/>
      <c r="G494" s="119"/>
      <c r="H494" s="116"/>
      <c r="I494" s="119"/>
      <c r="J494" s="116"/>
      <c r="K494" s="199" t="str">
        <f>HYPERLINK(CONCATENATE("http://www.spr.depen.pr.gov.br/centralvagas/exibirFoto.jpg?numProntuario=",$E494,"&amp;idImagem=1"),"FOTO 1")</f>
        <v>FOTO 1</v>
      </c>
      <c r="L494" s="199" t="str">
        <f>HYPERLINK(CONCATENATE("http://www.spr.depen.pr.gov.br/centralvagas/exibirFoto.jpg?numProntuario=",$E494,"&amp;idImagem=2"),"FOTO 2")</f>
        <v>FOTO 2</v>
      </c>
      <c r="M494" s="199" t="str">
        <f>HYPERLINK(CONCATENATE("http://www.spr.depen.pr.gov.br/centralvagas/exibirFoto.jpg?numProntuario=",$E494,"&amp;idImagem=3"),"FOTO 3")</f>
        <v>FOTO 3</v>
      </c>
      <c r="N494" s="199" t="str">
        <f>HYPERLINK(CONCATENATE("http://www.spr.depen.pr.gov.br/centralvagas/exibirFoto.jpg?numProntuario=",$E494,"&amp;idImagem=4"),"FOTO 4")</f>
        <v>FOTO 4</v>
      </c>
      <c r="O494" s="199" t="str">
        <f>HYPERLINK(CONCATENATE("http://www.spr.depen.pr.gov.br/centralvagas/exibirFoto.jpg?numProntuario=",$E494,"&amp;idImagem=5"),"FOTO 5")</f>
        <v>FOTO 5</v>
      </c>
      <c r="P494" s="199" t="str">
        <f>HYPERLINK(CONCATENATE("http://www.spr.depen.pr.gov.br/centralvagas/exibirFoto.jpg?numProntuario=",$E494,"&amp;idImagem=6"),"FOTO 6")</f>
        <v>FOTO 6</v>
      </c>
    </row>
    <row r="495" spans="1:16" ht="14.1" customHeight="1" thickTop="1" thickBot="1">
      <c r="A495" s="571" t="s">
        <v>161</v>
      </c>
      <c r="B495" s="419"/>
      <c r="C495" s="116" t="s">
        <v>2415</v>
      </c>
      <c r="D495" s="131" t="s">
        <v>2245</v>
      </c>
      <c r="E495" s="117">
        <v>109173</v>
      </c>
      <c r="F495" s="118"/>
      <c r="G495" s="119"/>
      <c r="H495" s="116"/>
      <c r="I495" s="119"/>
      <c r="J495" s="116"/>
      <c r="K495" s="199" t="str">
        <f>HYPERLINK(CONCATENATE("http://www.spr.depen.pr.gov.br/centralvagas/exibirFoto.jpg?numProntuario=",$E495,"&amp;idImagem=1"),"FOTO 1")</f>
        <v>FOTO 1</v>
      </c>
      <c r="L495" s="199" t="str">
        <f>HYPERLINK(CONCATENATE("http://www.spr.depen.pr.gov.br/centralvagas/exibirFoto.jpg?numProntuario=",$E495,"&amp;idImagem=2"),"FOTO 2")</f>
        <v>FOTO 2</v>
      </c>
      <c r="M495" s="199" t="str">
        <f>HYPERLINK(CONCATENATE("http://www.spr.depen.pr.gov.br/centralvagas/exibirFoto.jpg?numProntuario=",$E495,"&amp;idImagem=3"),"FOTO 3")</f>
        <v>FOTO 3</v>
      </c>
      <c r="N495" s="199" t="str">
        <f>HYPERLINK(CONCATENATE("http://www.spr.depen.pr.gov.br/centralvagas/exibirFoto.jpg?numProntuario=",$E495,"&amp;idImagem=4"),"FOTO 4")</f>
        <v>FOTO 4</v>
      </c>
      <c r="O495" s="199" t="str">
        <f>HYPERLINK(CONCATENATE("http://www.spr.depen.pr.gov.br/centralvagas/exibirFoto.jpg?numProntuario=",$E495,"&amp;idImagem=5"),"FOTO 5")</f>
        <v>FOTO 5</v>
      </c>
      <c r="P495" s="199" t="str">
        <f>HYPERLINK(CONCATENATE("http://www.spr.depen.pr.gov.br/centralvagas/exibirFoto.jpg?numProntuario=",$E495,"&amp;idImagem=6"),"FOTO 6")</f>
        <v>FOTO 6</v>
      </c>
    </row>
    <row r="496" spans="1:16" ht="14.1" customHeight="1" thickTop="1" thickBot="1">
      <c r="A496" s="571" t="s">
        <v>161</v>
      </c>
      <c r="B496" s="419"/>
      <c r="C496" s="118" t="s">
        <v>2415</v>
      </c>
      <c r="D496" s="130" t="s">
        <v>999</v>
      </c>
      <c r="E496" s="117">
        <v>90114</v>
      </c>
      <c r="F496" s="116"/>
      <c r="G496" s="119"/>
      <c r="H496" s="116"/>
      <c r="I496" s="119"/>
      <c r="J496" s="116"/>
      <c r="K496" s="199" t="str">
        <f>HYPERLINK(CONCATENATE("http://www.spr.depen.pr.gov.br/centralvagas/exibirFoto.jpg?numProntuario=",$E496,"&amp;idImagem=1"),"FOTO 1")</f>
        <v>FOTO 1</v>
      </c>
      <c r="L496" s="199" t="str">
        <f>HYPERLINK(CONCATENATE("http://www.spr.depen.pr.gov.br/centralvagas/exibirFoto.jpg?numProntuario=",$E496,"&amp;idImagem=2"),"FOTO 2")</f>
        <v>FOTO 2</v>
      </c>
      <c r="M496" s="199" t="str">
        <f>HYPERLINK(CONCATENATE("http://www.spr.depen.pr.gov.br/centralvagas/exibirFoto.jpg?numProntuario=",$E496,"&amp;idImagem=3"),"FOTO 3")</f>
        <v>FOTO 3</v>
      </c>
      <c r="N496" s="199" t="str">
        <f>HYPERLINK(CONCATENATE("http://www.spr.depen.pr.gov.br/centralvagas/exibirFoto.jpg?numProntuario=",$E496,"&amp;idImagem=4"),"FOTO 4")</f>
        <v>FOTO 4</v>
      </c>
      <c r="O496" s="199" t="str">
        <f>HYPERLINK(CONCATENATE("http://www.spr.depen.pr.gov.br/centralvagas/exibirFoto.jpg?numProntuario=",$E496,"&amp;idImagem=5"),"FOTO 5")</f>
        <v>FOTO 5</v>
      </c>
      <c r="P496" s="199" t="str">
        <f>HYPERLINK(CONCATENATE("http://www.spr.depen.pr.gov.br/centralvagas/exibirFoto.jpg?numProntuario=",$E496,"&amp;idImagem=6"),"FOTO 6")</f>
        <v>FOTO 6</v>
      </c>
    </row>
    <row r="497" spans="1:16" ht="14.1" customHeight="1" thickTop="1" thickBot="1">
      <c r="A497" s="571" t="s">
        <v>161</v>
      </c>
      <c r="B497" s="438"/>
      <c r="C497" s="116" t="s">
        <v>2415</v>
      </c>
      <c r="D497" s="129" t="s">
        <v>563</v>
      </c>
      <c r="E497" s="117">
        <v>103896</v>
      </c>
      <c r="F497" s="116"/>
      <c r="G497" s="119"/>
      <c r="H497" s="116"/>
      <c r="I497" s="119"/>
      <c r="J497" s="116"/>
      <c r="K497" s="199" t="str">
        <f>HYPERLINK(CONCATENATE("http://www.spr.depen.pr.gov.br/centralvagas/exibirFoto.jpg?numProntuario=",$E497,"&amp;idImagem=1"),"FOTO 1")</f>
        <v>FOTO 1</v>
      </c>
      <c r="L497" s="199" t="str">
        <f>HYPERLINK(CONCATENATE("http://www.spr.depen.pr.gov.br/centralvagas/exibirFoto.jpg?numProntuario=",$E497,"&amp;idImagem=2"),"FOTO 2")</f>
        <v>FOTO 2</v>
      </c>
      <c r="M497" s="199" t="str">
        <f>HYPERLINK(CONCATENATE("http://www.spr.depen.pr.gov.br/centralvagas/exibirFoto.jpg?numProntuario=",$E497,"&amp;idImagem=3"),"FOTO 3")</f>
        <v>FOTO 3</v>
      </c>
      <c r="N497" s="199" t="str">
        <f>HYPERLINK(CONCATENATE("http://www.spr.depen.pr.gov.br/centralvagas/exibirFoto.jpg?numProntuario=",$E497,"&amp;idImagem=4"),"FOTO 4")</f>
        <v>FOTO 4</v>
      </c>
      <c r="O497" s="199" t="str">
        <f>HYPERLINK(CONCATENATE("http://www.spr.depen.pr.gov.br/centralvagas/exibirFoto.jpg?numProntuario=",$E497,"&amp;idImagem=5"),"FOTO 5")</f>
        <v>FOTO 5</v>
      </c>
      <c r="P497" s="199" t="str">
        <f>HYPERLINK(CONCATENATE("http://www.spr.depen.pr.gov.br/centralvagas/exibirFoto.jpg?numProntuario=",$E497,"&amp;idImagem=6"),"FOTO 6")</f>
        <v>FOTO 6</v>
      </c>
    </row>
    <row r="498" spans="1:16" ht="14.1" customHeight="1" thickTop="1" thickBot="1">
      <c r="A498" s="571" t="s">
        <v>161</v>
      </c>
      <c r="B498" s="438"/>
      <c r="C498" s="116" t="s">
        <v>2415</v>
      </c>
      <c r="D498" s="130" t="s">
        <v>2570</v>
      </c>
      <c r="E498" s="117">
        <v>161891</v>
      </c>
      <c r="F498" s="116"/>
      <c r="G498" s="119"/>
      <c r="H498" s="116"/>
      <c r="I498" s="119"/>
      <c r="J498" s="132"/>
      <c r="K498" s="199" t="str">
        <f>HYPERLINK(CONCATENATE("http://www.spr.depen.pr.gov.br/centralvagas/exibirFoto.jpg?numProntuario=",$E498,"&amp;idImagem=1"),"FOTO 1")</f>
        <v>FOTO 1</v>
      </c>
      <c r="L498" s="199" t="str">
        <f>HYPERLINK(CONCATENATE("http://www.spr.depen.pr.gov.br/centralvagas/exibirFoto.jpg?numProntuario=",$E498,"&amp;idImagem=2"),"FOTO 2")</f>
        <v>FOTO 2</v>
      </c>
      <c r="M498" s="199" t="str">
        <f>HYPERLINK(CONCATENATE("http://www.spr.depen.pr.gov.br/centralvagas/exibirFoto.jpg?numProntuario=",$E498,"&amp;idImagem=3"),"FOTO 3")</f>
        <v>FOTO 3</v>
      </c>
      <c r="N498" s="199" t="str">
        <f>HYPERLINK(CONCATENATE("http://www.spr.depen.pr.gov.br/centralvagas/exibirFoto.jpg?numProntuario=",$E498,"&amp;idImagem=4"),"FOTO 4")</f>
        <v>FOTO 4</v>
      </c>
      <c r="O498" s="199" t="str">
        <f>HYPERLINK(CONCATENATE("http://www.spr.depen.pr.gov.br/centralvagas/exibirFoto.jpg?numProntuario=",$E498,"&amp;idImagem=5"),"FOTO 5")</f>
        <v>FOTO 5</v>
      </c>
      <c r="P498" s="199" t="str">
        <f>HYPERLINK(CONCATENATE("http://www.spr.depen.pr.gov.br/centralvagas/exibirFoto.jpg?numProntuario=",$E498,"&amp;idImagem=6"),"FOTO 6")</f>
        <v>FOTO 6</v>
      </c>
    </row>
    <row r="499" spans="1:16" ht="14.1" customHeight="1" thickTop="1" thickBot="1">
      <c r="A499" s="571" t="s">
        <v>161</v>
      </c>
      <c r="B499" s="438"/>
      <c r="C499" s="118" t="s">
        <v>2415</v>
      </c>
      <c r="D499" s="122" t="s">
        <v>1910</v>
      </c>
      <c r="E499" s="117">
        <v>115006</v>
      </c>
      <c r="F499" s="116"/>
      <c r="G499" s="119"/>
      <c r="H499" s="116"/>
      <c r="I499" s="119"/>
      <c r="J499" s="116"/>
      <c r="K499" s="199" t="str">
        <f>HYPERLINK(CONCATENATE("http://www.spr.depen.pr.gov.br/centralvagas/exibirFoto.jpg?numProntuario=",$E499,"&amp;idImagem=1"),"FOTO 1")</f>
        <v>FOTO 1</v>
      </c>
      <c r="L499" s="199" t="str">
        <f>HYPERLINK(CONCATENATE("http://www.spr.depen.pr.gov.br/centralvagas/exibirFoto.jpg?numProntuario=",$E499,"&amp;idImagem=2"),"FOTO 2")</f>
        <v>FOTO 2</v>
      </c>
      <c r="M499" s="199" t="str">
        <f>HYPERLINK(CONCATENATE("http://www.spr.depen.pr.gov.br/centralvagas/exibirFoto.jpg?numProntuario=",$E499,"&amp;idImagem=3"),"FOTO 3")</f>
        <v>FOTO 3</v>
      </c>
      <c r="N499" s="199" t="str">
        <f>HYPERLINK(CONCATENATE("http://www.spr.depen.pr.gov.br/centralvagas/exibirFoto.jpg?numProntuario=",$E499,"&amp;idImagem=4"),"FOTO 4")</f>
        <v>FOTO 4</v>
      </c>
      <c r="O499" s="199" t="str">
        <f>HYPERLINK(CONCATENATE("http://www.spr.depen.pr.gov.br/centralvagas/exibirFoto.jpg?numProntuario=",$E499,"&amp;idImagem=5"),"FOTO 5")</f>
        <v>FOTO 5</v>
      </c>
      <c r="P499" s="199" t="str">
        <f>HYPERLINK(CONCATENATE("http://www.spr.depen.pr.gov.br/centralvagas/exibirFoto.jpg?numProntuario=",$E499,"&amp;idImagem=6"),"FOTO 6")</f>
        <v>FOTO 6</v>
      </c>
    </row>
    <row r="500" spans="1:16" ht="14.1" customHeight="1" thickTop="1" thickBot="1">
      <c r="A500" s="574" t="s">
        <v>161</v>
      </c>
      <c r="B500" s="419"/>
      <c r="C500" s="116" t="s">
        <v>2393</v>
      </c>
      <c r="D500" s="260" t="s">
        <v>2217</v>
      </c>
      <c r="E500" s="325">
        <v>126575</v>
      </c>
      <c r="F500" s="116"/>
      <c r="G500" s="119"/>
      <c r="H500" s="116"/>
      <c r="I500" s="119"/>
      <c r="J500" s="116"/>
      <c r="K500" s="199" t="str">
        <f>HYPERLINK(CONCATENATE("http://www.spr.depen.pr.gov.br/centralvagas/exibirFoto.jpg?numProntuario=",$E500,"&amp;idImagem=1"),"FOTO 1")</f>
        <v>FOTO 1</v>
      </c>
      <c r="L500" s="199" t="str">
        <f>HYPERLINK(CONCATENATE("http://www.spr.depen.pr.gov.br/centralvagas/exibirFoto.jpg?numProntuario=",$E500,"&amp;idImagem=2"),"FOTO 2")</f>
        <v>FOTO 2</v>
      </c>
      <c r="M500" s="199" t="str">
        <f>HYPERLINK(CONCATENATE("http://www.spr.depen.pr.gov.br/centralvagas/exibirFoto.jpg?numProntuario=",$E500,"&amp;idImagem=3"),"FOTO 3")</f>
        <v>FOTO 3</v>
      </c>
      <c r="N500" s="199" t="str">
        <f>HYPERLINK(CONCATENATE("http://www.spr.depen.pr.gov.br/centralvagas/exibirFoto.jpg?numProntuario=",$E500,"&amp;idImagem=4"),"FOTO 4")</f>
        <v>FOTO 4</v>
      </c>
      <c r="O500" s="199" t="str">
        <f>HYPERLINK(CONCATENATE("http://www.spr.depen.pr.gov.br/centralvagas/exibirFoto.jpg?numProntuario=",$E500,"&amp;idImagem=5"),"FOTO 5")</f>
        <v>FOTO 5</v>
      </c>
      <c r="P500" s="199" t="str">
        <f>HYPERLINK(CONCATENATE("http://www.spr.depen.pr.gov.br/centralvagas/exibirFoto.jpg?numProntuario=",$E500,"&amp;idImagem=6"),"FOTO 6")</f>
        <v>FOTO 6</v>
      </c>
    </row>
    <row r="501" spans="1:16" ht="14.1" customHeight="1" thickTop="1" thickBot="1">
      <c r="A501" s="571" t="s">
        <v>161</v>
      </c>
      <c r="B501" s="147"/>
      <c r="C501" s="116" t="s">
        <v>2393</v>
      </c>
      <c r="D501" s="130" t="s">
        <v>2174</v>
      </c>
      <c r="E501" s="117">
        <v>113264</v>
      </c>
      <c r="F501" s="116"/>
      <c r="G501" s="119"/>
      <c r="H501" s="116"/>
      <c r="I501" s="119"/>
      <c r="J501" s="116"/>
      <c r="K501" s="199" t="str">
        <f>HYPERLINK(CONCATENATE("http://www.spr.depen.pr.gov.br/centralvagas/exibirFoto.jpg?numProntuario=",$E501,"&amp;idImagem=1"),"FOTO 1")</f>
        <v>FOTO 1</v>
      </c>
      <c r="L501" s="199" t="str">
        <f>HYPERLINK(CONCATENATE("http://www.spr.depen.pr.gov.br/centralvagas/exibirFoto.jpg?numProntuario=",$E501,"&amp;idImagem=2"),"FOTO 2")</f>
        <v>FOTO 2</v>
      </c>
      <c r="M501" s="199" t="str">
        <f>HYPERLINK(CONCATENATE("http://www.spr.depen.pr.gov.br/centralvagas/exibirFoto.jpg?numProntuario=",$E501,"&amp;idImagem=3"),"FOTO 3")</f>
        <v>FOTO 3</v>
      </c>
      <c r="N501" s="199" t="str">
        <f>HYPERLINK(CONCATENATE("http://www.spr.depen.pr.gov.br/centralvagas/exibirFoto.jpg?numProntuario=",$E501,"&amp;idImagem=4"),"FOTO 4")</f>
        <v>FOTO 4</v>
      </c>
      <c r="O501" s="199" t="str">
        <f>HYPERLINK(CONCATENATE("http://www.spr.depen.pr.gov.br/centralvagas/exibirFoto.jpg?numProntuario=",$E501,"&amp;idImagem=5"),"FOTO 5")</f>
        <v>FOTO 5</v>
      </c>
      <c r="P501" s="199" t="str">
        <f>HYPERLINK(CONCATENATE("http://www.spr.depen.pr.gov.br/centralvagas/exibirFoto.jpg?numProntuario=",$E501,"&amp;idImagem=6"),"FOTO 6")</f>
        <v>FOTO 6</v>
      </c>
    </row>
    <row r="502" spans="1:16" ht="14.1" customHeight="1" thickTop="1" thickBot="1">
      <c r="A502" s="571" t="s">
        <v>161</v>
      </c>
      <c r="B502" s="127"/>
      <c r="C502" s="116" t="s">
        <v>2393</v>
      </c>
      <c r="D502" s="131" t="s">
        <v>2499</v>
      </c>
      <c r="E502" s="117">
        <v>63554</v>
      </c>
      <c r="F502" s="116"/>
      <c r="G502" s="119"/>
      <c r="H502" s="116"/>
      <c r="I502" s="119"/>
      <c r="J502" s="132"/>
      <c r="K502" s="199" t="str">
        <f>HYPERLINK(CONCATENATE("http://www.spr.depen.pr.gov.br/centralvagas/exibirFoto.jpg?numProntuario=",$E502,"&amp;idImagem=1"),"FOTO 1")</f>
        <v>FOTO 1</v>
      </c>
      <c r="L502" s="199" t="str">
        <f>HYPERLINK(CONCATENATE("http://www.spr.depen.pr.gov.br/centralvagas/exibirFoto.jpg?numProntuario=",$E502,"&amp;idImagem=2"),"FOTO 2")</f>
        <v>FOTO 2</v>
      </c>
      <c r="M502" s="199" t="str">
        <f>HYPERLINK(CONCATENATE("http://www.spr.depen.pr.gov.br/centralvagas/exibirFoto.jpg?numProntuario=",$E502,"&amp;idImagem=3"),"FOTO 3")</f>
        <v>FOTO 3</v>
      </c>
      <c r="N502" s="199" t="str">
        <f>HYPERLINK(CONCATENATE("http://www.spr.depen.pr.gov.br/centralvagas/exibirFoto.jpg?numProntuario=",$E502,"&amp;idImagem=4"),"FOTO 4")</f>
        <v>FOTO 4</v>
      </c>
      <c r="O502" s="199" t="str">
        <f>HYPERLINK(CONCATENATE("http://www.spr.depen.pr.gov.br/centralvagas/exibirFoto.jpg?numProntuario=",$E502,"&amp;idImagem=5"),"FOTO 5")</f>
        <v>FOTO 5</v>
      </c>
      <c r="P502" s="199" t="str">
        <f>HYPERLINK(CONCATENATE("http://www.spr.depen.pr.gov.br/centralvagas/exibirFoto.jpg?numProntuario=",$E502,"&amp;idImagem=6"),"FOTO 6")</f>
        <v>FOTO 6</v>
      </c>
    </row>
    <row r="503" spans="1:16" ht="14.1" customHeight="1" thickTop="1" thickBot="1">
      <c r="A503" s="571" t="s">
        <v>161</v>
      </c>
      <c r="B503" s="127"/>
      <c r="C503" s="125" t="s">
        <v>2393</v>
      </c>
      <c r="D503" s="129" t="s">
        <v>2201</v>
      </c>
      <c r="E503" s="117">
        <v>142857</v>
      </c>
      <c r="F503" s="116"/>
      <c r="G503" s="119"/>
      <c r="H503" s="116"/>
      <c r="I503" s="119"/>
      <c r="J503" s="116"/>
      <c r="K503" s="199" t="str">
        <f>HYPERLINK(CONCATENATE("http://www.spr.depen.pr.gov.br/centralvagas/exibirFoto.jpg?numProntuario=",$E503,"&amp;idImagem=1"),"FOTO 1")</f>
        <v>FOTO 1</v>
      </c>
      <c r="L503" s="199" t="str">
        <f>HYPERLINK(CONCATENATE("http://www.spr.depen.pr.gov.br/centralvagas/exibirFoto.jpg?numProntuario=",$E503,"&amp;idImagem=2"),"FOTO 2")</f>
        <v>FOTO 2</v>
      </c>
      <c r="M503" s="199" t="str">
        <f>HYPERLINK(CONCATENATE("http://www.spr.depen.pr.gov.br/centralvagas/exibirFoto.jpg?numProntuario=",$E503,"&amp;idImagem=3"),"FOTO 3")</f>
        <v>FOTO 3</v>
      </c>
      <c r="N503" s="199" t="str">
        <f>HYPERLINK(CONCATENATE("http://www.spr.depen.pr.gov.br/centralvagas/exibirFoto.jpg?numProntuario=",$E503,"&amp;idImagem=4"),"FOTO 4")</f>
        <v>FOTO 4</v>
      </c>
      <c r="O503" s="199" t="str">
        <f>HYPERLINK(CONCATENATE("http://www.spr.depen.pr.gov.br/centralvagas/exibirFoto.jpg?numProntuario=",$E503,"&amp;idImagem=5"),"FOTO 5")</f>
        <v>FOTO 5</v>
      </c>
      <c r="P503" s="199" t="str">
        <f>HYPERLINK(CONCATENATE("http://www.spr.depen.pr.gov.br/centralvagas/exibirFoto.jpg?numProntuario=",$E503,"&amp;idImagem=6"),"FOTO 6")</f>
        <v>FOTO 6</v>
      </c>
    </row>
    <row r="504" spans="1:16" ht="14.1" customHeight="1" thickTop="1" thickBot="1">
      <c r="A504" s="573" t="s">
        <v>161</v>
      </c>
      <c r="B504" s="147"/>
      <c r="C504" s="118" t="s">
        <v>2393</v>
      </c>
      <c r="D504" s="122" t="s">
        <v>2648</v>
      </c>
      <c r="E504" s="117">
        <v>112999</v>
      </c>
      <c r="F504" s="116"/>
      <c r="G504" s="119"/>
      <c r="H504" s="116"/>
      <c r="I504" s="119"/>
      <c r="J504" s="116"/>
      <c r="K504" s="199" t="str">
        <f>HYPERLINK(CONCATENATE("http://www.spr.depen.pr.gov.br/centralvagas/exibirFoto.jpg?numProntuario=",$E504,"&amp;idImagem=1"),"FOTO 1")</f>
        <v>FOTO 1</v>
      </c>
      <c r="L504" s="199" t="str">
        <f>HYPERLINK(CONCATENATE("http://www.spr.depen.pr.gov.br/centralvagas/exibirFoto.jpg?numProntuario=",$E504,"&amp;idImagem=2"),"FOTO 2")</f>
        <v>FOTO 2</v>
      </c>
      <c r="M504" s="199" t="str">
        <f>HYPERLINK(CONCATENATE("http://www.spr.depen.pr.gov.br/centralvagas/exibirFoto.jpg?numProntuario=",$E504,"&amp;idImagem=3"),"FOTO 3")</f>
        <v>FOTO 3</v>
      </c>
      <c r="N504" s="199" t="str">
        <f>HYPERLINK(CONCATENATE("http://www.spr.depen.pr.gov.br/centralvagas/exibirFoto.jpg?numProntuario=",$E504,"&amp;idImagem=4"),"FOTO 4")</f>
        <v>FOTO 4</v>
      </c>
      <c r="O504" s="199" t="str">
        <f>HYPERLINK(CONCATENATE("http://www.spr.depen.pr.gov.br/centralvagas/exibirFoto.jpg?numProntuario=",$E504,"&amp;idImagem=5"),"FOTO 5")</f>
        <v>FOTO 5</v>
      </c>
      <c r="P504" s="199" t="str">
        <f>HYPERLINK(CONCATENATE("http://www.spr.depen.pr.gov.br/centralvagas/exibirFoto.jpg?numProntuario=",$E504,"&amp;idImagem=6"),"FOTO 6")</f>
        <v>FOTO 6</v>
      </c>
    </row>
    <row r="505" spans="1:16" ht="14.1" customHeight="1" thickTop="1" thickBot="1">
      <c r="A505" s="571" t="s">
        <v>161</v>
      </c>
      <c r="B505" s="240"/>
      <c r="C505" s="125" t="s">
        <v>2452</v>
      </c>
      <c r="D505" s="129" t="s">
        <v>866</v>
      </c>
      <c r="E505" s="117">
        <v>63667</v>
      </c>
      <c r="F505" s="116"/>
      <c r="G505" s="119"/>
      <c r="H505" s="116"/>
      <c r="I505" s="119"/>
      <c r="J505" s="116"/>
      <c r="K505" s="199" t="str">
        <f>HYPERLINK(CONCATENATE("http://www.spr.depen.pr.gov.br/centralvagas/exibirFoto.jpg?numProntuario=",$E505,"&amp;idImagem=1"),"FOTO 1")</f>
        <v>FOTO 1</v>
      </c>
      <c r="L505" s="199" t="str">
        <f>HYPERLINK(CONCATENATE("http://www.spr.depen.pr.gov.br/centralvagas/exibirFoto.jpg?numProntuario=",$E505,"&amp;idImagem=2"),"FOTO 2")</f>
        <v>FOTO 2</v>
      </c>
      <c r="M505" s="199" t="str">
        <f>HYPERLINK(CONCATENATE("http://www.spr.depen.pr.gov.br/centralvagas/exibirFoto.jpg?numProntuario=",$E505,"&amp;idImagem=3"),"FOTO 3")</f>
        <v>FOTO 3</v>
      </c>
      <c r="N505" s="199" t="str">
        <f>HYPERLINK(CONCATENATE("http://www.spr.depen.pr.gov.br/centralvagas/exibirFoto.jpg?numProntuario=",$E505,"&amp;idImagem=4"),"FOTO 4")</f>
        <v>FOTO 4</v>
      </c>
      <c r="O505" s="199" t="str">
        <f>HYPERLINK(CONCATENATE("http://www.spr.depen.pr.gov.br/centralvagas/exibirFoto.jpg?numProntuario=",$E505,"&amp;idImagem=5"),"FOTO 5")</f>
        <v>FOTO 5</v>
      </c>
      <c r="P505" s="199" t="str">
        <f>HYPERLINK(CONCATENATE("http://www.spr.depen.pr.gov.br/centralvagas/exibirFoto.jpg?numProntuario=",$E505,"&amp;idImagem=6"),"FOTO 6")</f>
        <v>FOTO 6</v>
      </c>
    </row>
    <row r="506" spans="1:16" ht="14.1" customHeight="1" thickTop="1" thickBot="1">
      <c r="A506" s="573" t="s">
        <v>161</v>
      </c>
      <c r="B506" s="147"/>
      <c r="C506" s="116" t="s">
        <v>2452</v>
      </c>
      <c r="D506" s="131" t="s">
        <v>2522</v>
      </c>
      <c r="E506" s="117">
        <v>74579</v>
      </c>
      <c r="F506" s="116"/>
      <c r="G506" s="119"/>
      <c r="H506" s="116"/>
      <c r="I506" s="119"/>
      <c r="J506" s="132"/>
      <c r="K506" s="199" t="str">
        <f>HYPERLINK(CONCATENATE("http://www.spr.depen.pr.gov.br/centralvagas/exibirFoto.jpg?numProntuario=",$E506,"&amp;idImagem=1"),"FOTO 1")</f>
        <v>FOTO 1</v>
      </c>
      <c r="L506" s="199" t="str">
        <f>HYPERLINK(CONCATENATE("http://www.spr.depen.pr.gov.br/centralvagas/exibirFoto.jpg?numProntuario=",$E506,"&amp;idImagem=2"),"FOTO 2")</f>
        <v>FOTO 2</v>
      </c>
      <c r="M506" s="199" t="str">
        <f>HYPERLINK(CONCATENATE("http://www.spr.depen.pr.gov.br/centralvagas/exibirFoto.jpg?numProntuario=",$E506,"&amp;idImagem=3"),"FOTO 3")</f>
        <v>FOTO 3</v>
      </c>
      <c r="N506" s="199" t="str">
        <f>HYPERLINK(CONCATENATE("http://www.spr.depen.pr.gov.br/centralvagas/exibirFoto.jpg?numProntuario=",$E506,"&amp;idImagem=4"),"FOTO 4")</f>
        <v>FOTO 4</v>
      </c>
      <c r="O506" s="199" t="str">
        <f>HYPERLINK(CONCATENATE("http://www.spr.depen.pr.gov.br/centralvagas/exibirFoto.jpg?numProntuario=",$E506,"&amp;idImagem=5"),"FOTO 5")</f>
        <v>FOTO 5</v>
      </c>
      <c r="P506" s="199" t="str">
        <f>HYPERLINK(CONCATENATE("http://www.spr.depen.pr.gov.br/centralvagas/exibirFoto.jpg?numProntuario=",$E506,"&amp;idImagem=6"),"FOTO 6")</f>
        <v>FOTO 6</v>
      </c>
    </row>
    <row r="507" spans="1:16" ht="14.1" customHeight="1" thickTop="1" thickBot="1">
      <c r="A507" s="571" t="s">
        <v>161</v>
      </c>
      <c r="B507" s="473"/>
      <c r="C507" s="116" t="s">
        <v>2452</v>
      </c>
      <c r="D507" s="129" t="s">
        <v>2101</v>
      </c>
      <c r="E507" s="117">
        <v>126018</v>
      </c>
      <c r="F507" s="116"/>
      <c r="G507" s="119"/>
      <c r="H507" s="116"/>
      <c r="I507" s="119"/>
      <c r="J507" s="116"/>
      <c r="K507" s="199" t="str">
        <f>HYPERLINK(CONCATENATE("http://www.spr.depen.pr.gov.br/centralvagas/exibirFoto.jpg?numProntuario=",$E507,"&amp;idImagem=1"),"FOTO 1")</f>
        <v>FOTO 1</v>
      </c>
      <c r="L507" s="199" t="str">
        <f>HYPERLINK(CONCATENATE("http://www.spr.depen.pr.gov.br/centralvagas/exibirFoto.jpg?numProntuario=",$E507,"&amp;idImagem=2"),"FOTO 2")</f>
        <v>FOTO 2</v>
      </c>
      <c r="M507" s="199" t="str">
        <f>HYPERLINK(CONCATENATE("http://www.spr.depen.pr.gov.br/centralvagas/exibirFoto.jpg?numProntuario=",$E507,"&amp;idImagem=3"),"FOTO 3")</f>
        <v>FOTO 3</v>
      </c>
      <c r="N507" s="199" t="str">
        <f>HYPERLINK(CONCATENATE("http://www.spr.depen.pr.gov.br/centralvagas/exibirFoto.jpg?numProntuario=",$E507,"&amp;idImagem=4"),"FOTO 4")</f>
        <v>FOTO 4</v>
      </c>
      <c r="O507" s="199" t="str">
        <f>HYPERLINK(CONCATENATE("http://www.spr.depen.pr.gov.br/centralvagas/exibirFoto.jpg?numProntuario=",$E507,"&amp;idImagem=5"),"FOTO 5")</f>
        <v>FOTO 5</v>
      </c>
      <c r="P507" s="199" t="str">
        <f>HYPERLINK(CONCATENATE("http://www.spr.depen.pr.gov.br/centralvagas/exibirFoto.jpg?numProntuario=",$E507,"&amp;idImagem=6"),"FOTO 6")</f>
        <v>FOTO 6</v>
      </c>
    </row>
    <row r="508" spans="1:16" ht="14.1" customHeight="1" thickTop="1" thickBot="1">
      <c r="A508" s="573" t="s">
        <v>161</v>
      </c>
      <c r="B508" s="147"/>
      <c r="C508" s="116" t="s">
        <v>2452</v>
      </c>
      <c r="D508" s="130" t="s">
        <v>2467</v>
      </c>
      <c r="E508" s="117">
        <v>161725</v>
      </c>
      <c r="F508" s="145"/>
      <c r="G508" s="162"/>
      <c r="H508" s="145"/>
      <c r="I508" s="119"/>
      <c r="J508" s="116"/>
      <c r="K508" s="199" t="str">
        <f>HYPERLINK(CONCATENATE("http://www.spr.depen.pr.gov.br/centralvagas/exibirFoto.jpg?numProntuario=",$E508,"&amp;idImagem=1"),"FOTO 1")</f>
        <v>FOTO 1</v>
      </c>
      <c r="L508" s="199" t="str">
        <f>HYPERLINK(CONCATENATE("http://www.spr.depen.pr.gov.br/centralvagas/exibirFoto.jpg?numProntuario=",$E508,"&amp;idImagem=2"),"FOTO 2")</f>
        <v>FOTO 2</v>
      </c>
      <c r="M508" s="199" t="str">
        <f>HYPERLINK(CONCATENATE("http://www.spr.depen.pr.gov.br/centralvagas/exibirFoto.jpg?numProntuario=",$E508,"&amp;idImagem=3"),"FOTO 3")</f>
        <v>FOTO 3</v>
      </c>
      <c r="N508" s="199" t="str">
        <f>HYPERLINK(CONCATENATE("http://www.spr.depen.pr.gov.br/centralvagas/exibirFoto.jpg?numProntuario=",$E508,"&amp;idImagem=4"),"FOTO 4")</f>
        <v>FOTO 4</v>
      </c>
      <c r="O508" s="199" t="str">
        <f>HYPERLINK(CONCATENATE("http://www.spr.depen.pr.gov.br/centralvagas/exibirFoto.jpg?numProntuario=",$E508,"&amp;idImagem=5"),"FOTO 5")</f>
        <v>FOTO 5</v>
      </c>
      <c r="P508" s="199" t="str">
        <f>HYPERLINK(CONCATENATE("http://www.spr.depen.pr.gov.br/centralvagas/exibirFoto.jpg?numProntuario=",$E508,"&amp;idImagem=6"),"FOTO 6")</f>
        <v>FOTO 6</v>
      </c>
    </row>
    <row r="509" spans="1:16" ht="14.1" customHeight="1" thickTop="1" thickBot="1">
      <c r="A509" s="571" t="s">
        <v>161</v>
      </c>
      <c r="B509" s="319"/>
      <c r="C509" s="232" t="s">
        <v>2452</v>
      </c>
      <c r="D509" s="751" t="s">
        <v>1203</v>
      </c>
      <c r="E509" s="752">
        <v>55450</v>
      </c>
      <c r="F509" s="116"/>
      <c r="G509" s="119"/>
      <c r="H509" s="116"/>
      <c r="I509" s="119"/>
      <c r="J509" s="116"/>
      <c r="K509" s="199" t="str">
        <f>HYPERLINK(CONCATENATE("http://www.spr.depen.pr.gov.br/centralvagas/exibirFoto.jpg?numProntuario=",$E509,"&amp;idImagem=1"),"FOTO 1")</f>
        <v>FOTO 1</v>
      </c>
      <c r="L509" s="199" t="str">
        <f>HYPERLINK(CONCATENATE("http://www.spr.depen.pr.gov.br/centralvagas/exibirFoto.jpg?numProntuario=",$E509,"&amp;idImagem=2"),"FOTO 2")</f>
        <v>FOTO 2</v>
      </c>
      <c r="M509" s="199" t="str">
        <f>HYPERLINK(CONCATENATE("http://www.spr.depen.pr.gov.br/centralvagas/exibirFoto.jpg?numProntuario=",$E509,"&amp;idImagem=3"),"FOTO 3")</f>
        <v>FOTO 3</v>
      </c>
      <c r="N509" s="199" t="str">
        <f>HYPERLINK(CONCATENATE("http://www.spr.depen.pr.gov.br/centralvagas/exibirFoto.jpg?numProntuario=",$E509,"&amp;idImagem=4"),"FOTO 4")</f>
        <v>FOTO 4</v>
      </c>
      <c r="O509" s="199" t="str">
        <f>HYPERLINK(CONCATENATE("http://www.spr.depen.pr.gov.br/centralvagas/exibirFoto.jpg?numProntuario=",$E509,"&amp;idImagem=5"),"FOTO 5")</f>
        <v>FOTO 5</v>
      </c>
      <c r="P509" s="199" t="str">
        <f>HYPERLINK(CONCATENATE("http://www.spr.depen.pr.gov.br/centralvagas/exibirFoto.jpg?numProntuario=",$E509,"&amp;idImagem=6"),"FOTO 6")</f>
        <v>FOTO 6</v>
      </c>
    </row>
    <row r="510" spans="1:16" ht="14.1" customHeight="1" thickTop="1" thickBot="1">
      <c r="A510" s="753" t="s">
        <v>3502</v>
      </c>
      <c r="B510" s="754" t="s">
        <v>3742</v>
      </c>
      <c r="C510" s="755" t="s">
        <v>1581</v>
      </c>
      <c r="D510" s="756" t="s">
        <v>3751</v>
      </c>
      <c r="E510" s="757">
        <v>122809</v>
      </c>
      <c r="F510" s="495"/>
      <c r="G510" s="119"/>
      <c r="H510" s="116"/>
      <c r="I510" s="119"/>
      <c r="J510" s="116"/>
      <c r="K510" s="199"/>
      <c r="L510" s="199"/>
      <c r="M510" s="199"/>
      <c r="N510" s="199"/>
      <c r="O510" s="199"/>
      <c r="P510" s="199"/>
    </row>
    <row r="511" spans="1:16" ht="14.1" customHeight="1" thickTop="1" thickBot="1">
      <c r="A511" s="753" t="s">
        <v>3502</v>
      </c>
      <c r="B511" s="754" t="s">
        <v>3757</v>
      </c>
      <c r="C511" s="755" t="s">
        <v>1581</v>
      </c>
      <c r="D511" s="756" t="s">
        <v>584</v>
      </c>
      <c r="E511" s="757">
        <v>27153</v>
      </c>
      <c r="F511" s="495"/>
      <c r="G511" s="119"/>
      <c r="H511" s="116"/>
      <c r="I511" s="119"/>
      <c r="J511" s="116"/>
      <c r="K511" s="199"/>
      <c r="L511" s="199"/>
      <c r="M511" s="199"/>
      <c r="N511" s="199"/>
      <c r="O511" s="199"/>
      <c r="P511" s="199"/>
    </row>
    <row r="512" spans="1:16" ht="14.1" customHeight="1" thickTop="1" thickBot="1">
      <c r="A512" s="753" t="s">
        <v>3502</v>
      </c>
      <c r="B512" s="754" t="s">
        <v>3757</v>
      </c>
      <c r="C512" s="755" t="s">
        <v>1581</v>
      </c>
      <c r="D512" s="756" t="s">
        <v>3754</v>
      </c>
      <c r="E512" s="757">
        <v>638809</v>
      </c>
      <c r="F512" s="495"/>
      <c r="G512" s="119"/>
      <c r="H512" s="116"/>
      <c r="I512" s="119"/>
      <c r="J512" s="116"/>
      <c r="K512" s="199"/>
      <c r="L512" s="199"/>
      <c r="M512" s="199"/>
      <c r="N512" s="199"/>
      <c r="O512" s="199"/>
      <c r="P512" s="199"/>
    </row>
    <row r="513" spans="1:16" ht="14.1" customHeight="1" thickTop="1" thickBot="1">
      <c r="A513" s="753" t="s">
        <v>3502</v>
      </c>
      <c r="B513" s="754" t="s">
        <v>3757</v>
      </c>
      <c r="C513" s="755" t="s">
        <v>1581</v>
      </c>
      <c r="D513" s="756" t="s">
        <v>3755</v>
      </c>
      <c r="E513" s="757">
        <v>619297</v>
      </c>
      <c r="F513" s="495"/>
      <c r="G513" s="119"/>
      <c r="H513" s="116"/>
      <c r="I513" s="119"/>
      <c r="J513" s="116"/>
      <c r="K513" s="199"/>
      <c r="L513" s="199"/>
      <c r="M513" s="199"/>
      <c r="N513" s="199"/>
      <c r="O513" s="199"/>
      <c r="P513" s="199"/>
    </row>
    <row r="514" spans="1:16" ht="14.1" customHeight="1" thickTop="1" thickBot="1">
      <c r="A514" s="753" t="s">
        <v>3502</v>
      </c>
      <c r="B514" s="754" t="s">
        <v>3757</v>
      </c>
      <c r="C514" s="755" t="s">
        <v>1581</v>
      </c>
      <c r="D514" s="756" t="s">
        <v>3756</v>
      </c>
      <c r="E514" s="757">
        <v>503390</v>
      </c>
      <c r="F514" s="495"/>
      <c r="G514" s="119"/>
      <c r="H514" s="116"/>
      <c r="I514" s="119"/>
      <c r="J514" s="116"/>
      <c r="K514" s="199"/>
      <c r="L514" s="199"/>
      <c r="M514" s="199"/>
      <c r="N514" s="199"/>
      <c r="O514" s="199"/>
      <c r="P514" s="199"/>
    </row>
    <row r="515" spans="1:16" ht="14.1" customHeight="1" thickTop="1" thickBot="1">
      <c r="A515" s="753" t="s">
        <v>3502</v>
      </c>
      <c r="B515" s="758" t="s">
        <v>3740</v>
      </c>
      <c r="C515" s="759" t="s">
        <v>1581</v>
      </c>
      <c r="D515" s="760" t="s">
        <v>3744</v>
      </c>
      <c r="E515" s="761">
        <v>63019</v>
      </c>
      <c r="F515" s="116"/>
      <c r="G515" s="119"/>
      <c r="H515" s="116"/>
      <c r="I515" s="119"/>
      <c r="J515" s="116"/>
      <c r="K515" s="199"/>
      <c r="L515" s="199"/>
      <c r="M515" s="199"/>
      <c r="N515" s="199"/>
      <c r="O515" s="199"/>
      <c r="P515" s="199"/>
    </row>
    <row r="516" spans="1:16" ht="14.1" customHeight="1" thickTop="1" thickBot="1">
      <c r="A516" s="753" t="s">
        <v>3502</v>
      </c>
      <c r="B516" s="758" t="s">
        <v>3740</v>
      </c>
      <c r="C516" s="762" t="s">
        <v>1581</v>
      </c>
      <c r="D516" s="763" t="s">
        <v>3746</v>
      </c>
      <c r="E516" s="764">
        <v>402191</v>
      </c>
      <c r="F516" s="495"/>
      <c r="G516" s="119"/>
      <c r="H516" s="116"/>
      <c r="I516" s="119"/>
      <c r="J516" s="116"/>
      <c r="K516" s="199"/>
      <c r="L516" s="199"/>
      <c r="M516" s="199"/>
      <c r="N516" s="199"/>
      <c r="O516" s="199"/>
      <c r="P516" s="199"/>
    </row>
    <row r="517" spans="1:16" ht="14.1" customHeight="1" thickTop="1" thickBot="1">
      <c r="A517" s="753" t="s">
        <v>3502</v>
      </c>
      <c r="B517" s="758" t="s">
        <v>3713</v>
      </c>
      <c r="C517" s="762" t="s">
        <v>1581</v>
      </c>
      <c r="D517" s="763" t="s">
        <v>3747</v>
      </c>
      <c r="E517" s="764">
        <v>63391</v>
      </c>
      <c r="F517" s="495"/>
      <c r="G517" s="119"/>
      <c r="H517" s="116"/>
      <c r="I517" s="119"/>
      <c r="J517" s="116"/>
      <c r="K517" s="199"/>
      <c r="L517" s="199"/>
      <c r="M517" s="199"/>
      <c r="N517" s="199"/>
      <c r="O517" s="199"/>
      <c r="P517" s="199"/>
    </row>
    <row r="518" spans="1:16" ht="14.1" customHeight="1" thickTop="1" thickBot="1">
      <c r="A518" s="753" t="s">
        <v>3502</v>
      </c>
      <c r="B518" s="758" t="s">
        <v>3741</v>
      </c>
      <c r="C518" s="762" t="s">
        <v>1581</v>
      </c>
      <c r="D518" s="763" t="s">
        <v>3748</v>
      </c>
      <c r="E518" s="764">
        <v>46173</v>
      </c>
      <c r="F518" s="495"/>
      <c r="G518" s="119"/>
      <c r="H518" s="116"/>
      <c r="I518" s="119"/>
      <c r="J518" s="116"/>
      <c r="K518" s="199"/>
      <c r="L518" s="199"/>
      <c r="M518" s="199"/>
      <c r="N518" s="199"/>
      <c r="O518" s="199"/>
      <c r="P518" s="199"/>
    </row>
    <row r="519" spans="1:16" ht="14.1" customHeight="1" thickTop="1" thickBot="1">
      <c r="A519" s="753" t="s">
        <v>3502</v>
      </c>
      <c r="B519" s="758" t="s">
        <v>3713</v>
      </c>
      <c r="C519" s="762" t="s">
        <v>1581</v>
      </c>
      <c r="D519" s="763" t="s">
        <v>3749</v>
      </c>
      <c r="E519" s="766">
        <v>21885</v>
      </c>
      <c r="F519" s="495"/>
      <c r="G519" s="119"/>
      <c r="H519" s="116"/>
      <c r="I519" s="119"/>
      <c r="J519" s="116"/>
      <c r="K519" s="199"/>
      <c r="L519" s="199"/>
      <c r="M519" s="199"/>
      <c r="N519" s="199"/>
      <c r="O519" s="199"/>
      <c r="P519" s="199"/>
    </row>
    <row r="520" spans="1:16" ht="14.1" customHeight="1" thickTop="1" thickBot="1">
      <c r="A520" s="753" t="s">
        <v>3502</v>
      </c>
      <c r="B520" s="758" t="s">
        <v>3718</v>
      </c>
      <c r="C520" s="762" t="s">
        <v>1581</v>
      </c>
      <c r="D520" s="765" t="s">
        <v>3750</v>
      </c>
      <c r="E520" s="767">
        <v>106578</v>
      </c>
      <c r="F520" s="495"/>
      <c r="G520" s="119"/>
      <c r="H520" s="116"/>
      <c r="I520" s="119"/>
      <c r="J520" s="116"/>
      <c r="K520" s="199"/>
      <c r="L520" s="199"/>
      <c r="M520" s="199"/>
      <c r="N520" s="199"/>
      <c r="O520" s="199"/>
      <c r="P520" s="199"/>
    </row>
    <row r="521" spans="1:16" ht="14.1" customHeight="1" thickTop="1">
      <c r="A521" s="234"/>
      <c r="B521" s="236" t="s">
        <v>3390</v>
      </c>
      <c r="C521" s="235"/>
      <c r="E521" s="469"/>
      <c r="F521" s="84"/>
      <c r="G521" s="84"/>
      <c r="H521" s="84"/>
      <c r="I521" s="84"/>
      <c r="J521" s="84"/>
      <c r="K521" s="199"/>
      <c r="L521" s="199"/>
      <c r="M521" s="199"/>
      <c r="N521" s="199"/>
      <c r="O521" s="199"/>
      <c r="P521" s="199"/>
    </row>
    <row r="522" spans="1:16" ht="14.1" customHeight="1">
      <c r="A522" s="234"/>
      <c r="B522" s="36"/>
      <c r="C522" s="36"/>
      <c r="D522" s="414"/>
      <c r="E522" s="408"/>
      <c r="F522" s="36"/>
      <c r="G522" s="54"/>
      <c r="I522" s="54"/>
      <c r="J522" s="35"/>
      <c r="L522" s="35"/>
    </row>
    <row r="523" spans="1:16" ht="14.1" customHeight="1">
      <c r="A523" s="35"/>
      <c r="B523" s="36"/>
      <c r="C523" s="36"/>
      <c r="D523" s="415"/>
      <c r="E523" s="408"/>
      <c r="F523" s="36"/>
      <c r="G523" s="54"/>
      <c r="I523" s="54"/>
      <c r="J523" s="35"/>
      <c r="L523" s="35"/>
    </row>
    <row r="524" spans="1:16" ht="14.1" customHeight="1">
      <c r="A524" s="35"/>
      <c r="B524" s="35"/>
      <c r="D524" s="415"/>
      <c r="E524" s="469"/>
      <c r="F524" s="35"/>
      <c r="G524" s="54"/>
      <c r="I524" s="54"/>
      <c r="J524" s="35"/>
      <c r="L524" s="35"/>
    </row>
    <row r="525" spans="1:16" ht="14.1" customHeight="1">
      <c r="A525" s="35"/>
      <c r="B525" s="35"/>
      <c r="D525" s="415"/>
      <c r="E525" s="469"/>
      <c r="F525" s="35"/>
      <c r="G525" s="54"/>
      <c r="I525" s="54"/>
      <c r="J525" s="35"/>
      <c r="L525" s="35"/>
    </row>
    <row r="526" spans="1:16" ht="14.1" customHeight="1">
      <c r="A526" s="35"/>
      <c r="B526" s="35"/>
      <c r="D526" s="111"/>
      <c r="E526" s="469"/>
      <c r="F526" s="35"/>
      <c r="G526" s="54"/>
      <c r="I526" s="54"/>
      <c r="J526" s="35"/>
      <c r="L526" s="35"/>
    </row>
    <row r="527" spans="1:16" ht="14.1" customHeight="1">
      <c r="A527" s="35"/>
      <c r="B527" s="35"/>
      <c r="E527" s="469"/>
      <c r="F527" s="35"/>
      <c r="G527" s="54"/>
      <c r="I527" s="54"/>
      <c r="J527" s="35"/>
      <c r="L527" s="35"/>
    </row>
    <row r="528" spans="1:16" ht="14.1" customHeight="1">
      <c r="A528" s="35"/>
      <c r="B528" s="35"/>
      <c r="E528" s="469"/>
      <c r="F528" s="35"/>
      <c r="G528" s="54"/>
      <c r="I528" s="54"/>
      <c r="J528" s="35"/>
      <c r="L528" s="35"/>
    </row>
    <row r="529" spans="1:12" ht="14.1" customHeight="1">
      <c r="A529" s="35"/>
      <c r="B529" s="35"/>
      <c r="E529" s="469"/>
      <c r="F529" s="35"/>
      <c r="G529" s="54"/>
      <c r="I529" s="54"/>
      <c r="J529" s="35"/>
      <c r="L529" s="35"/>
    </row>
    <row r="530" spans="1:12" ht="14.1" customHeight="1">
      <c r="A530" s="35"/>
      <c r="B530" s="35"/>
      <c r="E530" s="469"/>
      <c r="F530" s="35"/>
      <c r="G530" s="54"/>
      <c r="I530" s="54"/>
      <c r="J530" s="35"/>
      <c r="L530" s="35"/>
    </row>
    <row r="531" spans="1:12" ht="14.1" customHeight="1">
      <c r="A531" s="35"/>
      <c r="B531" s="35"/>
      <c r="E531" s="469"/>
      <c r="F531" s="35"/>
      <c r="G531" s="54"/>
      <c r="I531" s="54"/>
      <c r="J531" s="35"/>
      <c r="L531" s="35"/>
    </row>
    <row r="532" spans="1:12" ht="14.1" customHeight="1">
      <c r="A532" s="35"/>
      <c r="B532" s="35"/>
      <c r="E532" s="469"/>
      <c r="F532" s="35"/>
      <c r="G532" s="54"/>
      <c r="I532" s="54"/>
      <c r="J532" s="35"/>
      <c r="L532" s="35"/>
    </row>
    <row r="533" spans="1:12" ht="14.1" customHeight="1">
      <c r="A533" s="35"/>
      <c r="B533" s="35"/>
      <c r="E533" s="469"/>
      <c r="F533" s="35"/>
      <c r="G533" s="54"/>
      <c r="I533" s="54"/>
      <c r="J533" s="35"/>
      <c r="L533" s="35"/>
    </row>
    <row r="534" spans="1:12" ht="14.1" customHeight="1">
      <c r="A534" s="35"/>
      <c r="B534" s="35"/>
      <c r="E534" s="469"/>
      <c r="F534" s="35"/>
      <c r="G534" s="54"/>
      <c r="I534" s="54"/>
      <c r="J534" s="35"/>
      <c r="L534" s="35"/>
    </row>
    <row r="535" spans="1:12" ht="14.1" customHeight="1">
      <c r="A535" s="35"/>
      <c r="B535" s="35"/>
      <c r="E535" s="469"/>
      <c r="F535" s="35"/>
      <c r="G535" s="54"/>
      <c r="I535" s="54"/>
      <c r="J535" s="35"/>
      <c r="L535" s="35"/>
    </row>
    <row r="536" spans="1:12" ht="14.1" customHeight="1">
      <c r="A536" s="35"/>
      <c r="B536" s="35"/>
      <c r="E536" s="469"/>
      <c r="F536" s="35"/>
      <c r="G536" s="54"/>
      <c r="I536" s="54"/>
      <c r="J536" s="35"/>
      <c r="L536" s="35"/>
    </row>
    <row r="537" spans="1:12" ht="14.1" customHeight="1">
      <c r="A537" s="35"/>
      <c r="B537" s="35"/>
      <c r="E537" s="469"/>
      <c r="F537" s="35"/>
      <c r="G537" s="54"/>
      <c r="I537" s="54"/>
      <c r="J537" s="35"/>
      <c r="L537" s="35"/>
    </row>
    <row r="538" spans="1:12" ht="14.1" customHeight="1">
      <c r="A538" s="35"/>
      <c r="B538" s="35"/>
      <c r="E538" s="469"/>
      <c r="F538" s="35"/>
      <c r="G538" s="54"/>
      <c r="I538" s="54"/>
      <c r="J538" s="35"/>
      <c r="L538" s="35"/>
    </row>
    <row r="539" spans="1:12" ht="14.1" customHeight="1">
      <c r="A539" s="35"/>
      <c r="B539" s="35"/>
      <c r="E539" s="469"/>
      <c r="F539" s="35"/>
      <c r="G539" s="54"/>
      <c r="I539" s="54"/>
      <c r="J539" s="35"/>
      <c r="L539" s="35"/>
    </row>
    <row r="540" spans="1:12" ht="14.1" customHeight="1">
      <c r="A540" s="35"/>
      <c r="B540" s="35"/>
      <c r="E540" s="469"/>
      <c r="F540" s="35"/>
      <c r="G540" s="54"/>
      <c r="I540" s="54"/>
      <c r="J540" s="35"/>
      <c r="L540" s="35"/>
    </row>
    <row r="541" spans="1:12" ht="14.1" customHeight="1">
      <c r="A541" s="35"/>
      <c r="B541" s="35"/>
      <c r="E541" s="469"/>
      <c r="F541" s="35"/>
      <c r="G541" s="54"/>
      <c r="I541" s="54"/>
      <c r="J541" s="35"/>
      <c r="L541" s="35"/>
    </row>
    <row r="542" spans="1:12" ht="14.1" customHeight="1">
      <c r="A542" s="35"/>
      <c r="B542" s="35"/>
      <c r="E542" s="469"/>
      <c r="F542" s="35"/>
      <c r="G542" s="54"/>
      <c r="I542" s="54"/>
      <c r="J542" s="35"/>
      <c r="L542" s="35"/>
    </row>
    <row r="543" spans="1:12" ht="14.1" customHeight="1">
      <c r="A543" s="35"/>
      <c r="B543" s="35"/>
      <c r="E543" s="469"/>
      <c r="F543" s="35"/>
      <c r="G543" s="54"/>
      <c r="I543" s="54"/>
      <c r="J543" s="35"/>
      <c r="L543" s="35"/>
    </row>
    <row r="544" spans="1:12" ht="14.1" customHeight="1">
      <c r="A544" s="35"/>
      <c r="B544" s="35"/>
      <c r="E544" s="469"/>
      <c r="F544" s="35"/>
      <c r="G544" s="54"/>
      <c r="I544" s="54"/>
      <c r="J544" s="35"/>
      <c r="L544" s="35"/>
    </row>
    <row r="545" spans="1:12" ht="14.1" customHeight="1">
      <c r="A545" s="35"/>
      <c r="B545" s="35"/>
      <c r="E545" s="469"/>
      <c r="F545" s="35"/>
      <c r="G545" s="54"/>
      <c r="I545" s="54"/>
      <c r="J545" s="35"/>
      <c r="L545" s="35"/>
    </row>
    <row r="546" spans="1:12" ht="14.1" customHeight="1">
      <c r="A546" s="35"/>
      <c r="B546" s="35"/>
      <c r="E546" s="469"/>
      <c r="F546" s="35"/>
      <c r="G546" s="54"/>
      <c r="I546" s="54"/>
      <c r="J546" s="35"/>
      <c r="L546" s="35"/>
    </row>
    <row r="547" spans="1:12" ht="14.1" customHeight="1">
      <c r="A547" s="35"/>
      <c r="B547" s="35"/>
      <c r="E547" s="469"/>
      <c r="F547" s="35"/>
      <c r="G547" s="54"/>
      <c r="I547" s="54"/>
      <c r="J547" s="35"/>
      <c r="L547" s="35"/>
    </row>
    <row r="548" spans="1:12" ht="14.1" customHeight="1">
      <c r="A548" s="35"/>
      <c r="B548" s="35"/>
      <c r="E548" s="469"/>
      <c r="F548" s="35"/>
      <c r="G548" s="54"/>
      <c r="I548" s="54"/>
      <c r="J548" s="35"/>
      <c r="L548" s="35"/>
    </row>
    <row r="549" spans="1:12" ht="14.1" customHeight="1">
      <c r="A549" s="35"/>
      <c r="B549" s="35"/>
      <c r="E549" s="469"/>
      <c r="F549" s="35"/>
      <c r="G549" s="54"/>
      <c r="I549" s="54"/>
      <c r="J549" s="35"/>
      <c r="L549" s="35"/>
    </row>
    <row r="550" spans="1:12" ht="14.1" customHeight="1">
      <c r="A550" s="35"/>
      <c r="B550" s="35"/>
      <c r="E550" s="469"/>
      <c r="F550" s="35"/>
      <c r="G550" s="54"/>
      <c r="I550" s="54"/>
      <c r="J550" s="35"/>
      <c r="L550" s="35"/>
    </row>
    <row r="551" spans="1:12" ht="14.1" customHeight="1">
      <c r="A551" s="35"/>
      <c r="B551" s="35"/>
      <c r="E551" s="469"/>
      <c r="F551" s="35"/>
      <c r="G551" s="54"/>
      <c r="I551" s="54"/>
      <c r="J551" s="35"/>
      <c r="L551" s="35"/>
    </row>
    <row r="552" spans="1:12" ht="14.1" customHeight="1">
      <c r="A552" s="35"/>
      <c r="B552" s="35"/>
      <c r="E552" s="469"/>
      <c r="F552" s="35"/>
      <c r="I552" s="54"/>
      <c r="J552" s="35"/>
      <c r="L552" s="35"/>
    </row>
    <row r="553" spans="1:12" ht="14.1" customHeight="1">
      <c r="A553" s="35"/>
      <c r="B553" s="35"/>
      <c r="E553" s="469"/>
      <c r="F553" s="35"/>
      <c r="I553" s="54"/>
      <c r="J553" s="35"/>
      <c r="L553" s="35"/>
    </row>
    <row r="554" spans="1:12" ht="14.1" customHeight="1">
      <c r="A554" s="35"/>
    </row>
  </sheetData>
  <sheetProtection sort="0" autoFilter="0" pivotTables="0"/>
  <autoFilter ref="A1:P521">
    <filterColumn colId="0"/>
    <sortState ref="A2:P517">
      <sortCondition ref="D76"/>
    </sortState>
  </autoFilter>
  <sortState ref="A2:P550">
    <sortCondition ref="C1"/>
  </sortState>
  <dataConsolidate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indexed="46"/>
  </sheetPr>
  <dimension ref="A1:G145"/>
  <sheetViews>
    <sheetView zoomScaleNormal="100" workbookViewId="0">
      <pane xSplit="1" ySplit="3" topLeftCell="B4" activePane="bottomRight" state="frozen"/>
      <selection activeCell="G76" sqref="G76"/>
      <selection pane="topRight" activeCell="G76" sqref="G76"/>
      <selection pane="bottomLeft" activeCell="G76" sqref="G76"/>
      <selection pane="bottomRight" activeCell="G76" sqref="G76"/>
    </sheetView>
  </sheetViews>
  <sheetFormatPr defaultRowHeight="12.75"/>
  <cols>
    <col min="2" max="2" width="16.42578125" bestFit="1" customWidth="1"/>
    <col min="4" max="4" width="9.5703125" bestFit="1" customWidth="1"/>
    <col min="5" max="5" width="13.28515625" bestFit="1" customWidth="1"/>
    <col min="6" max="6" width="3.5703125" bestFit="1" customWidth="1"/>
    <col min="7" max="7" width="47.7109375" bestFit="1" customWidth="1"/>
  </cols>
  <sheetData>
    <row r="1" spans="1:7" ht="13.5" thickBot="1"/>
    <row r="2" spans="1:7" ht="17.25" thickTop="1" thickBot="1">
      <c r="B2" s="711">
        <f ca="1">TODAY()</f>
        <v>44159</v>
      </c>
      <c r="C2" s="712"/>
      <c r="D2" s="712"/>
      <c r="E2" s="712"/>
      <c r="F2" s="712"/>
      <c r="G2" s="713"/>
    </row>
    <row r="3" spans="1:7" ht="13.5" thickTop="1"/>
    <row r="4" spans="1:7">
      <c r="B4" s="710" t="s">
        <v>1782</v>
      </c>
      <c r="C4" s="710"/>
      <c r="D4" s="710"/>
      <c r="E4" s="710"/>
      <c r="F4" s="710"/>
      <c r="G4" s="710"/>
    </row>
    <row r="5" spans="1:7">
      <c r="B5" s="710"/>
      <c r="C5" s="710"/>
      <c r="D5" s="710"/>
      <c r="E5" s="710"/>
      <c r="F5" s="710"/>
      <c r="G5" s="710"/>
    </row>
    <row r="6" spans="1:7" ht="13.5" thickBot="1">
      <c r="A6" s="21"/>
      <c r="B6" s="21"/>
      <c r="C6" s="21"/>
      <c r="D6" s="21"/>
      <c r="E6" s="21"/>
      <c r="F6" s="21"/>
      <c r="G6" s="21"/>
    </row>
    <row r="7" spans="1:7" ht="14.25" thickTop="1" thickBot="1">
      <c r="A7" s="21"/>
      <c r="B7" s="708" t="s">
        <v>2097</v>
      </c>
      <c r="C7" s="709"/>
      <c r="D7" s="709"/>
      <c r="E7" s="46"/>
      <c r="F7" s="46"/>
      <c r="G7" s="27" t="str">
        <f ca="1">IF(WEEKDAY(B2,2)=4,"HOJE","QUINTA-FEIRA")</f>
        <v>QUINTA-FEIRA</v>
      </c>
    </row>
    <row r="8" spans="1:7" ht="14.25" thickTop="1" thickBot="1">
      <c r="A8" s="21"/>
      <c r="B8" s="13" t="s">
        <v>812</v>
      </c>
      <c r="C8" s="13" t="s">
        <v>250</v>
      </c>
      <c r="D8" s="13" t="s">
        <v>435</v>
      </c>
      <c r="E8" s="13" t="s">
        <v>1178</v>
      </c>
      <c r="F8" s="13" t="s">
        <v>1802</v>
      </c>
      <c r="G8" s="13" t="s">
        <v>370</v>
      </c>
    </row>
    <row r="9" spans="1:7" ht="14.25" thickTop="1" thickBot="1">
      <c r="A9" s="21"/>
      <c r="B9" s="14" t="e">
        <f>VLOOKUP(G9,'GAL-CUB'!$A:$A,2,FALSE)</f>
        <v>#N/A</v>
      </c>
      <c r="C9" s="14" t="e">
        <f>VLOOKUP(G9,'GAL-CUB'!$A:$B,3,FALSE)</f>
        <v>#N/A</v>
      </c>
      <c r="D9" s="14" t="e">
        <f>VLOOKUP(G9,'GAL-CUB'!$A:$G,8,FALSE)</f>
        <v>#N/A</v>
      </c>
      <c r="E9" s="14" t="str">
        <f>IFERROR(VLOOKUP(G9,'GAL-CUB'!$A:$D,4,FALSE),IFERROR(VLOOKUP(G9,ESCOLTAS!$A:$F,6,FALSE),VLOOKUP(G9,SAÍDAS!$A:$B,2,FALSE)))</f>
        <v>CRAPG</v>
      </c>
      <c r="F9" s="14">
        <v>1</v>
      </c>
      <c r="G9" s="15" t="s">
        <v>567</v>
      </c>
    </row>
    <row r="10" spans="1:7" ht="14.25" thickTop="1" thickBot="1">
      <c r="A10" s="21"/>
      <c r="B10" s="14" t="e">
        <f>VLOOKUP(G10,'GAL-CUB'!$A:$A,2,FALSE)</f>
        <v>#N/A</v>
      </c>
      <c r="C10" s="14" t="e">
        <f>VLOOKUP(G10,'GAL-CUB'!$A:$B,3,FALSE)</f>
        <v>#N/A</v>
      </c>
      <c r="D10" s="14" t="e">
        <f>VLOOKUP(G10,'GAL-CUB'!$A:$G,8,FALSE)</f>
        <v>#N/A</v>
      </c>
      <c r="E10" s="14" t="e">
        <f>IFERROR(VLOOKUP(G10,'GAL-CUB'!$A:$D,4,FALSE),IFERROR(VLOOKUP(G10,ESCOLTAS!$A:$F,6,FALSE),VLOOKUP(G10,SAÍDAS!$A:$B,2,FALSE)))</f>
        <v>#N/A</v>
      </c>
      <c r="F10" s="14">
        <v>2</v>
      </c>
      <c r="G10" s="16" t="str">
        <f>SEGUNDA!G25</f>
        <v>ANDERSON JOSE DOS SANTOS (Nego Sete)</v>
      </c>
    </row>
    <row r="11" spans="1:7" ht="14.25" thickTop="1" thickBot="1">
      <c r="A11" s="21"/>
      <c r="B11" s="14" t="e">
        <f>VLOOKUP(G11,'GAL-CUB'!$A:$A,2,FALSE)</f>
        <v>#N/A</v>
      </c>
      <c r="C11" s="14" t="e">
        <f>VLOOKUP(G11,'GAL-CUB'!$A:$B,3,FALSE)</f>
        <v>#N/A</v>
      </c>
      <c r="D11" s="14" t="e">
        <f>VLOOKUP(G11,'GAL-CUB'!$A:$G,8,FALSE)</f>
        <v>#N/A</v>
      </c>
      <c r="E11" s="14" t="str">
        <f>IFERROR(VLOOKUP(G11,'GAL-CUB'!$A:$D,4,FALSE),IFERROR(VLOOKUP(G11,ESCOLTAS!$A:$F,6,FALSE),VLOOKUP(G11,SAÍDAS!$A:$B,2,FALSE)))</f>
        <v>Bonde CTBA</v>
      </c>
      <c r="F11" s="14">
        <v>3</v>
      </c>
      <c r="G11" s="98" t="s">
        <v>2095</v>
      </c>
    </row>
    <row r="12" spans="1:7" ht="14.25" thickTop="1" thickBot="1">
      <c r="A12" s="21"/>
      <c r="B12" s="14" t="e">
        <f>VLOOKUP(G12,'GAL-CUB'!$A:$A,2,FALSE)</f>
        <v>#N/A</v>
      </c>
      <c r="C12" s="14" t="e">
        <f>VLOOKUP(G12,'GAL-CUB'!$A:$B,3,FALSE)</f>
        <v>#N/A</v>
      </c>
      <c r="D12" s="14" t="e">
        <f>VLOOKUP(G12,'GAL-CUB'!$A:$G,8,FALSE)</f>
        <v>#N/A</v>
      </c>
      <c r="E12" s="109" t="e">
        <f>IFERROR(VLOOKUP(G12,'GAL-CUB'!$A:$D,4,FALSE),IFERROR(VLOOKUP(G12,ESCOLTAS!$A:$F,6,FALSE),VLOOKUP(G12,SAÍDAS!$A:$B,2,FALSE)))</f>
        <v>#N/A</v>
      </c>
      <c r="F12" s="14">
        <v>4</v>
      </c>
      <c r="G12" s="108" t="s">
        <v>1664</v>
      </c>
    </row>
    <row r="13" spans="1:7" ht="14.25" thickTop="1" thickBot="1">
      <c r="A13" s="21"/>
      <c r="B13" s="14" t="e">
        <f>VLOOKUP(G13,'GAL-CUB'!$A:$A,2,FALSE)</f>
        <v>#N/A</v>
      </c>
      <c r="C13" s="14" t="e">
        <f>VLOOKUP(G13,'GAL-CUB'!$A:$B,3,FALSE)</f>
        <v>#N/A</v>
      </c>
      <c r="D13" s="14" t="e">
        <f>VLOOKUP(G13,'GAL-CUB'!$A:$G,8,FALSE)</f>
        <v>#N/A</v>
      </c>
      <c r="E13" s="14" t="str">
        <f>IFERROR(VLOOKUP(G13,'GAL-CUB'!$A:$D,4,FALSE),IFERROR(VLOOKUP(G13,ESCOLTAS!$A:$F,6,FALSE),VLOOKUP(G13,SAÍDAS!$A:$B,2,FALSE)))</f>
        <v>CRAPG</v>
      </c>
      <c r="F13" s="14">
        <v>5</v>
      </c>
      <c r="G13" s="16" t="s">
        <v>1722</v>
      </c>
    </row>
    <row r="14" spans="1:7" ht="14.25" thickTop="1" thickBot="1">
      <c r="A14" s="21"/>
      <c r="B14" s="14" t="e">
        <f>VLOOKUP(G14,'GAL-CUB'!$A:$A,2,FALSE)</f>
        <v>#N/A</v>
      </c>
      <c r="C14" s="14" t="e">
        <f>VLOOKUP(G14,'GAL-CUB'!$A:$B,3,FALSE)</f>
        <v>#N/A</v>
      </c>
      <c r="D14" s="14" t="e">
        <f>VLOOKUP(G14,'GAL-CUB'!$A:$G,8,FALSE)</f>
        <v>#N/A</v>
      </c>
      <c r="E14" s="14" t="str">
        <f>IFERROR(VLOOKUP(G14,'GAL-CUB'!$A:$D,4,FALSE),IFERROR(VLOOKUP(G14,ESCOLTAS!$A:$F,6,FALSE),VLOOKUP(G14,SAÍDAS!$A:$B,2,FALSE)))</f>
        <v>L.C.</v>
      </c>
      <c r="F14" s="14">
        <v>6</v>
      </c>
      <c r="G14" s="108" t="s">
        <v>525</v>
      </c>
    </row>
    <row r="15" spans="1:7" ht="14.25" thickTop="1" thickBot="1">
      <c r="A15" s="21"/>
      <c r="B15" s="14" t="e">
        <f>VLOOKUP(G15,'GAL-CUB'!$A:$A,2,FALSE)</f>
        <v>#N/A</v>
      </c>
      <c r="C15" s="14" t="e">
        <f>VLOOKUP(G15,'GAL-CUB'!$A:$B,3,FALSE)</f>
        <v>#N/A</v>
      </c>
      <c r="D15" s="14" t="e">
        <f>VLOOKUP(G15,'GAL-CUB'!$A:$G,8,FALSE)</f>
        <v>#N/A</v>
      </c>
      <c r="E15" s="14" t="e">
        <f>IFERROR(VLOOKUP(G15,'GAL-CUB'!$A:$D,4,FALSE),IFERROR(VLOOKUP(G15,ESCOLTAS!$A:$F,6,FALSE),VLOOKUP(G15,SAÍDAS!$A:$B,2,FALSE)))</f>
        <v>#N/A</v>
      </c>
      <c r="F15" s="14">
        <v>7</v>
      </c>
      <c r="G15" s="15" t="s">
        <v>2068</v>
      </c>
    </row>
    <row r="16" spans="1:7" ht="14.25" thickTop="1" thickBot="1">
      <c r="A16" s="21"/>
      <c r="B16" s="14" t="e">
        <f>VLOOKUP(G16,'GAL-CUB'!$A:$A,2,FALSE)</f>
        <v>#N/A</v>
      </c>
      <c r="C16" s="14" t="e">
        <f>VLOOKUP(G16,'GAL-CUB'!$A:$B,3,FALSE)</f>
        <v>#N/A</v>
      </c>
      <c r="D16" s="14" t="e">
        <f>VLOOKUP(G16,'GAL-CUB'!$A:$G,8,FALSE)</f>
        <v>#N/A</v>
      </c>
      <c r="E16" s="14" t="e">
        <f>IFERROR(VLOOKUP(G16,'GAL-CUB'!$A:$D,4,FALSE),IFERROR(VLOOKUP(G16,ESCOLTAS!$A:$F,6,FALSE),VLOOKUP(G16,SAÍDAS!$A:$B,2,FALSE)))</f>
        <v>#N/A</v>
      </c>
      <c r="F16" s="14">
        <v>8</v>
      </c>
      <c r="G16" s="16" t="s">
        <v>2076</v>
      </c>
    </row>
    <row r="17" spans="1:7" ht="14.25" thickTop="1" thickBot="1">
      <c r="A17" s="21"/>
      <c r="B17" s="14" t="e">
        <f>VLOOKUP(G17,'GAL-CUB'!$A:$A,2,FALSE)</f>
        <v>#N/A</v>
      </c>
      <c r="C17" s="14" t="e">
        <f>VLOOKUP(G17,'GAL-CUB'!$A:$B,3,FALSE)</f>
        <v>#N/A</v>
      </c>
      <c r="D17" s="14" t="e">
        <f>VLOOKUP(G17,'GAL-CUB'!$A:$G,8,FALSE)</f>
        <v>#N/A</v>
      </c>
      <c r="E17" s="14" t="str">
        <f>IFERROR(VLOOKUP(G17,'GAL-CUB'!$A:$D,4,FALSE),IFERROR(VLOOKUP(G17,ESCOLTAS!$A:$F,6,FALSE),VLOOKUP(G17,SAÍDAS!$A:$B,2,FALSE)))</f>
        <v>CRAPG</v>
      </c>
      <c r="F17" s="14">
        <v>9</v>
      </c>
      <c r="G17" s="18" t="s">
        <v>405</v>
      </c>
    </row>
    <row r="18" spans="1:7" ht="14.25" thickTop="1" thickBot="1">
      <c r="A18" s="21"/>
      <c r="B18" s="14" t="e">
        <f>VLOOKUP(G18,'GAL-CUB'!$A:$A,2,FALSE)</f>
        <v>#N/A</v>
      </c>
      <c r="C18" s="14" t="e">
        <f>VLOOKUP(G18,'GAL-CUB'!$A:$B,3,FALSE)</f>
        <v>#N/A</v>
      </c>
      <c r="D18" s="14" t="e">
        <f>VLOOKUP(G18,'GAL-CUB'!$A:$G,8,FALSE)</f>
        <v>#N/A</v>
      </c>
      <c r="E18" s="14" t="str">
        <f>IFERROR(VLOOKUP(G18,'GAL-CUB'!$A:$D,4,FALSE),IFERROR(VLOOKUP(G18,ESCOLTAS!$A:$F,6,FALSE),VLOOKUP(G18,SAÍDAS!$A:$B,2,FALSE)))</f>
        <v>CRAPG</v>
      </c>
      <c r="F18" s="14">
        <v>10</v>
      </c>
      <c r="G18" s="15" t="s">
        <v>2058</v>
      </c>
    </row>
    <row r="19" spans="1:7" ht="14.25" thickTop="1" thickBot="1">
      <c r="A19" s="21"/>
      <c r="B19" s="14" t="e">
        <f>VLOOKUP(G19,'GAL-CUB'!$A:$A,2,FALSE)</f>
        <v>#N/A</v>
      </c>
      <c r="C19" s="14" t="e">
        <f>VLOOKUP(G19,'GAL-CUB'!$A:$B,3,FALSE)</f>
        <v>#N/A</v>
      </c>
      <c r="D19" s="14" t="e">
        <f>VLOOKUP(G19,'GAL-CUB'!$A:$G,8,FALSE)</f>
        <v>#N/A</v>
      </c>
      <c r="E19" s="14" t="str">
        <f>IFERROR(VLOOKUP(G19,'GAL-CUB'!$A:$D,4,FALSE),IFERROR(VLOOKUP(G19,ESCOLTAS!$A:$F,6,FALSE),VLOOKUP(G19,SAÍDAS!$A:$B,2,FALSE)))</f>
        <v>CRAPG</v>
      </c>
      <c r="F19" s="14">
        <v>11</v>
      </c>
      <c r="G19" s="108" t="s">
        <v>1823</v>
      </c>
    </row>
    <row r="20" spans="1:7" ht="14.25" thickTop="1" thickBot="1">
      <c r="A20" s="21"/>
      <c r="B20" s="14" t="e">
        <f>VLOOKUP(G20,'GAL-CUB'!$A:$A,2,FALSE)</f>
        <v>#N/A</v>
      </c>
      <c r="C20" s="14" t="e">
        <f>VLOOKUP(G20,'GAL-CUB'!$A:$B,3,FALSE)</f>
        <v>#N/A</v>
      </c>
      <c r="D20" s="14" t="e">
        <f>VLOOKUP(G20,'GAL-CUB'!$A:$G,8,FALSE)</f>
        <v>#N/A</v>
      </c>
      <c r="E20" s="14" t="e">
        <f>IFERROR(VLOOKUP(G20,'GAL-CUB'!$A:$D,4,FALSE),IFERROR(VLOOKUP(G20,ESCOLTAS!$A:$F,6,FALSE),VLOOKUP(G20,SAÍDAS!$A:$B,2,FALSE)))</f>
        <v>#N/A</v>
      </c>
      <c r="F20" s="14">
        <v>12</v>
      </c>
      <c r="G20" s="16" t="s">
        <v>1734</v>
      </c>
    </row>
    <row r="21" spans="1:7" ht="14.25" thickTop="1" thickBot="1"/>
    <row r="22" spans="1:7" ht="14.25" thickTop="1" thickBot="1">
      <c r="B22" s="708" t="str">
        <f>SEGUNDA!B37</f>
        <v>SOLANGE</v>
      </c>
      <c r="C22" s="709"/>
      <c r="D22" s="709"/>
      <c r="E22" s="46"/>
      <c r="F22" s="46"/>
      <c r="G22" s="27" t="str">
        <f ca="1">IF(WEEKDAY(B2,2)=4,"HOJE","QUINTA-FEIRA")</f>
        <v>QUINTA-FEIRA</v>
      </c>
    </row>
    <row r="23" spans="1:7" ht="14.25" thickTop="1" thickBot="1">
      <c r="B23" s="13" t="s">
        <v>812</v>
      </c>
      <c r="C23" s="13" t="s">
        <v>250</v>
      </c>
      <c r="D23" s="13" t="s">
        <v>435</v>
      </c>
      <c r="E23" s="13" t="s">
        <v>1178</v>
      </c>
      <c r="F23" s="13" t="s">
        <v>1802</v>
      </c>
      <c r="G23" s="13" t="s">
        <v>370</v>
      </c>
    </row>
    <row r="24" spans="1:7" ht="14.25" thickTop="1" thickBot="1">
      <c r="B24" s="14" t="e">
        <f>VLOOKUP(G24,'GAL-CUB'!$A:$A,2,FALSE)</f>
        <v>#N/A</v>
      </c>
      <c r="C24" s="14" t="e">
        <f>VLOOKUP(G24,'GAL-CUB'!$A:$B,3,FALSE)</f>
        <v>#N/A</v>
      </c>
      <c r="D24" s="14" t="e">
        <f>VLOOKUP(G24,'GAL-CUB'!$A:$I,10,FALSE)</f>
        <v>#N/A</v>
      </c>
      <c r="E24" s="14" t="e">
        <f>IFERROR(VLOOKUP(G24,'GAL-CUB'!$A:$D,4,FALSE),IFERROR(VLOOKUP(G24,ESCOLTAS!$A:$F,6,FALSE),VLOOKUP(G24,SAÍDAS!$A:$B,2,FALSE)))</f>
        <v>#N/A</v>
      </c>
      <c r="F24" s="14">
        <v>1</v>
      </c>
      <c r="G24" s="15" t="str">
        <f>SEGUNDA!G39</f>
        <v>JACKSON DOS SANTOS (Gordinho)</v>
      </c>
    </row>
    <row r="25" spans="1:7" ht="14.25" thickTop="1" thickBot="1">
      <c r="B25" s="14" t="e">
        <f>VLOOKUP(G25,'GAL-CUB'!$A:$A,2,FALSE)</f>
        <v>#N/A</v>
      </c>
      <c r="C25" s="14" t="e">
        <f>VLOOKUP(G25,'GAL-CUB'!$A:$B,3,FALSE)</f>
        <v>#N/A</v>
      </c>
      <c r="D25" s="14" t="e">
        <f>VLOOKUP(G25,'GAL-CUB'!$A:$I,10,FALSE)</f>
        <v>#N/A</v>
      </c>
      <c r="E25" s="14" t="e">
        <f>IFERROR(VLOOKUP(G25,'GAL-CUB'!$A:$D,4,FALSE),IFERROR(VLOOKUP(G25,ESCOLTAS!$A:$F,6,FALSE),VLOOKUP(G25,SAÍDAS!$A:$B,2,FALSE)))</f>
        <v>#N/A</v>
      </c>
      <c r="F25" s="14">
        <v>2</v>
      </c>
      <c r="G25" s="15" t="str">
        <f>SEGUNDA!G40</f>
        <v>DULCIDIO ALVAREZ RIBAS</v>
      </c>
    </row>
    <row r="26" spans="1:7" ht="14.25" thickTop="1" thickBot="1">
      <c r="B26" s="14" t="e">
        <f>VLOOKUP(G26,'GAL-CUB'!$A:$A,2,FALSE)</f>
        <v>#N/A</v>
      </c>
      <c r="C26" s="14" t="e">
        <f>VLOOKUP(G26,'GAL-CUB'!$A:$B,3,FALSE)</f>
        <v>#N/A</v>
      </c>
      <c r="D26" s="14" t="e">
        <f>VLOOKUP(G26,'GAL-CUB'!$A:$I,10,FALSE)</f>
        <v>#N/A</v>
      </c>
      <c r="E26" s="14" t="str">
        <f>IFERROR(VLOOKUP(G26,'GAL-CUB'!$A:$D,4,FALSE),IFERROR(VLOOKUP(G26,ESCOLTAS!$A:$F,6,FALSE),VLOOKUP(G26,SAÍDAS!$A:$B,2,FALSE)))</f>
        <v>CRAPG</v>
      </c>
      <c r="F26" s="14">
        <v>3</v>
      </c>
      <c r="G26" s="15">
        <f>SEGUNDA!G41</f>
        <v>0</v>
      </c>
    </row>
    <row r="27" spans="1:7" ht="14.25" thickTop="1" thickBot="1">
      <c r="B27" s="14" t="e">
        <f>VLOOKUP(G27,'GAL-CUB'!$A:$A,2,FALSE)</f>
        <v>#N/A</v>
      </c>
      <c r="C27" s="14" t="e">
        <f>VLOOKUP(G27,'GAL-CUB'!$A:$B,3,FALSE)</f>
        <v>#N/A</v>
      </c>
      <c r="D27" s="14" t="e">
        <f>VLOOKUP(G27,'GAL-CUB'!$A:$I,10,FALSE)</f>
        <v>#N/A</v>
      </c>
      <c r="E27" s="14" t="str">
        <f>IFERROR(VLOOKUP(G27,'GAL-CUB'!$A:$D,4,FALSE),IFERROR(VLOOKUP(G27,ESCOLTAS!$A:$F,6,FALSE),VLOOKUP(G27,SAÍDAS!$A:$B,2,FALSE)))</f>
        <v>CRAPG</v>
      </c>
      <c r="F27" s="14">
        <v>4</v>
      </c>
      <c r="G27" s="15">
        <f>SEGUNDA!G42</f>
        <v>0</v>
      </c>
    </row>
    <row r="28" spans="1:7" ht="14.25" thickTop="1" thickBot="1">
      <c r="B28" s="14" t="e">
        <f>VLOOKUP(G28,'GAL-CUB'!$A:$A,2,FALSE)</f>
        <v>#N/A</v>
      </c>
      <c r="C28" s="14" t="e">
        <f>VLOOKUP(G28,'GAL-CUB'!$A:$B,3,FALSE)</f>
        <v>#N/A</v>
      </c>
      <c r="D28" s="14" t="e">
        <f>VLOOKUP(G28,'GAL-CUB'!$A:$I,10,FALSE)</f>
        <v>#N/A</v>
      </c>
      <c r="E28" s="14" t="str">
        <f>IFERROR(VLOOKUP(G28,'GAL-CUB'!$A:$D,4,FALSE),IFERROR(VLOOKUP(G28,ESCOLTAS!$A:$F,6,FALSE),VLOOKUP(G28,SAÍDAS!$A:$B,2,FALSE)))</f>
        <v>CRAPG</v>
      </c>
      <c r="F28" s="14">
        <v>5</v>
      </c>
      <c r="G28" s="15">
        <f>SEGUNDA!G43</f>
        <v>0</v>
      </c>
    </row>
    <row r="29" spans="1:7" ht="14.25" thickTop="1" thickBot="1">
      <c r="B29" s="14" t="e">
        <f>VLOOKUP(G29,'GAL-CUB'!$A:$A,2,FALSE)</f>
        <v>#N/A</v>
      </c>
      <c r="C29" s="14" t="e">
        <f>VLOOKUP(G29,'GAL-CUB'!$A:$B,3,FALSE)</f>
        <v>#N/A</v>
      </c>
      <c r="D29" s="14" t="e">
        <f>VLOOKUP(G29,'GAL-CUB'!$A:$I,10,FALSE)</f>
        <v>#N/A</v>
      </c>
      <c r="E29" s="14" t="e">
        <f>IFERROR(VLOOKUP(G29,'GAL-CUB'!$A:$D,4,FALSE),IFERROR(VLOOKUP(G29,ESCOLTAS!$A:$F,6,FALSE),VLOOKUP(G29,SAÍDAS!$A:$B,2,FALSE)))</f>
        <v>#N/A</v>
      </c>
      <c r="F29" s="14">
        <v>6</v>
      </c>
      <c r="G29" s="15" t="str">
        <f>SEGUNDA!G44</f>
        <v>MAICON EMANUEL DE ASSUNCAO</v>
      </c>
    </row>
    <row r="30" spans="1:7" ht="14.25" thickTop="1" thickBot="1">
      <c r="B30" s="14" t="e">
        <f>VLOOKUP(G30,'GAL-CUB'!$A:$A,2,FALSE)</f>
        <v>#N/A</v>
      </c>
      <c r="C30" s="14" t="e">
        <f>VLOOKUP(G30,'GAL-CUB'!$A:$B,3,FALSE)</f>
        <v>#N/A</v>
      </c>
      <c r="D30" s="14" t="e">
        <f>VLOOKUP(G30,'GAL-CUB'!$A:$I,10,FALSE)</f>
        <v>#N/A</v>
      </c>
      <c r="E30" s="14" t="e">
        <f>IFERROR(VLOOKUP(G30,'GAL-CUB'!$A:$D,4,FALSE),IFERROR(VLOOKUP(G30,ESCOLTAS!$A:$F,6,FALSE),VLOOKUP(G30,SAÍDAS!$A:$B,2,FALSE)))</f>
        <v>#N/A</v>
      </c>
      <c r="F30" s="14">
        <v>7</v>
      </c>
      <c r="G30" s="15" t="str">
        <f>SEGUNDA!G45</f>
        <v>MARCIO DUBIELA</v>
      </c>
    </row>
    <row r="31" spans="1:7" ht="14.25" thickTop="1" thickBot="1">
      <c r="B31" s="14" t="e">
        <f>VLOOKUP(G31,'GAL-CUB'!$A:$A,2,FALSE)</f>
        <v>#N/A</v>
      </c>
      <c r="C31" s="14" t="e">
        <f>VLOOKUP(G31,'GAL-CUB'!$A:$B,3,FALSE)</f>
        <v>#N/A</v>
      </c>
      <c r="D31" s="14" t="e">
        <f>VLOOKUP(G31,'GAL-CUB'!$A:$I,10,FALSE)</f>
        <v>#N/A</v>
      </c>
      <c r="E31" s="14" t="e">
        <f>IFERROR(VLOOKUP(G31,'GAL-CUB'!$A:$D,4,FALSE),IFERROR(VLOOKUP(G31,ESCOLTAS!$A:$F,6,FALSE),VLOOKUP(G31,SAÍDAS!$A:$B,2,FALSE)))</f>
        <v>#N/A</v>
      </c>
      <c r="F31" s="14">
        <v>8</v>
      </c>
      <c r="G31" s="15" t="str">
        <f>SEGUNDA!G46</f>
        <v>MAURO DOS SANTOS (Índio)</v>
      </c>
    </row>
    <row r="32" spans="1:7" ht="14.25" thickTop="1" thickBot="1">
      <c r="B32" s="14" t="e">
        <f>VLOOKUP(G32,'GAL-CUB'!$A:$A,2,FALSE)</f>
        <v>#N/A</v>
      </c>
      <c r="C32" s="14" t="e">
        <f>VLOOKUP(G32,'GAL-CUB'!$A:$B,3,FALSE)</f>
        <v>#N/A</v>
      </c>
      <c r="D32" s="14" t="e">
        <f>VLOOKUP(G32,'GAL-CUB'!$A:$I,10,FALSE)</f>
        <v>#N/A</v>
      </c>
      <c r="E32" s="14" t="e">
        <f>IFERROR(VLOOKUP(G32,'GAL-CUB'!$A:$D,4,FALSE),IFERROR(VLOOKUP(G32,ESCOLTAS!$A:$F,6,FALSE),VLOOKUP(G32,SAÍDAS!$A:$B,2,FALSE)))</f>
        <v>#N/A</v>
      </c>
      <c r="F32" s="14">
        <v>9</v>
      </c>
      <c r="G32" s="15" t="str">
        <f>SEGUNDA!G47</f>
        <v>NATHAN JUNIOR ADOLFO DE OLIVEIRA (Junior / Tartaruga)</v>
      </c>
    </row>
    <row r="33" spans="2:7" ht="14.25" thickTop="1" thickBot="1">
      <c r="B33" s="14" t="e">
        <f>VLOOKUP(G33,'GAL-CUB'!$A:$A,2,FALSE)</f>
        <v>#N/A</v>
      </c>
      <c r="C33" s="14" t="e">
        <f>VLOOKUP(G33,'GAL-CUB'!$A:$B,3,FALSE)</f>
        <v>#N/A</v>
      </c>
      <c r="D33" s="14" t="e">
        <f>VLOOKUP(G33,'GAL-CUB'!$A:$I,10,FALSE)</f>
        <v>#N/A</v>
      </c>
      <c r="E33" s="14" t="e">
        <f>IFERROR(VLOOKUP(G33,'GAL-CUB'!$A:$D,4,FALSE),IFERROR(VLOOKUP(G33,ESCOLTAS!$A:$F,6,FALSE),VLOOKUP(G33,SAÍDAS!$A:$B,2,FALSE)))</f>
        <v>#N/A</v>
      </c>
      <c r="F33" s="14">
        <v>10</v>
      </c>
      <c r="G33" s="15" t="str">
        <f>SEGUNDA!G48</f>
        <v>NILTON CESAR FERREIRA PEDROSO</v>
      </c>
    </row>
    <row r="34" spans="2:7" ht="14.25" thickTop="1" thickBot="1">
      <c r="B34" s="14" t="e">
        <f>VLOOKUP(G34,'GAL-CUB'!$A:$A,2,FALSE)</f>
        <v>#N/A</v>
      </c>
      <c r="C34" s="14" t="e">
        <f>VLOOKUP(G34,'GAL-CUB'!$A:$B,3,FALSE)</f>
        <v>#N/A</v>
      </c>
      <c r="D34" s="14" t="e">
        <f>VLOOKUP(G34,'GAL-CUB'!$A:$I,10,FALSE)</f>
        <v>#N/A</v>
      </c>
      <c r="E34" s="14" t="str">
        <f>IFERROR(VLOOKUP(G34,'GAL-CUB'!$A:$D,4,FALSE),IFERROR(VLOOKUP(G34,ESCOLTAS!$A:$F,6,FALSE),VLOOKUP(G34,SAÍDAS!$A:$B,2,FALSE)))</f>
        <v>CRAPG</v>
      </c>
      <c r="F34" s="14">
        <v>11</v>
      </c>
      <c r="G34" s="15" t="str">
        <f>SEGUNDA!G49</f>
        <v>PATRICK BUENO DE OLIVEIRA</v>
      </c>
    </row>
    <row r="35" spans="2:7" ht="14.25" thickTop="1" thickBot="1">
      <c r="B35" s="14" t="e">
        <f>VLOOKUP(G35,'GAL-CUB'!$A:$A,2,FALSE)</f>
        <v>#N/A</v>
      </c>
      <c r="C35" s="14" t="e">
        <f>VLOOKUP(G35,'GAL-CUB'!$A:$B,3,FALSE)</f>
        <v>#N/A</v>
      </c>
      <c r="D35" s="14" t="e">
        <f>VLOOKUP(G35,'GAL-CUB'!$A:$I,10,FALSE)</f>
        <v>#N/A</v>
      </c>
      <c r="E35" s="14" t="str">
        <f>IFERROR(VLOOKUP(G35,'GAL-CUB'!$A:$D,4,FALSE),IFERROR(VLOOKUP(G35,ESCOLTAS!$A:$F,6,FALSE),VLOOKUP(G35,SAÍDAS!$A:$B,2,FALSE)))</f>
        <v>CRAPG</v>
      </c>
      <c r="F35" s="14">
        <v>12</v>
      </c>
      <c r="G35" s="15" t="str">
        <f>SEGUNDA!G50</f>
        <v>PAULO POLLI</v>
      </c>
    </row>
    <row r="36" spans="2:7" ht="14.25" thickTop="1" thickBot="1"/>
    <row r="37" spans="2:7" ht="14.25" thickTop="1" thickBot="1">
      <c r="B37" s="708" t="str">
        <f>TERÇA!B52</f>
        <v>MATILDE</v>
      </c>
      <c r="C37" s="709"/>
      <c r="D37" s="709"/>
      <c r="E37" s="46"/>
      <c r="F37" s="46"/>
      <c r="G37" s="27" t="str">
        <f ca="1">IF(WEEKDAY(B2,2)=4,"HOJE","QUINTA-FEIRA")</f>
        <v>QUINTA-FEIRA</v>
      </c>
    </row>
    <row r="38" spans="2:7" ht="14.25" thickTop="1" thickBot="1">
      <c r="B38" s="13" t="s">
        <v>812</v>
      </c>
      <c r="C38" s="13" t="s">
        <v>250</v>
      </c>
      <c r="D38" s="13" t="s">
        <v>435</v>
      </c>
      <c r="E38" s="13" t="s">
        <v>1178</v>
      </c>
      <c r="F38" s="13" t="s">
        <v>1802</v>
      </c>
      <c r="G38" s="13" t="s">
        <v>370</v>
      </c>
    </row>
    <row r="39" spans="2:7" ht="14.25" thickTop="1" thickBot="1">
      <c r="B39" s="14" t="e">
        <f>VLOOKUP(G39,'GAL-CUB'!$A:$A,2,FALSE)</f>
        <v>#N/A</v>
      </c>
      <c r="C39" s="14" t="e">
        <f>VLOOKUP(G39,'GAL-CUB'!$A:$B,3,FALSE)</f>
        <v>#N/A</v>
      </c>
      <c r="D39" s="14" t="e">
        <f>VLOOKUP(G39,'GAL-CUB'!$A:$I,10,FALSE)</f>
        <v>#N/A</v>
      </c>
      <c r="E39" s="14" t="str">
        <f>IFERROR(VLOOKUP(G39,'GAL-CUB'!$A:$D,4,FALSE),IFERROR(VLOOKUP(G39,ESCOLTAS!$A:$F,6,FALSE),VLOOKUP(G39,SAÍDAS!$A:$B,2,FALSE)))</f>
        <v>CRAPG</v>
      </c>
      <c r="F39" s="14">
        <v>1</v>
      </c>
      <c r="G39" s="15" t="str">
        <f>TERÇA!G54</f>
        <v>ADAIR FERNANDES MACHADO</v>
      </c>
    </row>
    <row r="40" spans="2:7" ht="14.25" thickTop="1" thickBot="1">
      <c r="B40" s="14" t="e">
        <f>VLOOKUP(G40,'GAL-CUB'!$A:$A,2,FALSE)</f>
        <v>#N/A</v>
      </c>
      <c r="C40" s="14" t="e">
        <f>VLOOKUP(G40,'GAL-CUB'!$A:$B,3,FALSE)</f>
        <v>#N/A</v>
      </c>
      <c r="D40" s="14" t="e">
        <f>VLOOKUP(G40,'GAL-CUB'!$A:$I,10,FALSE)</f>
        <v>#N/A</v>
      </c>
      <c r="E40" s="14" t="str">
        <f>IFERROR(VLOOKUP(G40,'GAL-CUB'!$A:$D,4,FALSE),IFERROR(VLOOKUP(G40,ESCOLTAS!$A:$F,6,FALSE),VLOOKUP(G40,SAÍDAS!$A:$B,2,FALSE)))</f>
        <v>CRAPG</v>
      </c>
      <c r="F40" s="14">
        <v>2</v>
      </c>
      <c r="G40" s="15" t="str">
        <f>TERÇA!G55</f>
        <v>ADRIANO GONÇALVES DE MELO</v>
      </c>
    </row>
    <row r="41" spans="2:7" ht="14.25" thickTop="1" thickBot="1">
      <c r="B41" s="14" t="e">
        <f>VLOOKUP(G41,'GAL-CUB'!$A:$A,2,FALSE)</f>
        <v>#N/A</v>
      </c>
      <c r="C41" s="14" t="e">
        <f>VLOOKUP(G41,'GAL-CUB'!$A:$B,3,FALSE)</f>
        <v>#N/A</v>
      </c>
      <c r="D41" s="14" t="e">
        <f>VLOOKUP(G41,'GAL-CUB'!$A:$I,10,FALSE)</f>
        <v>#N/A</v>
      </c>
      <c r="E41" s="14" t="e">
        <f>IFERROR(VLOOKUP(G41,'GAL-CUB'!$A:$D,4,FALSE),IFERROR(VLOOKUP(G41,ESCOLTAS!$A:$F,6,FALSE),VLOOKUP(G41,SAÍDAS!$A:$B,2,FALSE)))</f>
        <v>#N/A</v>
      </c>
      <c r="F41" s="14">
        <v>3</v>
      </c>
      <c r="G41" s="15" t="str">
        <f>TERÇA!G56</f>
        <v>ALEXANDRE JUNIOR DE ALMEIDA</v>
      </c>
    </row>
    <row r="42" spans="2:7" ht="14.25" thickTop="1" thickBot="1">
      <c r="B42" s="14" t="e">
        <f>VLOOKUP(G42,'GAL-CUB'!$A:$A,2,FALSE)</f>
        <v>#N/A</v>
      </c>
      <c r="C42" s="14" t="e">
        <f>VLOOKUP(G42,'GAL-CUB'!$A:$B,3,FALSE)</f>
        <v>#N/A</v>
      </c>
      <c r="D42" s="14" t="e">
        <f>VLOOKUP(G42,'GAL-CUB'!$A:$I,10,FALSE)</f>
        <v>#N/A</v>
      </c>
      <c r="E42" s="102" t="str">
        <f>IFERROR(VLOOKUP(G42,'GAL-CUB'!$A:$D,4,FALSE),IFERROR(VLOOKUP(G42,ESCOLTAS!$A:$F,6,FALSE),VLOOKUP(G42,SAÍDAS!$A:$B,2,FALSE)))</f>
        <v>TORNOZELEIRA</v>
      </c>
      <c r="F42" s="102">
        <v>4</v>
      </c>
      <c r="G42" s="15" t="str">
        <f>TERÇA!G57</f>
        <v>DEIVIDI DE MELO</v>
      </c>
    </row>
    <row r="43" spans="2:7" ht="14.25" thickTop="1" thickBot="1">
      <c r="B43" s="14" t="e">
        <f>VLOOKUP(G43,'GAL-CUB'!$A:$A,2,FALSE)</f>
        <v>#N/A</v>
      </c>
      <c r="C43" s="14" t="e">
        <f>VLOOKUP(G43,'GAL-CUB'!$A:$B,3,FALSE)</f>
        <v>#N/A</v>
      </c>
      <c r="D43" s="14" t="e">
        <f>VLOOKUP(G43,'GAL-CUB'!$A:$I,10,FALSE)</f>
        <v>#N/A</v>
      </c>
      <c r="E43" s="14" t="str">
        <f>IFERROR(VLOOKUP(G43,'GAL-CUB'!$A:$D,4,FALSE),IFERROR(VLOOKUP(G43,ESCOLTAS!$A:$F,6,FALSE),VLOOKUP(G43,SAÍDAS!$A:$B,2,FALSE)))</f>
        <v>CRAPG</v>
      </c>
      <c r="F43" s="14">
        <v>5</v>
      </c>
      <c r="G43" s="15" t="str">
        <f>TERÇA!G58</f>
        <v>EDIVALDO DA SILVA</v>
      </c>
    </row>
    <row r="44" spans="2:7" ht="14.25" thickTop="1" thickBot="1">
      <c r="B44" s="14" t="e">
        <f>VLOOKUP(G44,'GAL-CUB'!$A:$A,2,FALSE)</f>
        <v>#N/A</v>
      </c>
      <c r="C44" s="14" t="e">
        <f>VLOOKUP(G44,'GAL-CUB'!$A:$B,3,FALSE)</f>
        <v>#N/A</v>
      </c>
      <c r="D44" s="14" t="e">
        <f>VLOOKUP(G44,'GAL-CUB'!$A:$I,10,FALSE)</f>
        <v>#N/A</v>
      </c>
      <c r="E44" s="14" t="str">
        <f>IFERROR(VLOOKUP(G44,'GAL-CUB'!$A:$D,4,FALSE),IFERROR(VLOOKUP(G44,ESCOLTAS!$A:$F,6,FALSE),VLOOKUP(G44,SAÍDAS!$A:$B,2,FALSE)))</f>
        <v>CRAPG</v>
      </c>
      <c r="F44" s="14">
        <v>6</v>
      </c>
      <c r="G44" s="15" t="str">
        <f>TERÇA!G59</f>
        <v>FABIO TORRES BANRUQUE</v>
      </c>
    </row>
    <row r="45" spans="2:7" ht="14.25" thickTop="1" thickBot="1">
      <c r="B45" s="14" t="e">
        <f>VLOOKUP(G45,'GAL-CUB'!$A:$A,2,FALSE)</f>
        <v>#N/A</v>
      </c>
      <c r="C45" s="14" t="e">
        <f>VLOOKUP(G45,'GAL-CUB'!$A:$B,3,FALSE)</f>
        <v>#N/A</v>
      </c>
      <c r="D45" s="14" t="e">
        <f>VLOOKUP(G45,'GAL-CUB'!$A:$I,10,FALSE)</f>
        <v>#N/A</v>
      </c>
      <c r="E45" s="14" t="str">
        <f>IFERROR(VLOOKUP(G45,'GAL-CUB'!$A:$D,4,FALSE),IFERROR(VLOOKUP(G45,ESCOLTAS!$A:$F,6,FALSE),VLOOKUP(G45,SAÍDAS!$A:$B,2,FALSE)))</f>
        <v>CRAPG</v>
      </c>
      <c r="F45" s="14">
        <v>7</v>
      </c>
      <c r="G45" s="15" t="str">
        <f>TERÇA!G60</f>
        <v>IRINEU APARECIDO HENQUE</v>
      </c>
    </row>
    <row r="46" spans="2:7" ht="14.25" thickTop="1" thickBot="1">
      <c r="B46" s="14" t="e">
        <f>VLOOKUP(G46,'GAL-CUB'!$A:$A,2,FALSE)</f>
        <v>#N/A</v>
      </c>
      <c r="C46" s="14" t="e">
        <f>VLOOKUP(G46,'GAL-CUB'!$A:$B,3,FALSE)</f>
        <v>#N/A</v>
      </c>
      <c r="D46" s="14" t="e">
        <f>VLOOKUP(G46,'GAL-CUB'!$A:$I,10,FALSE)</f>
        <v>#N/A</v>
      </c>
      <c r="E46" s="14" t="e">
        <f>IFERROR(VLOOKUP(G46,'GAL-CUB'!$A:$D,4,FALSE),IFERROR(VLOOKUP(G46,ESCOLTAS!$A:$F,6,FALSE),VLOOKUP(G46,SAÍDAS!$A:$B,2,FALSE)))</f>
        <v>#N/A</v>
      </c>
      <c r="F46" s="14">
        <v>8</v>
      </c>
      <c r="G46" s="15" t="str">
        <f>TERÇA!G61</f>
        <v>JOAO JAQUES MOREIRA</v>
      </c>
    </row>
    <row r="47" spans="2:7" ht="14.25" thickTop="1" thickBot="1">
      <c r="B47" s="14" t="e">
        <f>VLOOKUP(G47,'GAL-CUB'!$A:$A,2,FALSE)</f>
        <v>#N/A</v>
      </c>
      <c r="C47" s="14" t="e">
        <f>VLOOKUP(G47,'GAL-CUB'!$A:$B,3,FALSE)</f>
        <v>#N/A</v>
      </c>
      <c r="D47" s="14" t="e">
        <f>VLOOKUP(G47,'GAL-CUB'!$A:$I,10,FALSE)</f>
        <v>#N/A</v>
      </c>
      <c r="E47" s="14" t="e">
        <f>IFERROR(VLOOKUP(G47,'GAL-CUB'!$A:$D,4,FALSE),IFERROR(VLOOKUP(G47,ESCOLTAS!$A:$F,6,FALSE),VLOOKUP(G47,SAÍDAS!$A:$B,2,FALSE)))</f>
        <v>#N/A</v>
      </c>
      <c r="F47" s="14">
        <v>9</v>
      </c>
      <c r="G47" s="15" t="str">
        <f>TERÇA!G62</f>
        <v>JHONNY RIBEIRO DA LUZ</v>
      </c>
    </row>
    <row r="48" spans="2:7" ht="14.25" thickTop="1" thickBot="1">
      <c r="B48" s="14" t="e">
        <f>VLOOKUP(G48,'GAL-CUB'!$A:$A,2,FALSE)</f>
        <v>#N/A</v>
      </c>
      <c r="C48" s="14" t="e">
        <f>VLOOKUP(G48,'GAL-CUB'!$A:$B,3,FALSE)</f>
        <v>#N/A</v>
      </c>
      <c r="D48" s="14" t="e">
        <f>VLOOKUP(G48,'GAL-CUB'!$A:$I,10,FALSE)</f>
        <v>#N/A</v>
      </c>
      <c r="E48" s="14" t="e">
        <f>IFERROR(VLOOKUP(G48,'GAL-CUB'!$A:$D,4,FALSE),IFERROR(VLOOKUP(G48,ESCOLTAS!$A:$F,6,FALSE),VLOOKUP(G48,SAÍDAS!$A:$B,2,FALSE)))</f>
        <v>#N/A</v>
      </c>
      <c r="F48" s="14">
        <v>10</v>
      </c>
      <c r="G48" s="15" t="str">
        <f>TERÇA!G63</f>
        <v>LUIZ CARLOS DOS SANTOS (Secretário/Luizinho)</v>
      </c>
    </row>
    <row r="49" spans="2:7" ht="14.25" thickTop="1" thickBot="1">
      <c r="B49" s="14" t="e">
        <f>VLOOKUP(G49,'GAL-CUB'!$A:$A,2,FALSE)</f>
        <v>#N/A</v>
      </c>
      <c r="C49" s="14" t="e">
        <f>VLOOKUP(G49,'GAL-CUB'!$A:$B,3,FALSE)</f>
        <v>#N/A</v>
      </c>
      <c r="D49" s="14" t="e">
        <f>VLOOKUP(G49,'GAL-CUB'!$A:$I,10,FALSE)</f>
        <v>#N/A</v>
      </c>
      <c r="E49" s="14" t="str">
        <f>IFERROR(VLOOKUP(G49,'GAL-CUB'!$A:$D,4,FALSE),IFERROR(VLOOKUP(G49,ESCOLTAS!$A:$F,6,FALSE),VLOOKUP(G49,SAÍDAS!$A:$B,2,FALSE)))</f>
        <v>CRAPG</v>
      </c>
      <c r="F49" s="14">
        <v>11</v>
      </c>
      <c r="G49" s="15" t="str">
        <f>TERÇA!G64</f>
        <v>ROQUE VANDERLEI RIBEIRO</v>
      </c>
    </row>
    <row r="50" spans="2:7" ht="14.25" thickTop="1" thickBot="1">
      <c r="B50" s="14" t="e">
        <f>VLOOKUP(G50,'GAL-CUB'!$A:$A,2,FALSE)</f>
        <v>#N/A</v>
      </c>
      <c r="C50" s="14" t="e">
        <f>VLOOKUP(G50,'GAL-CUB'!$A:$B,3,FALSE)</f>
        <v>#N/A</v>
      </c>
      <c r="D50" s="14" t="e">
        <f>VLOOKUP(G50,'GAL-CUB'!$A:$I,10,FALSE)</f>
        <v>#N/A</v>
      </c>
      <c r="E50" s="14" t="e">
        <f>IFERROR(VLOOKUP(G50,'GAL-CUB'!$A:$D,4,FALSE),IFERROR(VLOOKUP(G50,ESCOLTAS!$A:$F,6,FALSE),VLOOKUP(G50,SAÍDAS!$A:$B,2,FALSE)))</f>
        <v>#N/A</v>
      </c>
      <c r="F50" s="14">
        <v>12</v>
      </c>
      <c r="G50" s="15" t="str">
        <f>TERÇA!G65</f>
        <v>ROSEMBERG CANDIDO (PREDADOR/ PRETO VEIO)</v>
      </c>
    </row>
    <row r="51" spans="2:7" ht="14.25" thickTop="1" thickBot="1"/>
    <row r="52" spans="2:7" ht="14.25" thickTop="1" thickBot="1">
      <c r="B52" s="708" t="s">
        <v>1791</v>
      </c>
      <c r="C52" s="709"/>
      <c r="D52" s="709"/>
      <c r="E52" s="46" t="s">
        <v>1789</v>
      </c>
      <c r="F52" s="46"/>
      <c r="G52" s="27" t="str">
        <f ca="1">IF(WEEKDAY(B2,2)=4,"HOJE","QUINTA-FEIRA")</f>
        <v>QUINTA-FEIRA</v>
      </c>
    </row>
    <row r="53" spans="2:7" ht="14.25" thickTop="1" thickBot="1">
      <c r="B53" s="13" t="s">
        <v>812</v>
      </c>
      <c r="C53" s="13" t="s">
        <v>250</v>
      </c>
      <c r="D53" s="13" t="s">
        <v>435</v>
      </c>
      <c r="E53" s="13" t="s">
        <v>1178</v>
      </c>
      <c r="F53" s="13" t="s">
        <v>1802</v>
      </c>
      <c r="G53" s="13" t="s">
        <v>370</v>
      </c>
    </row>
    <row r="54" spans="2:7" ht="14.25" thickTop="1" thickBot="1">
      <c r="B54" s="14" t="e">
        <f>VLOOKUP(G54,'GAL-CUB'!$A:$A,2,FALSE)</f>
        <v>#N/A</v>
      </c>
      <c r="C54" s="14" t="e">
        <f>VLOOKUP(G54,'GAL-CUB'!$A:$B,3,FALSE)</f>
        <v>#N/A</v>
      </c>
      <c r="D54" s="14" t="e">
        <f>VLOOKUP(G54,'GAL-CUB'!$A:$I,10,FALSE)</f>
        <v>#N/A</v>
      </c>
      <c r="E54" s="14" t="str">
        <f>IFERROR(VLOOKUP(G54,'GAL-CUB'!$A:$D,4,FALSE),IFERROR(VLOOKUP(G54,ESCOLTAS!$A:$F,6,FALSE),VLOOKUP(G54,SAÍDAS!$A:$B,2,FALSE)))</f>
        <v>CRAPG</v>
      </c>
      <c r="F54" s="14">
        <v>1</v>
      </c>
      <c r="G54" s="99" t="s">
        <v>1127</v>
      </c>
    </row>
    <row r="55" spans="2:7" ht="14.25" thickTop="1" thickBot="1">
      <c r="B55" s="14" t="e">
        <f>VLOOKUP(G55,'GAL-CUB'!$A:$A,2,FALSE)</f>
        <v>#N/A</v>
      </c>
      <c r="C55" s="14" t="e">
        <f>VLOOKUP(G55,'GAL-CUB'!$A:$B,3,FALSE)</f>
        <v>#N/A</v>
      </c>
      <c r="D55" s="14" t="e">
        <f>VLOOKUP(G55,'GAL-CUB'!$A:$I,10,FALSE)</f>
        <v>#N/A</v>
      </c>
      <c r="E55" s="14" t="str">
        <f>IFERROR(VLOOKUP(G55,'GAL-CUB'!$A:$D,4,FALSE),IFERROR(VLOOKUP(G55,ESCOLTAS!$A:$F,6,FALSE),VLOOKUP(G55,SAÍDAS!$A:$B,2,FALSE)))</f>
        <v>CRAPG</v>
      </c>
      <c r="F55" s="102">
        <v>2</v>
      </c>
      <c r="G55" s="101" t="s">
        <v>1633</v>
      </c>
    </row>
    <row r="56" spans="2:7" ht="14.25" thickTop="1" thickBot="1">
      <c r="B56" s="14" t="e">
        <f>VLOOKUP(G56,'GAL-CUB'!$A:$A,2,FALSE)</f>
        <v>#N/A</v>
      </c>
      <c r="C56" s="14" t="e">
        <f>VLOOKUP(G56,'GAL-CUB'!$A:$B,3,FALSE)</f>
        <v>#N/A</v>
      </c>
      <c r="D56" s="14" t="e">
        <f>VLOOKUP(G56,'GAL-CUB'!$A:$I,10,FALSE)</f>
        <v>#N/A</v>
      </c>
      <c r="E56" s="14" t="str">
        <f>IFERROR(VLOOKUP(G56,'GAL-CUB'!$A:$D,4,FALSE),IFERROR(VLOOKUP(G56,ESCOLTAS!$A:$F,6,FALSE),VLOOKUP(G56,SAÍDAS!$A:$B,2,FALSE)))</f>
        <v>CMP</v>
      </c>
      <c r="F56" s="14">
        <v>3</v>
      </c>
      <c r="G56" s="59" t="s">
        <v>1873</v>
      </c>
    </row>
    <row r="57" spans="2:7" ht="14.25" thickTop="1" thickBot="1">
      <c r="B57" s="14" t="e">
        <f>VLOOKUP(G57,'GAL-CUB'!$A:$A,2,FALSE)</f>
        <v>#N/A</v>
      </c>
      <c r="C57" s="14" t="e">
        <f>VLOOKUP(G57,'GAL-CUB'!$A:$B,3,FALSE)</f>
        <v>#N/A</v>
      </c>
      <c r="D57" s="14" t="e">
        <f>VLOOKUP(G57,'GAL-CUB'!$A:$I,10,FALSE)</f>
        <v>#N/A</v>
      </c>
      <c r="E57" s="14" t="e">
        <f>IFERROR(VLOOKUP(G57,'GAL-CUB'!$A:$D,4,FALSE),IFERROR(VLOOKUP(G57,ESCOLTAS!$A:$F,6,FALSE),VLOOKUP(G57,SAÍDAS!$A:$B,2,FALSE)))</f>
        <v>#N/A</v>
      </c>
      <c r="F57" s="14">
        <v>4</v>
      </c>
      <c r="G57" s="101" t="s">
        <v>1381</v>
      </c>
    </row>
    <row r="58" spans="2:7" ht="14.25" thickTop="1" thickBot="1">
      <c r="B58" s="14" t="e">
        <f>VLOOKUP(G58,'GAL-CUB'!$A:$A,2,FALSE)</f>
        <v>#N/A</v>
      </c>
      <c r="C58" s="14" t="e">
        <f>VLOOKUP(G58,'GAL-CUB'!$A:$B,3,FALSE)</f>
        <v>#N/A</v>
      </c>
      <c r="D58" s="14" t="e">
        <f>VLOOKUP(G58,'GAL-CUB'!$A:$I,10,FALSE)</f>
        <v>#N/A</v>
      </c>
      <c r="E58" s="14" t="str">
        <f>IFERROR(VLOOKUP(G58,'GAL-CUB'!$A:$D,4,FALSE),IFERROR(VLOOKUP(G58,ESCOLTAS!$A:$F,6,FALSE),VLOOKUP(G58,SAÍDAS!$A:$B,2,FALSE)))</f>
        <v>CRAPG</v>
      </c>
      <c r="F58" s="102">
        <v>5</v>
      </c>
      <c r="G58" s="17" t="s">
        <v>488</v>
      </c>
    </row>
    <row r="59" spans="2:7" ht="14.25" thickTop="1" thickBot="1">
      <c r="B59" s="14" t="e">
        <f>VLOOKUP(G59,'GAL-CUB'!$A:$A,2,FALSE)</f>
        <v>#N/A</v>
      </c>
      <c r="C59" s="14" t="e">
        <f>VLOOKUP(G59,'GAL-CUB'!$A:$B,3,FALSE)</f>
        <v>#N/A</v>
      </c>
      <c r="D59" s="14" t="e">
        <f>VLOOKUP(G59,'GAL-CUB'!$A:$I,10,FALSE)</f>
        <v>#N/A</v>
      </c>
      <c r="E59" s="14" t="e">
        <f>IFERROR(VLOOKUP(G59,'GAL-CUB'!$A:$D,4,FALSE),IFERROR(VLOOKUP(G59,ESCOLTAS!$A:$F,6,FALSE),VLOOKUP(G59,SAÍDAS!$A:$B,2,FALSE)))</f>
        <v>#N/A</v>
      </c>
      <c r="F59" s="14">
        <v>6</v>
      </c>
      <c r="G59" s="15" t="s">
        <v>1892</v>
      </c>
    </row>
    <row r="60" spans="2:7" ht="14.25" thickTop="1" thickBot="1">
      <c r="B60" s="14" t="e">
        <f>VLOOKUP(G60,'GAL-CUB'!$A:$A,2,FALSE)</f>
        <v>#N/A</v>
      </c>
      <c r="C60" s="14" t="e">
        <f>VLOOKUP(G60,'GAL-CUB'!$A:$B,3,FALSE)</f>
        <v>#N/A</v>
      </c>
      <c r="D60" s="14" t="e">
        <f>VLOOKUP(G60,'GAL-CUB'!$A:$I,10,FALSE)</f>
        <v>#N/A</v>
      </c>
      <c r="E60" s="14" t="str">
        <f>IFERROR(VLOOKUP(G60,'GAL-CUB'!$A:$D,4,FALSE),IFERROR(VLOOKUP(G60,ESCOLTAS!$A:$F,6,FALSE),VLOOKUP(G60,SAÍDAS!$A:$B,2,FALSE)))</f>
        <v>CRAPG</v>
      </c>
      <c r="F60" s="14">
        <v>7</v>
      </c>
      <c r="G60" s="16" t="s">
        <v>290</v>
      </c>
    </row>
    <row r="61" spans="2:7" ht="14.25" thickTop="1" thickBot="1">
      <c r="B61" s="14" t="e">
        <f>VLOOKUP(G61,'GAL-CUB'!$A:$A,2,FALSE)</f>
        <v>#N/A</v>
      </c>
      <c r="C61" s="14" t="e">
        <f>VLOOKUP(G61,'GAL-CUB'!$A:$B,3,FALSE)</f>
        <v>#N/A</v>
      </c>
      <c r="D61" s="14" t="e">
        <f>VLOOKUP(G61,'GAL-CUB'!$A:$I,10,FALSE)</f>
        <v>#N/A</v>
      </c>
      <c r="E61" s="14" t="str">
        <f>IFERROR(VLOOKUP(G61,'GAL-CUB'!$A:$D,4,FALSE),IFERROR(VLOOKUP(G61,ESCOLTAS!$A:$F,6,FALSE),VLOOKUP(G61,SAÍDAS!$A:$B,2,FALSE)))</f>
        <v>CRAPG</v>
      </c>
      <c r="F61" s="102">
        <v>8</v>
      </c>
      <c r="G61" s="101" t="s">
        <v>1837</v>
      </c>
    </row>
    <row r="62" spans="2:7" ht="14.25" thickTop="1" thickBot="1">
      <c r="B62" s="14" t="e">
        <f>VLOOKUP(G62,'GAL-CUB'!$A:$A,2,FALSE)</f>
        <v>#N/A</v>
      </c>
      <c r="C62" s="14" t="e">
        <f>VLOOKUP(G62,'GAL-CUB'!$A:$B,3,FALSE)</f>
        <v>#N/A</v>
      </c>
      <c r="D62" s="14" t="e">
        <f>VLOOKUP(G62,'GAL-CUB'!$A:$I,10,FALSE)</f>
        <v>#N/A</v>
      </c>
      <c r="E62" s="14" t="e">
        <f>IFERROR(VLOOKUP(G62,'GAL-CUB'!$A:$D,4,FALSE),IFERROR(VLOOKUP(G62,ESCOLTAS!$A:$F,6,FALSE),VLOOKUP(G62,SAÍDAS!$A:$B,2,FALSE)))</f>
        <v>#N/A</v>
      </c>
      <c r="F62" s="14">
        <v>9</v>
      </c>
      <c r="G62" s="15" t="s">
        <v>1395</v>
      </c>
    </row>
    <row r="63" spans="2:7" ht="14.25" thickTop="1" thickBot="1">
      <c r="B63" s="14" t="e">
        <f>VLOOKUP(G63,'GAL-CUB'!$A:$A,2,FALSE)</f>
        <v>#N/A</v>
      </c>
      <c r="C63" s="14" t="e">
        <f>VLOOKUP(G63,'GAL-CUB'!$A:$B,3,FALSE)</f>
        <v>#N/A</v>
      </c>
      <c r="D63" s="14" t="e">
        <f>VLOOKUP(G63,'GAL-CUB'!$A:$I,10,FALSE)</f>
        <v>#N/A</v>
      </c>
      <c r="E63" s="14" t="e">
        <f>IFERROR(VLOOKUP(G63,'GAL-CUB'!$A:$D,4,FALSE),IFERROR(VLOOKUP(G63,ESCOLTAS!$A:$F,6,FALSE),VLOOKUP(G63,SAÍDAS!$A:$B,2,FALSE)))</f>
        <v>#N/A</v>
      </c>
      <c r="F63" s="14">
        <v>10</v>
      </c>
      <c r="G63" s="101" t="s">
        <v>2002</v>
      </c>
    </row>
    <row r="64" spans="2:7" ht="14.25" thickTop="1" thickBot="1">
      <c r="B64" s="14" t="e">
        <f>VLOOKUP(G64,'GAL-CUB'!$A:$A,2,FALSE)</f>
        <v>#N/A</v>
      </c>
      <c r="C64" s="14" t="e">
        <f>VLOOKUP(G64,'GAL-CUB'!$A:$B,3,FALSE)</f>
        <v>#N/A</v>
      </c>
      <c r="D64" s="14" t="e">
        <f>VLOOKUP(G64,'GAL-CUB'!$A:$I,10,FALSE)</f>
        <v>#N/A</v>
      </c>
      <c r="E64" s="14" t="e">
        <f>IFERROR(VLOOKUP(G64,'GAL-CUB'!$A:$D,4,FALSE),IFERROR(VLOOKUP(G64,ESCOLTAS!$A:$F,6,FALSE),VLOOKUP(G64,SAÍDAS!$A:$B,2,FALSE)))</f>
        <v>#N/A</v>
      </c>
      <c r="F64" s="102">
        <v>11</v>
      </c>
      <c r="G64" s="15" t="s">
        <v>1654</v>
      </c>
    </row>
    <row r="65" spans="2:7" ht="14.25" thickTop="1" thickBot="1">
      <c r="B65" s="14" t="e">
        <f>VLOOKUP(G65,'GAL-CUB'!$A:$A,2,FALSE)</f>
        <v>#N/A</v>
      </c>
      <c r="C65" s="14" t="e">
        <f>VLOOKUP(G65,'GAL-CUB'!$A:$B,3,FALSE)</f>
        <v>#N/A</v>
      </c>
      <c r="D65" s="14" t="e">
        <f>VLOOKUP(G65,'GAL-CUB'!$A:$I,10,FALSE)</f>
        <v>#N/A</v>
      </c>
      <c r="E65" s="14" t="str">
        <f>IFERROR(VLOOKUP(G65,'GAL-CUB'!$A:$D,4,FALSE),IFERROR(VLOOKUP(G65,ESCOLTAS!$A:$F,6,FALSE),VLOOKUP(G65,SAÍDAS!$A:$B,2,FALSE)))</f>
        <v>CRAPG</v>
      </c>
      <c r="F65" s="14">
        <v>12</v>
      </c>
      <c r="G65" s="15"/>
    </row>
    <row r="66" spans="2:7" ht="14.25" thickTop="1" thickBot="1">
      <c r="B66" s="84"/>
      <c r="C66" s="84"/>
      <c r="D66" s="84"/>
      <c r="E66" s="84"/>
      <c r="F66" s="84"/>
      <c r="G66" s="85"/>
    </row>
    <row r="67" spans="2:7" ht="14.25" thickTop="1" thickBot="1">
      <c r="B67" s="708" t="s">
        <v>1791</v>
      </c>
      <c r="C67" s="709"/>
      <c r="D67" s="709"/>
      <c r="E67" s="46" t="s">
        <v>1792</v>
      </c>
      <c r="F67" s="46"/>
      <c r="G67" s="27" t="e">
        <f>IF(WEEKDAY(B32,2)=4,"HOJE","QUINTA-FEIRA")</f>
        <v>#N/A</v>
      </c>
    </row>
    <row r="68" spans="2:7" ht="14.25" thickTop="1" thickBot="1">
      <c r="B68" s="13" t="s">
        <v>812</v>
      </c>
      <c r="C68" s="13" t="s">
        <v>250</v>
      </c>
      <c r="D68" s="13" t="s">
        <v>435</v>
      </c>
      <c r="E68" s="13" t="s">
        <v>1178</v>
      </c>
      <c r="F68" s="13" t="s">
        <v>1802</v>
      </c>
      <c r="G68" s="13" t="s">
        <v>370</v>
      </c>
    </row>
    <row r="69" spans="2:7" ht="14.25" thickTop="1" thickBot="1">
      <c r="B69" s="14" t="e">
        <f>VLOOKUP(G69,'GAL-CUB'!$A:$A,2,FALSE)</f>
        <v>#N/A</v>
      </c>
      <c r="C69" s="14" t="e">
        <f>VLOOKUP(G69,'GAL-CUB'!$A:$B,3,FALSE)</f>
        <v>#N/A</v>
      </c>
      <c r="D69" s="14" t="e">
        <f>VLOOKUP(G69,'GAL-CUB'!$A:$I,10,FALSE)</f>
        <v>#N/A</v>
      </c>
      <c r="E69" s="14" t="e">
        <f>IFERROR(VLOOKUP(G69,'GAL-CUB'!$A:$D,4,FALSE),IFERROR(VLOOKUP(G69,ESCOLTAS!$A:$F,6,FALSE),VLOOKUP(G69,SAÍDAS!$A:$B,2,FALSE)))</f>
        <v>#N/A</v>
      </c>
      <c r="F69" s="14">
        <v>1</v>
      </c>
      <c r="G69" s="15" t="s">
        <v>1856</v>
      </c>
    </row>
    <row r="70" spans="2:7" ht="14.25" thickTop="1" thickBot="1">
      <c r="B70" s="14" t="e">
        <f>VLOOKUP(G70,'GAL-CUB'!$A:$A,2,FALSE)</f>
        <v>#N/A</v>
      </c>
      <c r="C70" s="14" t="e">
        <f>VLOOKUP(G70,'GAL-CUB'!$A:$B,3,FALSE)</f>
        <v>#N/A</v>
      </c>
      <c r="D70" s="14" t="e">
        <f>VLOOKUP(G70,'GAL-CUB'!$A:$I,10,FALSE)</f>
        <v>#N/A</v>
      </c>
      <c r="E70" s="14" t="e">
        <f>IFERROR(VLOOKUP(G70,'GAL-CUB'!$A:$D,4,FALSE),IFERROR(VLOOKUP(G70,ESCOLTAS!$A:$F,6,FALSE),VLOOKUP(G70,SAÍDAS!$A:$B,2,FALSE)))</f>
        <v>#N/A</v>
      </c>
      <c r="F70" s="14">
        <v>2</v>
      </c>
      <c r="G70" s="16" t="s">
        <v>2018</v>
      </c>
    </row>
    <row r="71" spans="2:7" ht="14.25" thickTop="1" thickBot="1">
      <c r="B71" s="14" t="e">
        <f>VLOOKUP(G71,'GAL-CUB'!$A:$A,2,FALSE)</f>
        <v>#N/A</v>
      </c>
      <c r="C71" s="14" t="e">
        <f>VLOOKUP(G71,'GAL-CUB'!$A:$B,3,FALSE)</f>
        <v>#N/A</v>
      </c>
      <c r="D71" s="14" t="e">
        <f>VLOOKUP(G71,'GAL-CUB'!$A:$I,10,FALSE)</f>
        <v>#N/A</v>
      </c>
      <c r="E71" s="102" t="e">
        <f>IFERROR(VLOOKUP(G71,'GAL-CUB'!$A:$D,4,FALSE),IFERROR(VLOOKUP(G71,ESCOLTAS!$A:$F,6,FALSE),VLOOKUP(G71,SAÍDAS!$A:$B,2,FALSE)))</f>
        <v>#N/A</v>
      </c>
      <c r="F71" s="102">
        <v>3</v>
      </c>
      <c r="G71" s="15" t="s">
        <v>1829</v>
      </c>
    </row>
    <row r="72" spans="2:7" ht="14.25" thickTop="1" thickBot="1">
      <c r="B72" s="14" t="e">
        <f>VLOOKUP(G72,'GAL-CUB'!$A:$A,2,FALSE)</f>
        <v>#N/A</v>
      </c>
      <c r="C72" s="14" t="e">
        <f>VLOOKUP(G72,'GAL-CUB'!$A:$B,3,FALSE)</f>
        <v>#N/A</v>
      </c>
      <c r="D72" s="14" t="e">
        <f>VLOOKUP(G72,'GAL-CUB'!$A:$I,10,FALSE)</f>
        <v>#N/A</v>
      </c>
      <c r="E72" s="14" t="str">
        <f>IFERROR(VLOOKUP(G72,'GAL-CUB'!$A:$D,4,FALSE),IFERROR(VLOOKUP(G72,ESCOLTAS!$A:$F,6,FALSE),VLOOKUP(G72,SAÍDAS!$A:$B,2,FALSE)))</f>
        <v>CRAPG</v>
      </c>
      <c r="F72" s="14">
        <v>4</v>
      </c>
      <c r="G72" s="15" t="s">
        <v>1885</v>
      </c>
    </row>
    <row r="73" spans="2:7" ht="14.25" thickTop="1" thickBot="1">
      <c r="B73" s="14" t="e">
        <f>VLOOKUP(G73,'GAL-CUB'!$A:$A,2,FALSE)</f>
        <v>#N/A</v>
      </c>
      <c r="C73" s="14" t="e">
        <f>VLOOKUP(G73,'GAL-CUB'!$A:$B,3,FALSE)</f>
        <v>#N/A</v>
      </c>
      <c r="D73" s="14" t="e">
        <f>VLOOKUP(G73,'GAL-CUB'!$A:$I,10,FALSE)</f>
        <v>#N/A</v>
      </c>
      <c r="E73" s="14" t="str">
        <f>IFERROR(VLOOKUP(G73,'GAL-CUB'!$A:$D,4,FALSE),IFERROR(VLOOKUP(G73,ESCOLTAS!$A:$F,6,FALSE),VLOOKUP(G73,SAÍDAS!$A:$B,2,FALSE)))</f>
        <v>PCE</v>
      </c>
      <c r="F73" s="14">
        <v>5</v>
      </c>
      <c r="G73" s="101" t="s">
        <v>1797</v>
      </c>
    </row>
    <row r="74" spans="2:7" ht="14.25" thickTop="1" thickBot="1">
      <c r="B74" s="14" t="e">
        <f>VLOOKUP(G74,'GAL-CUB'!$A:$A,2,FALSE)</f>
        <v>#N/A</v>
      </c>
      <c r="C74" s="14" t="e">
        <f>VLOOKUP(G74,'GAL-CUB'!$A:$B,3,FALSE)</f>
        <v>#N/A</v>
      </c>
      <c r="D74" s="14" t="e">
        <f>VLOOKUP(G74,'GAL-CUB'!$A:$I,10,FALSE)</f>
        <v>#N/A</v>
      </c>
      <c r="E74" s="14" t="str">
        <f>IFERROR(VLOOKUP(G74,'GAL-CUB'!$A:$D,4,FALSE),IFERROR(VLOOKUP(G74,ESCOLTAS!$A:$F,6,FALSE),VLOOKUP(G74,SAÍDAS!$A:$B,2,FALSE)))</f>
        <v>CRAPG</v>
      </c>
      <c r="F74" s="102">
        <v>6</v>
      </c>
      <c r="G74" s="15" t="s">
        <v>1909</v>
      </c>
    </row>
    <row r="75" spans="2:7" ht="14.25" thickTop="1" thickBot="1">
      <c r="B75" s="14" t="e">
        <f>VLOOKUP(G75,'GAL-CUB'!$A:$A,2,FALSE)</f>
        <v>#N/A</v>
      </c>
      <c r="C75" s="14" t="e">
        <f>VLOOKUP(G75,'GAL-CUB'!$A:$B,3,FALSE)</f>
        <v>#N/A</v>
      </c>
      <c r="D75" s="14" t="e">
        <f>VLOOKUP(G75,'GAL-CUB'!$A:$I,10,FALSE)</f>
        <v>#N/A</v>
      </c>
      <c r="E75" s="14" t="str">
        <f>IFERROR(VLOOKUP(G75,'GAL-CUB'!$A:$D,4,FALSE),IFERROR(VLOOKUP(G75,ESCOLTAS!$A:$F,6,FALSE),VLOOKUP(G75,SAÍDAS!$A:$B,2,FALSE)))</f>
        <v>CRAPG</v>
      </c>
      <c r="F75" s="14">
        <v>7</v>
      </c>
      <c r="G75" s="15" t="s">
        <v>1825</v>
      </c>
    </row>
    <row r="76" spans="2:7" ht="14.25" thickTop="1" thickBot="1">
      <c r="B76" s="14" t="e">
        <f>VLOOKUP(G76,'GAL-CUB'!$A:$A,2,FALSE)</f>
        <v>#N/A</v>
      </c>
      <c r="C76" s="14" t="e">
        <f>VLOOKUP(G76,'GAL-CUB'!$A:$B,3,FALSE)</f>
        <v>#N/A</v>
      </c>
      <c r="D76" s="14" t="e">
        <f>VLOOKUP(G76,'GAL-CUB'!$A:$I,10,FALSE)</f>
        <v>#N/A</v>
      </c>
      <c r="E76" s="14" t="str">
        <f>IFERROR(VLOOKUP(G76,'GAL-CUB'!$A:$D,4,FALSE),IFERROR(VLOOKUP(G76,ESCOLTAS!$A:$F,6,FALSE),VLOOKUP(G76,SAÍDAS!$A:$B,2,FALSE)))</f>
        <v>CRAPG</v>
      </c>
      <c r="F76" s="14">
        <v>8</v>
      </c>
      <c r="G76" s="101" t="s">
        <v>1811</v>
      </c>
    </row>
    <row r="77" spans="2:7" ht="14.25" thickTop="1" thickBot="1">
      <c r="B77" s="14" t="e">
        <f>VLOOKUP(G77,'GAL-CUB'!$A:$A,2,FALSE)</f>
        <v>#N/A</v>
      </c>
      <c r="C77" s="14" t="e">
        <f>VLOOKUP(G77,'GAL-CUB'!$A:$B,3,FALSE)</f>
        <v>#N/A</v>
      </c>
      <c r="D77" s="14" t="e">
        <f>VLOOKUP(G77,'GAL-CUB'!$A:$I,10,FALSE)</f>
        <v>#N/A</v>
      </c>
      <c r="E77" s="14" t="e">
        <f>IFERROR(VLOOKUP(G77,'GAL-CUB'!$A:$D,4,FALSE),IFERROR(VLOOKUP(G77,ESCOLTAS!$A:$F,6,FALSE),VLOOKUP(G77,SAÍDAS!$A:$B,2,FALSE)))</f>
        <v>#N/A</v>
      </c>
      <c r="F77" s="102">
        <v>9</v>
      </c>
      <c r="G77" s="15" t="s">
        <v>424</v>
      </c>
    </row>
    <row r="78" spans="2:7" ht="14.25" thickTop="1" thickBot="1">
      <c r="B78" s="14" t="e">
        <f>VLOOKUP(G78,'GAL-CUB'!$A:$A,2,FALSE)</f>
        <v>#N/A</v>
      </c>
      <c r="C78" s="14" t="e">
        <f>VLOOKUP(G78,'GAL-CUB'!$A:$B,3,FALSE)</f>
        <v>#N/A</v>
      </c>
      <c r="D78" s="14" t="e">
        <f>VLOOKUP(G78,'GAL-CUB'!$A:$I,10,FALSE)</f>
        <v>#N/A</v>
      </c>
      <c r="E78" s="14" t="str">
        <f>IFERROR(VLOOKUP(G78,'GAL-CUB'!$A:$D,4,FALSE),IFERROR(VLOOKUP(G78,ESCOLTAS!$A:$F,6,FALSE),VLOOKUP(G78,SAÍDAS!$A:$B,2,FALSE)))</f>
        <v>CRAPG</v>
      </c>
      <c r="F78" s="14">
        <v>10</v>
      </c>
      <c r="G78" s="87" t="s">
        <v>492</v>
      </c>
    </row>
    <row r="79" spans="2:7" ht="14.25" thickTop="1" thickBot="1">
      <c r="B79" s="14" t="e">
        <f>VLOOKUP(G79,'GAL-CUB'!$A:$A,2,FALSE)</f>
        <v>#N/A</v>
      </c>
      <c r="C79" s="14" t="e">
        <f>VLOOKUP(G79,'GAL-CUB'!$A:$B,3,FALSE)</f>
        <v>#N/A</v>
      </c>
      <c r="D79" s="14" t="e">
        <f>VLOOKUP(G79,'GAL-CUB'!$A:$I,10,FALSE)</f>
        <v>#N/A</v>
      </c>
      <c r="E79" s="14" t="e">
        <f>IFERROR(VLOOKUP(G79,'GAL-CUB'!$A:$D,4,FALSE),IFERROR(VLOOKUP(G79,ESCOLTAS!$A:$F,6,FALSE),VLOOKUP(G79,SAÍDAS!$A:$B,2,FALSE)))</f>
        <v>#N/A</v>
      </c>
      <c r="F79" s="14">
        <v>11</v>
      </c>
      <c r="G79" s="18" t="s">
        <v>958</v>
      </c>
    </row>
    <row r="80" spans="2:7" ht="14.25" thickTop="1" thickBot="1">
      <c r="B80" s="14" t="e">
        <f>VLOOKUP(G80,'GAL-CUB'!$A:$A,2,FALSE)</f>
        <v>#N/A</v>
      </c>
      <c r="C80" s="14" t="e">
        <f>VLOOKUP(G80,'GAL-CUB'!$A:$B,3,FALSE)</f>
        <v>#N/A</v>
      </c>
      <c r="D80" s="14" t="e">
        <f>VLOOKUP(G80,'GAL-CUB'!$A:$I,10,FALSE)</f>
        <v>#N/A</v>
      </c>
      <c r="E80" s="14" t="str">
        <f>IFERROR(VLOOKUP(G80,'GAL-CUB'!$A:$D,4,FALSE),IFERROR(VLOOKUP(G80,ESCOLTAS!$A:$F,6,FALSE),VLOOKUP(G80,SAÍDAS!$A:$B,2,FALSE)))</f>
        <v>CRAPG</v>
      </c>
      <c r="F80" s="102">
        <v>12</v>
      </c>
      <c r="G80" s="15"/>
    </row>
    <row r="81" spans="2:7" ht="13.5" thickTop="1">
      <c r="B81" s="84"/>
      <c r="C81" s="84"/>
      <c r="D81" s="84"/>
      <c r="E81" s="84"/>
      <c r="F81" s="84"/>
      <c r="G81" s="85"/>
    </row>
    <row r="83" spans="2:7">
      <c r="B83" s="710" t="s">
        <v>1781</v>
      </c>
      <c r="C83" s="710"/>
      <c r="D83" s="710"/>
      <c r="E83" s="710"/>
      <c r="F83" s="710"/>
      <c r="G83" s="710"/>
    </row>
    <row r="84" spans="2:7">
      <c r="B84" s="710"/>
      <c r="C84" s="710"/>
      <c r="D84" s="710"/>
      <c r="E84" s="710"/>
      <c r="F84" s="710"/>
      <c r="G84" s="710"/>
    </row>
    <row r="85" spans="2:7" ht="13.5" thickBot="1"/>
    <row r="86" spans="2:7" ht="14.25" thickTop="1" thickBot="1">
      <c r="B86" s="708" t="str">
        <f>SEGUNDA!B70</f>
        <v>EDUARDO</v>
      </c>
      <c r="C86" s="709"/>
      <c r="D86" s="709"/>
      <c r="E86" s="46"/>
      <c r="F86" s="46"/>
      <c r="G86" s="27" t="str">
        <f ca="1">IF(WEEKDAY(B2,2)=4,"HOJE","QUINTA-FEIRA")</f>
        <v>QUINTA-FEIRA</v>
      </c>
    </row>
    <row r="87" spans="2:7" ht="14.25" thickTop="1" thickBot="1">
      <c r="B87" s="13" t="s">
        <v>812</v>
      </c>
      <c r="C87" s="13" t="s">
        <v>250</v>
      </c>
      <c r="D87" s="13" t="s">
        <v>435</v>
      </c>
      <c r="E87" s="13" t="s">
        <v>1178</v>
      </c>
      <c r="F87" s="13" t="s">
        <v>1802</v>
      </c>
      <c r="G87" s="13" t="s">
        <v>370</v>
      </c>
    </row>
    <row r="88" spans="2:7" ht="14.25" thickTop="1" thickBot="1">
      <c r="B88" s="14" t="e">
        <f>VLOOKUP(G88,'GAL-CUB'!$A:$A,2,FALSE)</f>
        <v>#N/A</v>
      </c>
      <c r="C88" s="14" t="e">
        <f>VLOOKUP(G88,'GAL-CUB'!$A:$B,3,FALSE)</f>
        <v>#N/A</v>
      </c>
      <c r="D88" s="14" t="e">
        <f>VLOOKUP(G88,'GAL-CUB'!$A:$I,10,FALSE)</f>
        <v>#N/A</v>
      </c>
      <c r="E88" s="14" t="str">
        <f>IFERROR(VLOOKUP(G88,'GAL-CUB'!$A:$D,4,FALSE),IFERROR(VLOOKUP(G88,ESCOLTAS!$A:$F,6,FALSE),VLOOKUP(G88,SAÍDAS!$A:$B,2,FALSE)))</f>
        <v>CRAPG</v>
      </c>
      <c r="F88" s="14">
        <v>1</v>
      </c>
      <c r="G88" s="18" t="str">
        <f>SEGUNDA!G72</f>
        <v>ANTONIO GUEDES RODRIGUES</v>
      </c>
    </row>
    <row r="89" spans="2:7" ht="14.25" thickTop="1" thickBot="1">
      <c r="B89" s="14" t="e">
        <f>VLOOKUP(G89,'GAL-CUB'!$A:$A,2,FALSE)</f>
        <v>#N/A</v>
      </c>
      <c r="C89" s="14" t="e">
        <f>VLOOKUP(G89,'GAL-CUB'!$A:$B,3,FALSE)</f>
        <v>#N/A</v>
      </c>
      <c r="D89" s="14" t="e">
        <f>VLOOKUP(G89,'GAL-CUB'!$A:$I,10,FALSE)</f>
        <v>#N/A</v>
      </c>
      <c r="E89" s="14" t="e">
        <f>IFERROR(VLOOKUP(G89,'GAL-CUB'!$A:$D,4,FALSE),IFERROR(VLOOKUP(G89,ESCOLTAS!$A:$F,6,FALSE),VLOOKUP(G89,SAÍDAS!$A:$B,2,FALSE)))</f>
        <v>#N/A</v>
      </c>
      <c r="F89" s="14">
        <v>2</v>
      </c>
      <c r="G89" s="18" t="str">
        <f>SEGUNDA!G73</f>
        <v>CLEVERSON GONÇALVES DA SILVA (Fantasma / Pequeno)</v>
      </c>
    </row>
    <row r="90" spans="2:7" ht="14.25" thickTop="1" thickBot="1">
      <c r="B90" s="14" t="e">
        <f>VLOOKUP(G90,'GAL-CUB'!$A:$A,2,FALSE)</f>
        <v>#N/A</v>
      </c>
      <c r="C90" s="14" t="e">
        <f>VLOOKUP(G90,'GAL-CUB'!$A:$B,3,FALSE)</f>
        <v>#N/A</v>
      </c>
      <c r="D90" s="14" t="e">
        <f>VLOOKUP(G90,'GAL-CUB'!$A:$I,10,FALSE)</f>
        <v>#N/A</v>
      </c>
      <c r="E90" s="14" t="e">
        <f>IFERROR(VLOOKUP(G90,'GAL-CUB'!$A:$D,4,FALSE),IFERROR(VLOOKUP(G90,ESCOLTAS!$A:$F,6,FALSE),VLOOKUP(G90,SAÍDAS!$A:$B,2,FALSE)))</f>
        <v>#N/A</v>
      </c>
      <c r="F90" s="14">
        <v>3</v>
      </c>
      <c r="G90" s="18" t="str">
        <f>SEGUNDA!G74</f>
        <v>CLODOALDO RIBEIRO</v>
      </c>
    </row>
    <row r="91" spans="2:7" ht="14.25" thickTop="1" thickBot="1">
      <c r="B91" s="14" t="e">
        <f>VLOOKUP(G91,'GAL-CUB'!$A:$A,2,FALSE)</f>
        <v>#N/A</v>
      </c>
      <c r="C91" s="14" t="e">
        <f>VLOOKUP(G91,'GAL-CUB'!$A:$B,3,FALSE)</f>
        <v>#N/A</v>
      </c>
      <c r="D91" s="14" t="e">
        <f>VLOOKUP(G91,'GAL-CUB'!$A:$I,10,FALSE)</f>
        <v>#N/A</v>
      </c>
      <c r="E91" s="14" t="e">
        <f>IFERROR(VLOOKUP(G91,'GAL-CUB'!$A:$D,4,FALSE),IFERROR(VLOOKUP(G91,ESCOLTAS!$A:$F,6,FALSE),VLOOKUP(G91,SAÍDAS!$A:$B,2,FALSE)))</f>
        <v>#N/A</v>
      </c>
      <c r="F91" s="14">
        <v>4</v>
      </c>
      <c r="G91" s="18" t="str">
        <f>SEGUNDA!G75</f>
        <v>EDSON LUIZ SCHUCK</v>
      </c>
    </row>
    <row r="92" spans="2:7" ht="14.25" thickTop="1" thickBot="1">
      <c r="B92" s="14" t="e">
        <f>VLOOKUP(G92,'GAL-CUB'!$A:$A,2,FALSE)</f>
        <v>#N/A</v>
      </c>
      <c r="C92" s="14" t="e">
        <f>VLOOKUP(G92,'GAL-CUB'!$A:$B,3,FALSE)</f>
        <v>#N/A</v>
      </c>
      <c r="D92" s="14" t="e">
        <f>VLOOKUP(G92,'GAL-CUB'!$A:$I,10,FALSE)</f>
        <v>#N/A</v>
      </c>
      <c r="E92" s="14" t="str">
        <f>IFERROR(VLOOKUP(G92,'GAL-CUB'!$A:$D,4,FALSE),IFERROR(VLOOKUP(G92,ESCOLTAS!$A:$F,6,FALSE),VLOOKUP(G92,SAÍDAS!$A:$B,2,FALSE)))</f>
        <v>Bonde CTBA</v>
      </c>
      <c r="F92" s="14">
        <v>5</v>
      </c>
      <c r="G92" s="18" t="str">
        <f>SEGUNDA!G76</f>
        <v>EMERSON CHACARSKI</v>
      </c>
    </row>
    <row r="93" spans="2:7" ht="14.25" thickTop="1" thickBot="1">
      <c r="B93" s="14" t="e">
        <f>VLOOKUP(G93,'GAL-CUB'!$A:$A,2,FALSE)</f>
        <v>#N/A</v>
      </c>
      <c r="C93" s="14" t="e">
        <f>VLOOKUP(G93,'GAL-CUB'!$A:$B,3,FALSE)</f>
        <v>#N/A</v>
      </c>
      <c r="D93" s="14" t="e">
        <f>VLOOKUP(G93,'GAL-CUB'!$A:$I,10,FALSE)</f>
        <v>#N/A</v>
      </c>
      <c r="E93" s="14" t="str">
        <f>IFERROR(VLOOKUP(G93,'GAL-CUB'!$A:$D,4,FALSE),IFERROR(VLOOKUP(G93,ESCOLTAS!$A:$F,6,FALSE),VLOOKUP(G93,SAÍDAS!$A:$B,2,FALSE)))</f>
        <v>CRAPG</v>
      </c>
      <c r="F93" s="14">
        <v>6</v>
      </c>
      <c r="G93" s="18" t="str">
        <f>SEGUNDA!G77</f>
        <v>JEAN CARLOS OLIVEIRA PINTO</v>
      </c>
    </row>
    <row r="94" spans="2:7" ht="14.25" thickTop="1" thickBot="1">
      <c r="B94" s="14" t="e">
        <f>VLOOKUP(G94,'GAL-CUB'!$A:$A,2,FALSE)</f>
        <v>#N/A</v>
      </c>
      <c r="C94" s="14" t="e">
        <f>VLOOKUP(G94,'GAL-CUB'!$A:$B,3,FALSE)</f>
        <v>#N/A</v>
      </c>
      <c r="D94" s="14" t="e">
        <f>VLOOKUP(G94,'GAL-CUB'!$A:$I,10,FALSE)</f>
        <v>#N/A</v>
      </c>
      <c r="E94" s="14" t="e">
        <f>IFERROR(VLOOKUP(G94,'GAL-CUB'!$A:$D,4,FALSE),IFERROR(VLOOKUP(G94,ESCOLTAS!$A:$F,6,FALSE),VLOOKUP(G94,SAÍDAS!$A:$B,2,FALSE)))</f>
        <v>#N/A</v>
      </c>
      <c r="F94" s="14">
        <v>7</v>
      </c>
      <c r="G94" s="18" t="str">
        <f>SEGUNDA!G78</f>
        <v>MAICON HENRIQUE CORREIA (Sabiá)</v>
      </c>
    </row>
    <row r="95" spans="2:7" ht="14.25" thickTop="1" thickBot="1">
      <c r="B95" s="14" t="e">
        <f>VLOOKUP(G95,'GAL-CUB'!$A:$A,2,FALSE)</f>
        <v>#N/A</v>
      </c>
      <c r="C95" s="14" t="e">
        <f>VLOOKUP(G95,'GAL-CUB'!$A:$B,3,FALSE)</f>
        <v>#N/A</v>
      </c>
      <c r="D95" s="14" t="e">
        <f>VLOOKUP(G95,'GAL-CUB'!$A:$I,10,FALSE)</f>
        <v>#N/A</v>
      </c>
      <c r="E95" s="14" t="str">
        <f>IFERROR(VLOOKUP(G95,'GAL-CUB'!$A:$D,4,FALSE),IFERROR(VLOOKUP(G95,ESCOLTAS!$A:$F,6,FALSE),VLOOKUP(G95,SAÍDAS!$A:$B,2,FALSE)))</f>
        <v>CRAPG</v>
      </c>
      <c r="F95" s="14">
        <v>8</v>
      </c>
      <c r="G95" s="18" t="str">
        <f>SEGUNDA!G79</f>
        <v>MARCOS WILLIAN SANTOS DA SILVA (Marquinhos)</v>
      </c>
    </row>
    <row r="96" spans="2:7" ht="14.25" thickTop="1" thickBot="1">
      <c r="B96" s="14" t="e">
        <f>VLOOKUP(G96,'GAL-CUB'!$A:$A,2,FALSE)</f>
        <v>#N/A</v>
      </c>
      <c r="C96" s="14" t="e">
        <f>VLOOKUP(G96,'GAL-CUB'!$A:$B,3,FALSE)</f>
        <v>#N/A</v>
      </c>
      <c r="D96" s="14" t="e">
        <f>VLOOKUP(G96,'GAL-CUB'!$A:$I,10,FALSE)</f>
        <v>#N/A</v>
      </c>
      <c r="E96" s="14" t="e">
        <f>IFERROR(VLOOKUP(G96,'GAL-CUB'!$A:$D,4,FALSE),IFERROR(VLOOKUP(G96,ESCOLTAS!$A:$F,6,FALSE),VLOOKUP(G96,SAÍDAS!$A:$B,2,FALSE)))</f>
        <v>#N/A</v>
      </c>
      <c r="F96" s="14">
        <v>9</v>
      </c>
      <c r="G96" s="18" t="str">
        <f>SEGUNDA!G80</f>
        <v>WILLIAN EDUARDO STARKE</v>
      </c>
    </row>
    <row r="97" spans="2:7" ht="14.25" thickTop="1" thickBot="1">
      <c r="B97" s="14" t="e">
        <f>VLOOKUP(G97,'GAL-CUB'!$A:$A,2,FALSE)</f>
        <v>#N/A</v>
      </c>
      <c r="C97" s="14" t="e">
        <f>VLOOKUP(G97,'GAL-CUB'!$A:$B,3,FALSE)</f>
        <v>#N/A</v>
      </c>
      <c r="D97" s="14" t="e">
        <f>VLOOKUP(G97,'GAL-CUB'!$A:$I,10,FALSE)</f>
        <v>#N/A</v>
      </c>
      <c r="E97" s="14" t="str">
        <f>IFERROR(VLOOKUP(G97,'GAL-CUB'!$A:$D,4,FALSE),IFERROR(VLOOKUP(G97,ESCOLTAS!$A:$F,6,FALSE),VLOOKUP(G97,SAÍDAS!$A:$B,2,FALSE)))</f>
        <v>CRAPG</v>
      </c>
      <c r="F97" s="14">
        <v>10</v>
      </c>
      <c r="G97" s="18" t="str">
        <f>SEGUNDA!G81</f>
        <v>ILTON MAYCON PEREIRA DOS SANTOS</v>
      </c>
    </row>
    <row r="98" spans="2:7" ht="14.25" thickTop="1" thickBot="1">
      <c r="B98" s="14" t="e">
        <f>VLOOKUP(G98,'GAL-CUB'!$A:$A,2,FALSE)</f>
        <v>#N/A</v>
      </c>
      <c r="C98" s="14" t="e">
        <f>VLOOKUP(G98,'GAL-CUB'!$A:$B,3,FALSE)</f>
        <v>#N/A</v>
      </c>
      <c r="D98" s="14" t="e">
        <f>VLOOKUP(G98,'GAL-CUB'!$A:$I,10,FALSE)</f>
        <v>#N/A</v>
      </c>
      <c r="E98" s="14" t="str">
        <f>IFERROR(VLOOKUP(G98,'GAL-CUB'!$A:$D,4,FALSE),IFERROR(VLOOKUP(G98,ESCOLTAS!$A:$F,6,FALSE),VLOOKUP(G98,SAÍDAS!$A:$B,2,FALSE)))</f>
        <v>CRAPG</v>
      </c>
      <c r="F98" s="14">
        <v>11</v>
      </c>
      <c r="G98" s="18" t="str">
        <f>SEGUNDA!G82</f>
        <v>RODRIGO CARVALHO SILVA REIS</v>
      </c>
    </row>
    <row r="99" spans="2:7" ht="14.25" thickTop="1" thickBot="1">
      <c r="B99" s="14"/>
      <c r="C99" s="14"/>
      <c r="D99" s="14" t="s">
        <v>1764</v>
      </c>
      <c r="E99" s="14" t="str">
        <f>IFERROR(VLOOKUP(G99,'GAL-CUB'!$A:$D,4,FALSE),IFERROR(VLOOKUP(G99,ESCOLTAS!$A:$F,6,FALSE),VLOOKUP(G99,SAÍDAS!$A:$B,2,FALSE)))</f>
        <v>CRAPG</v>
      </c>
      <c r="F99" s="14">
        <v>12</v>
      </c>
      <c r="G99" s="18" t="str">
        <f>SEGUNDA!G83</f>
        <v>TIAGO PODAN</v>
      </c>
    </row>
    <row r="100" spans="2:7" ht="14.25" thickTop="1" thickBot="1"/>
    <row r="101" spans="2:7" ht="14.25" thickTop="1" thickBot="1">
      <c r="B101" s="708" t="str">
        <f>TERÇA!B130</f>
        <v>MATILDE</v>
      </c>
      <c r="C101" s="709"/>
      <c r="D101" s="709"/>
      <c r="E101" s="46" t="str">
        <f>TERÇA!E130</f>
        <v>OK</v>
      </c>
      <c r="F101" s="46"/>
      <c r="G101" s="27" t="str">
        <f ca="1">IF(WEEKDAY(B2,2)=4,"HOJE","QUINTA-FEIRA")</f>
        <v>QUINTA-FEIRA</v>
      </c>
    </row>
    <row r="102" spans="2:7" ht="14.25" thickTop="1" thickBot="1">
      <c r="B102" s="13" t="s">
        <v>812</v>
      </c>
      <c r="C102" s="13" t="s">
        <v>250</v>
      </c>
      <c r="D102" s="13" t="s">
        <v>435</v>
      </c>
      <c r="E102" s="13" t="s">
        <v>1178</v>
      </c>
      <c r="F102" s="13" t="s">
        <v>1802</v>
      </c>
      <c r="G102" s="13" t="s">
        <v>370</v>
      </c>
    </row>
    <row r="103" spans="2:7" ht="14.25" thickTop="1" thickBot="1">
      <c r="B103" s="14" t="e">
        <f>VLOOKUP(G103,'GAL-CUB'!$A:$A,2,FALSE)</f>
        <v>#N/A</v>
      </c>
      <c r="C103" s="14" t="e">
        <f>VLOOKUP(G103,'GAL-CUB'!$A:$B,3,FALSE)</f>
        <v>#N/A</v>
      </c>
      <c r="D103" s="14" t="e">
        <f>VLOOKUP(G103,'GAL-CUB'!$A:$I,10,FALSE)</f>
        <v>#N/A</v>
      </c>
      <c r="E103" s="14" t="str">
        <f>IFERROR(VLOOKUP(G103,'GAL-CUB'!$A:$D,4,FALSE),IFERROR(VLOOKUP(G103,ESCOLTAS!$A:$F,6,FALSE),VLOOKUP(G103,SAÍDAS!$A:$B,2,FALSE)))</f>
        <v>CRAPG</v>
      </c>
      <c r="F103" s="50">
        <v>1</v>
      </c>
      <c r="G103" s="58" t="str">
        <f>TERÇA!G132</f>
        <v>ADAIR FERNANDES MACHADO</v>
      </c>
    </row>
    <row r="104" spans="2:7" ht="14.25" thickTop="1" thickBot="1">
      <c r="B104" s="14" t="e">
        <f>VLOOKUP(G104,'GAL-CUB'!$A:$A,2,FALSE)</f>
        <v>#N/A</v>
      </c>
      <c r="C104" s="14" t="e">
        <f>VLOOKUP(G104,'GAL-CUB'!$A:$B,3,FALSE)</f>
        <v>#N/A</v>
      </c>
      <c r="D104" s="14" t="e">
        <f>VLOOKUP(G104,'GAL-CUB'!$A:$I,10,FALSE)</f>
        <v>#N/A</v>
      </c>
      <c r="E104" s="14" t="e">
        <f>IFERROR(VLOOKUP(G104,'GAL-CUB'!$A:$D,4,FALSE),IFERROR(VLOOKUP(G104,ESCOLTAS!$A:$F,6,FALSE),VLOOKUP(G104,SAÍDAS!$A:$B,2,FALSE)))</f>
        <v>#N/A</v>
      </c>
      <c r="F104" s="50">
        <v>2</v>
      </c>
      <c r="G104" s="101" t="str">
        <f>TERÇA!G133</f>
        <v>ANGELO RODRIGO RIBEIRO DOS SANTOS (Corvo)</v>
      </c>
    </row>
    <row r="105" spans="2:7" ht="14.25" thickTop="1" thickBot="1">
      <c r="B105" s="14" t="e">
        <f>VLOOKUP(G105,'GAL-CUB'!$A:$A,2,FALSE)</f>
        <v>#N/A</v>
      </c>
      <c r="C105" s="14" t="e">
        <f>VLOOKUP(G105,'GAL-CUB'!$A:$B,3,FALSE)</f>
        <v>#N/A</v>
      </c>
      <c r="D105" s="14" t="e">
        <f>VLOOKUP(G105,'GAL-CUB'!$A:$I,10,FALSE)</f>
        <v>#N/A</v>
      </c>
      <c r="E105" s="102" t="e">
        <f>IFERROR(VLOOKUP(G105,'GAL-CUB'!$A:$D,4,FALSE),IFERROR(VLOOKUP(G105,ESCOLTAS!$A:$F,6,FALSE),VLOOKUP(G105,SAÍDAS!$A:$B,2,FALSE)))</f>
        <v>#N/A</v>
      </c>
      <c r="F105" s="102">
        <v>3</v>
      </c>
      <c r="G105" s="101" t="str">
        <f>TERÇA!G134</f>
        <v>DANIEL DOS SANTOS</v>
      </c>
    </row>
    <row r="106" spans="2:7" ht="14.25" thickTop="1" thickBot="1">
      <c r="B106" s="14" t="e">
        <f>VLOOKUP(G106,'GAL-CUB'!$A:$A,2,FALSE)</f>
        <v>#N/A</v>
      </c>
      <c r="C106" s="14" t="e">
        <f>VLOOKUP(G106,'GAL-CUB'!$A:$B,3,FALSE)</f>
        <v>#N/A</v>
      </c>
      <c r="D106" s="14" t="e">
        <f>VLOOKUP(G106,'GAL-CUB'!$A:$I,10,FALSE)</f>
        <v>#N/A</v>
      </c>
      <c r="E106" s="102" t="str">
        <f>IFERROR(VLOOKUP(G106,'GAL-CUB'!$A:$D,4,FALSE),IFERROR(VLOOKUP(G106,ESCOLTAS!$A:$F,6,FALSE),VLOOKUP(G106,SAÍDAS!$A:$B,2,FALSE)))</f>
        <v>CRAPG</v>
      </c>
      <c r="F106" s="102">
        <v>4</v>
      </c>
      <c r="G106" s="101" t="str">
        <f>TERÇA!G135</f>
        <v>FERNANDO KETEMPS</v>
      </c>
    </row>
    <row r="107" spans="2:7" ht="14.25" thickTop="1" thickBot="1">
      <c r="B107" s="14" t="e">
        <f>VLOOKUP(G107,'GAL-CUB'!$A:$A,2,FALSE)</f>
        <v>#N/A</v>
      </c>
      <c r="C107" s="14" t="e">
        <f>VLOOKUP(G107,'GAL-CUB'!$A:$B,3,FALSE)</f>
        <v>#N/A</v>
      </c>
      <c r="D107" s="14" t="e">
        <f>VLOOKUP(G107,'GAL-CUB'!$A:$I,10,FALSE)</f>
        <v>#N/A</v>
      </c>
      <c r="E107" s="102" t="str">
        <f>IFERROR(VLOOKUP(G107,'GAL-CUB'!$A:$D,4,FALSE),IFERROR(VLOOKUP(G107,ESCOLTAS!$A:$F,6,FALSE),VLOOKUP(G107,SAÍDAS!$A:$B,2,FALSE)))</f>
        <v>Bonde CTBA</v>
      </c>
      <c r="F107" s="102">
        <v>5</v>
      </c>
      <c r="G107" s="101" t="str">
        <f>TERÇA!G136</f>
        <v>IZIDIO CARLOS</v>
      </c>
    </row>
    <row r="108" spans="2:7" ht="14.25" thickTop="1" thickBot="1">
      <c r="B108" s="14" t="e">
        <f>VLOOKUP(G108,'GAL-CUB'!$A:$A,2,FALSE)</f>
        <v>#N/A</v>
      </c>
      <c r="C108" s="14" t="e">
        <f>VLOOKUP(G108,'GAL-CUB'!$A:$B,3,FALSE)</f>
        <v>#N/A</v>
      </c>
      <c r="D108" s="14" t="e">
        <f>VLOOKUP(G108,'GAL-CUB'!$A:$I,10,FALSE)</f>
        <v>#N/A</v>
      </c>
      <c r="E108" s="102" t="e">
        <f>IFERROR(VLOOKUP(G108,'GAL-CUB'!$A:$D,4,FALSE),IFERROR(VLOOKUP(G108,ESCOLTAS!$A:$F,6,FALSE),VLOOKUP(G108,SAÍDAS!$A:$B,2,FALSE)))</f>
        <v>#N/A</v>
      </c>
      <c r="F108" s="102">
        <v>6</v>
      </c>
      <c r="G108" s="101" t="str">
        <f>TERÇA!G137</f>
        <v>JOAO MARIA DOS SANTOS</v>
      </c>
    </row>
    <row r="109" spans="2:7" ht="14.25" thickTop="1" thickBot="1">
      <c r="B109" s="14" t="e">
        <f>VLOOKUP(G109,'GAL-CUB'!$A:$A,2,FALSE)</f>
        <v>#N/A</v>
      </c>
      <c r="C109" s="14" t="e">
        <f>VLOOKUP(G109,'GAL-CUB'!$A:$B,3,FALSE)</f>
        <v>#N/A</v>
      </c>
      <c r="D109" s="14" t="e">
        <f>VLOOKUP(G109,'GAL-CUB'!$A:$I,10,FALSE)</f>
        <v>#N/A</v>
      </c>
      <c r="E109" s="102" t="e">
        <f>IFERROR(VLOOKUP(G109,'GAL-CUB'!$A:$D,4,FALSE),IFERROR(VLOOKUP(G109,ESCOLTAS!$A:$F,6,FALSE),VLOOKUP(G109,SAÍDAS!$A:$B,2,FALSE)))</f>
        <v>#N/A</v>
      </c>
      <c r="F109" s="102">
        <v>7</v>
      </c>
      <c r="G109" s="101" t="str">
        <f>TERÇA!G138</f>
        <v>JOAO MARIA SCHNEIDER</v>
      </c>
    </row>
    <row r="110" spans="2:7" ht="14.25" thickTop="1" thickBot="1">
      <c r="B110" s="14" t="e">
        <f>VLOOKUP(G110,'GAL-CUB'!$A:$A,2,FALSE)</f>
        <v>#N/A</v>
      </c>
      <c r="C110" s="14" t="e">
        <f>VLOOKUP(G110,'GAL-CUB'!$A:$B,3,FALSE)</f>
        <v>#N/A</v>
      </c>
      <c r="D110" s="14" t="e">
        <f>VLOOKUP(G110,'GAL-CUB'!$A:$I,10,FALSE)</f>
        <v>#N/A</v>
      </c>
      <c r="E110" s="102" t="str">
        <f>IFERROR(VLOOKUP(G110,'GAL-CUB'!$A:$D,4,FALSE),IFERROR(VLOOKUP(G110,ESCOLTAS!$A:$F,6,FALSE),VLOOKUP(G110,SAÍDAS!$A:$B,2,FALSE)))</f>
        <v>CRAPG</v>
      </c>
      <c r="F110" s="102">
        <v>8</v>
      </c>
      <c r="G110" s="101" t="str">
        <f>TERÇA!G139</f>
        <v>JOSE LEANDRO DE ANDRADE</v>
      </c>
    </row>
    <row r="111" spans="2:7" ht="14.25" thickTop="1" thickBot="1">
      <c r="B111" s="14" t="e">
        <f>VLOOKUP(G111,'GAL-CUB'!$A:$A,2,FALSE)</f>
        <v>#N/A</v>
      </c>
      <c r="C111" s="14" t="e">
        <f>VLOOKUP(G111,'GAL-CUB'!$A:$B,3,FALSE)</f>
        <v>#N/A</v>
      </c>
      <c r="D111" s="14" t="e">
        <f>VLOOKUP(G111,'GAL-CUB'!$A:$I,10,FALSE)</f>
        <v>#N/A</v>
      </c>
      <c r="E111" s="102" t="str">
        <f>IFERROR(VLOOKUP(G111,'GAL-CUB'!$A:$D,4,FALSE),IFERROR(VLOOKUP(G111,ESCOLTAS!$A:$F,6,FALSE),VLOOKUP(G111,SAÍDAS!$A:$B,2,FALSE)))</f>
        <v>CRAPG</v>
      </c>
      <c r="F111" s="102">
        <v>9</v>
      </c>
      <c r="G111" s="101" t="str">
        <f>TERÇA!G140</f>
        <v>LEANDRO NOGUEIRA (Tornado)</v>
      </c>
    </row>
    <row r="112" spans="2:7" ht="14.25" thickTop="1" thickBot="1">
      <c r="B112" s="14" t="e">
        <f>VLOOKUP(G112,'GAL-CUB'!$A:$A,2,FALSE)</f>
        <v>#N/A</v>
      </c>
      <c r="C112" s="14" t="e">
        <f>VLOOKUP(G112,'GAL-CUB'!$A:$B,3,FALSE)</f>
        <v>#N/A</v>
      </c>
      <c r="D112" s="14" t="e">
        <f>VLOOKUP(G112,'GAL-CUB'!$A:$I,10,FALSE)</f>
        <v>#N/A</v>
      </c>
      <c r="E112" s="102" t="str">
        <f>IFERROR(VLOOKUP(G112,'GAL-CUB'!$A:$D,4,FALSE),IFERROR(VLOOKUP(G112,ESCOLTAS!$A:$F,6,FALSE),VLOOKUP(G112,SAÍDAS!$A:$B,2,FALSE)))</f>
        <v>CRAPG</v>
      </c>
      <c r="F112" s="102">
        <v>10</v>
      </c>
      <c r="G112" s="101" t="str">
        <f>TERÇA!G141</f>
        <v>MARLON CARDOSO</v>
      </c>
    </row>
    <row r="113" spans="2:7" ht="14.25" thickTop="1" thickBot="1">
      <c r="B113" s="14" t="e">
        <f>VLOOKUP(G113,'GAL-CUB'!$A:$A,2,FALSE)</f>
        <v>#N/A</v>
      </c>
      <c r="C113" s="14" t="e">
        <f>VLOOKUP(G113,'GAL-CUB'!$A:$B,3,FALSE)</f>
        <v>#N/A</v>
      </c>
      <c r="D113" s="14" t="e">
        <f>VLOOKUP(G113,'GAL-CUB'!$A:$I,10,FALSE)</f>
        <v>#N/A</v>
      </c>
      <c r="E113" s="14" t="str">
        <f>IFERROR(VLOOKUP(G113,'GAL-CUB'!$A:$D,4,FALSE),IFERROR(VLOOKUP(G113,ESCOLTAS!$A:$F,6,FALSE),VLOOKUP(G113,SAÍDAS!$A:$B,2,FALSE)))</f>
        <v>CRAPG</v>
      </c>
      <c r="F113" s="50">
        <v>11</v>
      </c>
      <c r="G113" s="101" t="str">
        <f>TERÇA!G142</f>
        <v>PAULO DO CARMO DE MELO</v>
      </c>
    </row>
    <row r="114" spans="2:7" ht="14.25" thickTop="1" thickBot="1">
      <c r="B114" s="14" t="e">
        <f>VLOOKUP(G114,'GAL-CUB'!$A:$A,2,FALSE)</f>
        <v>#N/A</v>
      </c>
      <c r="C114" s="14" t="e">
        <f>VLOOKUP(G114,'GAL-CUB'!$A:$B,3,FALSE)</f>
        <v>#N/A</v>
      </c>
      <c r="D114" s="14" t="e">
        <f>VLOOKUP(G114,'GAL-CUB'!$A:$I,10,FALSE)</f>
        <v>#N/A</v>
      </c>
      <c r="E114" s="14" t="str">
        <f>IFERROR(VLOOKUP(G114,'GAL-CUB'!$A:$D,4,FALSE),IFERROR(VLOOKUP(G114,ESCOLTAS!$A:$F,6,FALSE),VLOOKUP(G114,SAÍDAS!$A:$B,2,FALSE)))</f>
        <v>CRAPG</v>
      </c>
      <c r="F114" s="50">
        <v>12</v>
      </c>
      <c r="G114" s="101" t="str">
        <f>TERÇA!G143</f>
        <v>ROBSON RODRIGO DOS SANTOS (Robinho)</v>
      </c>
    </row>
    <row r="115" spans="2:7" ht="14.25" thickTop="1" thickBot="1"/>
    <row r="116" spans="2:7" ht="14.25" thickTop="1" thickBot="1">
      <c r="B116" s="708" t="str">
        <f>TERÇA!B145</f>
        <v>NELDY</v>
      </c>
      <c r="C116" s="709"/>
      <c r="D116" s="709"/>
      <c r="E116" s="46"/>
      <c r="F116" s="46"/>
      <c r="G116" s="27" t="str">
        <f ca="1">IF(WEEKDAY(B2,2)=4,"HOJE","QUINTA-FEIRA")</f>
        <v>QUINTA-FEIRA</v>
      </c>
    </row>
    <row r="117" spans="2:7" ht="14.25" thickTop="1" thickBot="1">
      <c r="B117" s="13" t="s">
        <v>812</v>
      </c>
      <c r="C117" s="13" t="s">
        <v>250</v>
      </c>
      <c r="D117" s="13" t="s">
        <v>435</v>
      </c>
      <c r="E117" s="13" t="s">
        <v>1178</v>
      </c>
      <c r="F117" s="13" t="s">
        <v>1802</v>
      </c>
      <c r="G117" s="13" t="s">
        <v>370</v>
      </c>
    </row>
    <row r="118" spans="2:7" ht="14.25" thickTop="1" thickBot="1">
      <c r="B118" s="14" t="e">
        <f>VLOOKUP(G118,'GAL-CUB'!$A:$A,2,FALSE)</f>
        <v>#N/A</v>
      </c>
      <c r="C118" s="14" t="e">
        <f>VLOOKUP(G118,'GAL-CUB'!$A:$B,3,FALSE)</f>
        <v>#N/A</v>
      </c>
      <c r="D118" s="14" t="e">
        <f>VLOOKUP(G118,'GAL-CUB'!$A:$I,10,FALSE)</f>
        <v>#N/A</v>
      </c>
      <c r="E118" s="14" t="str">
        <f>IFERROR(VLOOKUP(G118,'GAL-CUB'!$A:$D,4,FALSE),IFERROR(VLOOKUP(G118,ESCOLTAS!$A:$F,6,FALSE),VLOOKUP(G118,SAÍDAS!$A:$B,2,FALSE)))</f>
        <v>CRAPG</v>
      </c>
      <c r="F118" s="14">
        <v>1</v>
      </c>
      <c r="G118" s="15" t="str">
        <f>TERÇA!G147</f>
        <v>IRIOMAR ZAMBILO (Grilo)</v>
      </c>
    </row>
    <row r="119" spans="2:7" ht="14.25" thickTop="1" thickBot="1">
      <c r="B119" s="14" t="e">
        <f>VLOOKUP(G119,'GAL-CUB'!$A:$A,2,FALSE)</f>
        <v>#N/A</v>
      </c>
      <c r="C119" s="14" t="e">
        <f>VLOOKUP(G119,'GAL-CUB'!$A:$B,3,FALSE)</f>
        <v>#N/A</v>
      </c>
      <c r="D119" s="14" t="e">
        <f>VLOOKUP(G119,'GAL-CUB'!$A:$I,10,FALSE)</f>
        <v>#N/A</v>
      </c>
      <c r="E119" s="14" t="e">
        <f>IFERROR(VLOOKUP(G119,'GAL-CUB'!$A:$D,4,FALSE),IFERROR(VLOOKUP(G119,ESCOLTAS!$A:$F,6,FALSE),VLOOKUP(G119,SAÍDAS!$A:$B,2,FALSE)))</f>
        <v>#N/A</v>
      </c>
      <c r="F119" s="14">
        <v>2</v>
      </c>
      <c r="G119" s="15" t="str">
        <f>TERÇA!G148</f>
        <v>JANDERSON MEDEIROS RODRIGUES</v>
      </c>
    </row>
    <row r="120" spans="2:7" ht="14.25" thickTop="1" thickBot="1">
      <c r="B120" s="14" t="e">
        <f>VLOOKUP(G120,'GAL-CUB'!$A:$A,2,FALSE)</f>
        <v>#N/A</v>
      </c>
      <c r="C120" s="14" t="e">
        <f>VLOOKUP(G120,'GAL-CUB'!$A:$B,3,FALSE)</f>
        <v>#N/A</v>
      </c>
      <c r="D120" s="14" t="e">
        <f>VLOOKUP(G120,'GAL-CUB'!$A:$I,10,FALSE)</f>
        <v>#N/A</v>
      </c>
      <c r="E120" s="14" t="e">
        <f>IFERROR(VLOOKUP(G120,'GAL-CUB'!$A:$D,4,FALSE),IFERROR(VLOOKUP(G120,ESCOLTAS!$A:$F,6,FALSE),VLOOKUP(G120,SAÍDAS!$A:$B,2,FALSE)))</f>
        <v>#N/A</v>
      </c>
      <c r="F120" s="14">
        <v>3</v>
      </c>
      <c r="G120" s="15" t="str">
        <f>TERÇA!G149</f>
        <v>JEFERSON XAVIER (Cipó, Spock)</v>
      </c>
    </row>
    <row r="121" spans="2:7" ht="14.25" thickTop="1" thickBot="1">
      <c r="B121" s="14" t="e">
        <f>VLOOKUP(G121,'GAL-CUB'!$A:$A,2,FALSE)</f>
        <v>#N/A</v>
      </c>
      <c r="C121" s="14" t="e">
        <f>VLOOKUP(G121,'GAL-CUB'!$A:$B,3,FALSE)</f>
        <v>#N/A</v>
      </c>
      <c r="D121" s="14" t="e">
        <f>VLOOKUP(G121,'GAL-CUB'!$A:$I,10,FALSE)</f>
        <v>#N/A</v>
      </c>
      <c r="E121" s="14" t="str">
        <f>IFERROR(VLOOKUP(G121,'GAL-CUB'!$A:$D,4,FALSE),IFERROR(VLOOKUP(G121,ESCOLTAS!$A:$F,6,FALSE),VLOOKUP(G121,SAÍDAS!$A:$B,2,FALSE)))</f>
        <v>CRAPG</v>
      </c>
      <c r="F121" s="14">
        <v>4</v>
      </c>
      <c r="G121" s="15" t="str">
        <f>TERÇA!G150</f>
        <v>KAIKE WESLEY DA SILVA QUEIROZ</v>
      </c>
    </row>
    <row r="122" spans="2:7" ht="14.25" thickTop="1" thickBot="1">
      <c r="B122" s="14" t="e">
        <f>VLOOKUP(G122,'GAL-CUB'!$A:$A,2,FALSE)</f>
        <v>#N/A</v>
      </c>
      <c r="C122" s="14" t="e">
        <f>VLOOKUP(G122,'GAL-CUB'!$A:$B,3,FALSE)</f>
        <v>#N/A</v>
      </c>
      <c r="D122" s="14" t="e">
        <f>VLOOKUP(G122,'GAL-CUB'!$A:$I,10,FALSE)</f>
        <v>#N/A</v>
      </c>
      <c r="E122" s="14" t="str">
        <f>IFERROR(VLOOKUP(G122,'GAL-CUB'!$A:$D,4,FALSE),IFERROR(VLOOKUP(G122,ESCOLTAS!$A:$F,6,FALSE),VLOOKUP(G122,SAÍDAS!$A:$B,2,FALSE)))</f>
        <v>CRAPG</v>
      </c>
      <c r="F122" s="14">
        <v>5</v>
      </c>
      <c r="G122" s="15" t="str">
        <f>TERÇA!G151</f>
        <v>MARCOS ANTONIO DOROSXI</v>
      </c>
    </row>
    <row r="123" spans="2:7" ht="14.25" thickTop="1" thickBot="1">
      <c r="B123" s="14" t="e">
        <f>VLOOKUP(G123,'GAL-CUB'!$A:$A,2,FALSE)</f>
        <v>#N/A</v>
      </c>
      <c r="C123" s="14" t="e">
        <f>VLOOKUP(G123,'GAL-CUB'!$A:$B,3,FALSE)</f>
        <v>#N/A</v>
      </c>
      <c r="D123" s="14" t="e">
        <f>VLOOKUP(G123,'GAL-CUB'!$A:$I,10,FALSE)</f>
        <v>#N/A</v>
      </c>
      <c r="E123" s="14" t="str">
        <f>IFERROR(VLOOKUP(G123,'GAL-CUB'!$A:$D,4,FALSE),IFERROR(VLOOKUP(G123,ESCOLTAS!$A:$F,6,FALSE),VLOOKUP(G123,SAÍDAS!$A:$B,2,FALSE)))</f>
        <v>CRAPG</v>
      </c>
      <c r="F123" s="14">
        <v>6</v>
      </c>
      <c r="G123" s="15" t="str">
        <f>TERÇA!G152</f>
        <v>MAIKON RODRIGUES DE CARVALHO</v>
      </c>
    </row>
    <row r="124" spans="2:7" ht="14.25" thickTop="1" thickBot="1">
      <c r="B124" s="14" t="e">
        <f>VLOOKUP(G124,'GAL-CUB'!$A:$A,2,FALSE)</f>
        <v>#N/A</v>
      </c>
      <c r="C124" s="14" t="e">
        <f>VLOOKUP(G124,'GAL-CUB'!$A:$B,3,FALSE)</f>
        <v>#N/A</v>
      </c>
      <c r="D124" s="14" t="e">
        <f>VLOOKUP(G124,'GAL-CUB'!$A:$I,10,FALSE)</f>
        <v>#N/A</v>
      </c>
      <c r="E124" s="14" t="str">
        <f>IFERROR(VLOOKUP(G124,'GAL-CUB'!$A:$D,4,FALSE),IFERROR(VLOOKUP(G124,ESCOLTAS!$A:$F,6,FALSE),VLOOKUP(G124,SAÍDAS!$A:$B,2,FALSE)))</f>
        <v>CRAPG</v>
      </c>
      <c r="F124" s="14">
        <v>7</v>
      </c>
      <c r="G124" s="15" t="str">
        <f>TERÇA!G153</f>
        <v>NILSON CARVALHO SIQUEIRA</v>
      </c>
    </row>
    <row r="125" spans="2:7" ht="14.25" thickTop="1" thickBot="1">
      <c r="B125" s="14" t="e">
        <f>VLOOKUP(G125,'GAL-CUB'!$A:$A,2,FALSE)</f>
        <v>#N/A</v>
      </c>
      <c r="C125" s="14" t="e">
        <f>VLOOKUP(G125,'GAL-CUB'!$A:$B,3,FALSE)</f>
        <v>#N/A</v>
      </c>
      <c r="D125" s="14" t="e">
        <f>VLOOKUP(G125,'GAL-CUB'!$A:$I,10,FALSE)</f>
        <v>#N/A</v>
      </c>
      <c r="E125" s="14" t="e">
        <f>IFERROR(VLOOKUP(G125,'GAL-CUB'!$A:$D,4,FALSE),IFERROR(VLOOKUP(G125,ESCOLTAS!$A:$F,6,FALSE),VLOOKUP(G125,SAÍDAS!$A:$B,2,FALSE)))</f>
        <v>#N/A</v>
      </c>
      <c r="F125" s="14">
        <v>8</v>
      </c>
      <c r="G125" s="15" t="str">
        <f>TERÇA!G154</f>
        <v>OZIEL PEREIRA DA SILVA</v>
      </c>
    </row>
    <row r="126" spans="2:7" ht="14.25" thickTop="1" thickBot="1">
      <c r="B126" s="14" t="e">
        <f>VLOOKUP(G126,'GAL-CUB'!$A:$A,2,FALSE)</f>
        <v>#N/A</v>
      </c>
      <c r="C126" s="14" t="e">
        <f>VLOOKUP(G126,'GAL-CUB'!$A:$B,3,FALSE)</f>
        <v>#N/A</v>
      </c>
      <c r="D126" s="14" t="e">
        <f>VLOOKUP(G126,'GAL-CUB'!$A:$I,10,FALSE)</f>
        <v>#N/A</v>
      </c>
      <c r="E126" s="14" t="e">
        <f>IFERROR(VLOOKUP(G126,'GAL-CUB'!$A:$D,4,FALSE),IFERROR(VLOOKUP(G126,ESCOLTAS!$A:$F,6,FALSE),VLOOKUP(G126,SAÍDAS!$A:$B,2,FALSE)))</f>
        <v>#N/A</v>
      </c>
      <c r="F126" s="14">
        <v>9</v>
      </c>
      <c r="G126" s="15" t="str">
        <f>TERÇA!G155</f>
        <v>RODRIGO DOS SANTOS (Tiriça)</v>
      </c>
    </row>
    <row r="127" spans="2:7" ht="14.25" thickTop="1" thickBot="1">
      <c r="B127" s="14" t="e">
        <f>VLOOKUP(G127,'GAL-CUB'!$A:$A,2,FALSE)</f>
        <v>#N/A</v>
      </c>
      <c r="C127" s="14" t="e">
        <f>VLOOKUP(G127,'GAL-CUB'!$A:$B,3,FALSE)</f>
        <v>#N/A</v>
      </c>
      <c r="D127" s="14" t="e">
        <f>VLOOKUP(G127,'GAL-CUB'!$A:$I,10,FALSE)</f>
        <v>#N/A</v>
      </c>
      <c r="E127" s="14" t="e">
        <f>IFERROR(VLOOKUP(G127,'GAL-CUB'!$A:$D,4,FALSE),IFERROR(VLOOKUP(G127,ESCOLTAS!$A:$F,6,FALSE),VLOOKUP(G127,SAÍDAS!$A:$B,2,FALSE)))</f>
        <v>#N/A</v>
      </c>
      <c r="F127" s="14">
        <v>10</v>
      </c>
      <c r="G127" s="15" t="str">
        <f>TERÇA!G156</f>
        <v>ROGERIO RODRIGUES (Buiu)</v>
      </c>
    </row>
    <row r="128" spans="2:7" ht="14.25" thickTop="1" thickBot="1">
      <c r="B128" s="14" t="e">
        <f>VLOOKUP(G128,'GAL-CUB'!$A:$A,2,FALSE)</f>
        <v>#N/A</v>
      </c>
      <c r="C128" s="14" t="e">
        <f>VLOOKUP(G128,'GAL-CUB'!$A:$B,3,FALSE)</f>
        <v>#N/A</v>
      </c>
      <c r="D128" s="14" t="e">
        <f>VLOOKUP(G128,'GAL-CUB'!$A:$I,10,FALSE)</f>
        <v>#N/A</v>
      </c>
      <c r="E128" s="14" t="e">
        <f>IFERROR(VLOOKUP(G128,'GAL-CUB'!$A:$D,4,FALSE),IFERROR(VLOOKUP(G128,ESCOLTAS!$A:$F,6,FALSE),VLOOKUP(G128,SAÍDAS!$A:$B,2,FALSE)))</f>
        <v>#N/A</v>
      </c>
      <c r="F128" s="14">
        <v>11</v>
      </c>
      <c r="G128" s="15" t="str">
        <f>TERÇA!G157</f>
        <v>WAGNER SCHITICOSKI (Tiquinho)</v>
      </c>
    </row>
    <row r="129" spans="2:7" ht="14.25" thickTop="1" thickBot="1">
      <c r="B129" s="14" t="e">
        <f>VLOOKUP(G129,'GAL-CUB'!$A:$A,2,FALSE)</f>
        <v>#N/A</v>
      </c>
      <c r="C129" s="14" t="e">
        <f>VLOOKUP(G129,'GAL-CUB'!$A:$B,3,FALSE)</f>
        <v>#N/A</v>
      </c>
      <c r="D129" s="14" t="e">
        <f>VLOOKUP(G129,'GAL-CUB'!$A:$I,10,FALSE)</f>
        <v>#N/A</v>
      </c>
      <c r="E129" s="14" t="str">
        <f>IFERROR(VLOOKUP(G129,'GAL-CUB'!$A:$D,4,FALSE),IFERROR(VLOOKUP(G129,ESCOLTAS!$A:$F,6,FALSE),VLOOKUP(G129,SAÍDAS!$A:$B,2,FALSE)))</f>
        <v>UP</v>
      </c>
      <c r="F129" s="14">
        <v>12</v>
      </c>
      <c r="G129" s="15" t="str">
        <f>TERÇA!G158</f>
        <v>EDER LEANDRO DOS SANTOS</v>
      </c>
    </row>
    <row r="130" spans="2:7" ht="14.25" thickTop="1" thickBot="1"/>
    <row r="131" spans="2:7" ht="14.25" thickTop="1" thickBot="1">
      <c r="B131" s="708" t="str">
        <f>TERÇA!B160</f>
        <v>VALERIA</v>
      </c>
      <c r="C131" s="709"/>
      <c r="D131" s="709"/>
      <c r="E131" s="46" t="str">
        <f>TERÇA!E160</f>
        <v>OK</v>
      </c>
      <c r="F131" s="46"/>
      <c r="G131" s="27" t="str">
        <f ca="1">IF(WEEKDAY(B2,2)=4,"HOJE","QUINTA-FEIRA")</f>
        <v>QUINTA-FEIRA</v>
      </c>
    </row>
    <row r="132" spans="2:7" ht="14.25" thickTop="1" thickBot="1">
      <c r="B132" s="13" t="s">
        <v>812</v>
      </c>
      <c r="C132" s="13" t="s">
        <v>250</v>
      </c>
      <c r="D132" s="13" t="s">
        <v>435</v>
      </c>
      <c r="E132" s="13" t="s">
        <v>1178</v>
      </c>
      <c r="F132" s="13" t="s">
        <v>1802</v>
      </c>
      <c r="G132" s="13" t="s">
        <v>370</v>
      </c>
    </row>
    <row r="133" spans="2:7" ht="14.25" thickTop="1" thickBot="1">
      <c r="B133" s="14" t="e">
        <f>VLOOKUP(G133,'GAL-CUB'!$A:$A,2,FALSE)</f>
        <v>#N/A</v>
      </c>
      <c r="C133" s="14" t="e">
        <f>VLOOKUP(G133,'GAL-CUB'!$A:$B,3,FALSE)</f>
        <v>#N/A</v>
      </c>
      <c r="D133" s="14" t="e">
        <f>VLOOKUP(G133,'GAL-CUB'!$A:$I,10,FALSE)</f>
        <v>#N/A</v>
      </c>
      <c r="E133" s="14" t="e">
        <f>IFERROR(VLOOKUP(G133,'GAL-CUB'!$A:$D,4,FALSE),IFERROR(VLOOKUP(G133,ESCOLTAS!$A:$F,6,FALSE),VLOOKUP(G133,SAÍDAS!$A:$B,2,FALSE)))</f>
        <v>#N/A</v>
      </c>
      <c r="F133" s="14">
        <v>1</v>
      </c>
      <c r="G133" s="18" t="str">
        <f>TERÇA!G162</f>
        <v>AMADOR DE JESUS TRESK (Veinho)</v>
      </c>
    </row>
    <row r="134" spans="2:7" ht="14.25" thickTop="1" thickBot="1">
      <c r="B134" s="14" t="e">
        <f>VLOOKUP(G134,'GAL-CUB'!$A:$A,2,FALSE)</f>
        <v>#N/A</v>
      </c>
      <c r="C134" s="14" t="e">
        <f>VLOOKUP(G134,'GAL-CUB'!$A:$B,3,FALSE)</f>
        <v>#N/A</v>
      </c>
      <c r="D134" s="14" t="e">
        <f>VLOOKUP(G134,'GAL-CUB'!$A:$I,10,FALSE)</f>
        <v>#N/A</v>
      </c>
      <c r="E134" s="14" t="str">
        <f>IFERROR(VLOOKUP(G134,'GAL-CUB'!$A:$D,4,FALSE),IFERROR(VLOOKUP(G134,ESCOLTAS!$A:$F,6,FALSE),VLOOKUP(G134,SAÍDAS!$A:$B,2,FALSE)))</f>
        <v>CRAPG</v>
      </c>
      <c r="F134" s="14">
        <v>2</v>
      </c>
      <c r="G134" s="18" t="str">
        <f>TERÇA!G163</f>
        <v>ARGEO DOS SANTOS BUENO FILHO</v>
      </c>
    </row>
    <row r="135" spans="2:7" ht="14.25" thickTop="1" thickBot="1">
      <c r="B135" s="14" t="e">
        <f>VLOOKUP(G135,'GAL-CUB'!$A:$A,2,FALSE)</f>
        <v>#N/A</v>
      </c>
      <c r="C135" s="14" t="e">
        <f>VLOOKUP(G135,'GAL-CUB'!$A:$B,3,FALSE)</f>
        <v>#N/A</v>
      </c>
      <c r="D135" s="14" t="e">
        <f>VLOOKUP(G135,'GAL-CUB'!$A:$I,10,FALSE)</f>
        <v>#N/A</v>
      </c>
      <c r="E135" s="14" t="str">
        <f>IFERROR(VLOOKUP(G135,'GAL-CUB'!$A:$D,4,FALSE),IFERROR(VLOOKUP(G135,ESCOLTAS!$A:$F,6,FALSE),VLOOKUP(G135,SAÍDAS!$A:$B,2,FALSE)))</f>
        <v>CRAPG</v>
      </c>
      <c r="F135" s="14">
        <v>3</v>
      </c>
      <c r="G135" s="18">
        <f>TERÇA!G164</f>
        <v>0</v>
      </c>
    </row>
    <row r="136" spans="2:7" ht="14.25" thickTop="1" thickBot="1">
      <c r="B136" s="14" t="e">
        <f>VLOOKUP(G136,'GAL-CUB'!$A:$A,2,FALSE)</f>
        <v>#N/A</v>
      </c>
      <c r="C136" s="14" t="e">
        <f>VLOOKUP(G136,'GAL-CUB'!$A:$B,3,FALSE)</f>
        <v>#N/A</v>
      </c>
      <c r="D136" s="14" t="e">
        <f>VLOOKUP(G136,'GAL-CUB'!$A:$I,10,FALSE)</f>
        <v>#N/A</v>
      </c>
      <c r="E136" s="14" t="e">
        <f>IFERROR(VLOOKUP(G136,'GAL-CUB'!$A:$D,4,FALSE),IFERROR(VLOOKUP(G136,ESCOLTAS!$A:$F,6,FALSE),VLOOKUP(G136,SAÍDAS!$A:$B,2,FALSE)))</f>
        <v>#N/A</v>
      </c>
      <c r="F136" s="14">
        <v>4</v>
      </c>
      <c r="G136" s="18" t="str">
        <f>TERÇA!G165</f>
        <v>DONIZETE APARECIDO FERRAZ</v>
      </c>
    </row>
    <row r="137" spans="2:7" ht="14.25" thickTop="1" thickBot="1">
      <c r="B137" s="14" t="e">
        <f>VLOOKUP(G137,'GAL-CUB'!$A:$A,2,FALSE)</f>
        <v>#N/A</v>
      </c>
      <c r="C137" s="14" t="e">
        <f>VLOOKUP(G137,'GAL-CUB'!$A:$B,3,FALSE)</f>
        <v>#N/A</v>
      </c>
      <c r="D137" s="14" t="e">
        <f>VLOOKUP(G137,'GAL-CUB'!$A:$I,10,FALSE)</f>
        <v>#N/A</v>
      </c>
      <c r="E137" s="14" t="str">
        <f>IFERROR(VLOOKUP(G137,'GAL-CUB'!$A:$D,4,FALSE),IFERROR(VLOOKUP(G137,ESCOLTAS!$A:$F,6,FALSE),VLOOKUP(G137,SAÍDAS!$A:$B,2,FALSE)))</f>
        <v>CRAPG</v>
      </c>
      <c r="F137" s="14">
        <v>5</v>
      </c>
      <c r="G137" s="18">
        <f>TERÇA!G166</f>
        <v>0</v>
      </c>
    </row>
    <row r="138" spans="2:7" ht="14.25" thickTop="1" thickBot="1">
      <c r="B138" s="14" t="e">
        <f>VLOOKUP(G138,'GAL-CUB'!$A:$A,2,FALSE)</f>
        <v>#N/A</v>
      </c>
      <c r="C138" s="14" t="e">
        <f>VLOOKUP(G138,'GAL-CUB'!$A:$B,3,FALSE)</f>
        <v>#N/A</v>
      </c>
      <c r="D138" s="14" t="e">
        <f>VLOOKUP(G138,'GAL-CUB'!$A:$I,10,FALSE)</f>
        <v>#N/A</v>
      </c>
      <c r="E138" s="14" t="e">
        <f>IFERROR(VLOOKUP(G138,'GAL-CUB'!$A:$D,4,FALSE),IFERROR(VLOOKUP(G138,ESCOLTAS!$A:$F,6,FALSE),VLOOKUP(G138,SAÍDAS!$A:$B,2,FALSE)))</f>
        <v>#N/A</v>
      </c>
      <c r="F138" s="14">
        <v>6</v>
      </c>
      <c r="G138" s="18" t="str">
        <f>TERÇA!G167</f>
        <v>JOSE LUIZ DA FONSECA</v>
      </c>
    </row>
    <row r="139" spans="2:7" ht="14.25" thickTop="1" thickBot="1">
      <c r="B139" s="14" t="e">
        <f>VLOOKUP(G139,'GAL-CUB'!$A:$A,2,FALSE)</f>
        <v>#N/A</v>
      </c>
      <c r="C139" s="14" t="e">
        <f>VLOOKUP(G139,'GAL-CUB'!$A:$B,3,FALSE)</f>
        <v>#N/A</v>
      </c>
      <c r="D139" s="14" t="e">
        <f>VLOOKUP(G139,'GAL-CUB'!$A:$I,10,FALSE)</f>
        <v>#N/A</v>
      </c>
      <c r="E139" s="14" t="str">
        <f>IFERROR(VLOOKUP(G139,'GAL-CUB'!$A:$D,4,FALSE),IFERROR(VLOOKUP(G139,ESCOLTAS!$A:$F,6,FALSE),VLOOKUP(G139,SAÍDAS!$A:$B,2,FALSE)))</f>
        <v>LC</v>
      </c>
      <c r="F139" s="14">
        <v>7</v>
      </c>
      <c r="G139" s="18" t="str">
        <f>TERÇA!G168</f>
        <v>LUIZ CARLOS MACHADO</v>
      </c>
    </row>
    <row r="140" spans="2:7" ht="14.25" thickTop="1" thickBot="1">
      <c r="B140" s="14" t="e">
        <f>VLOOKUP(G140,'GAL-CUB'!$A:$A,2,FALSE)</f>
        <v>#N/A</v>
      </c>
      <c r="C140" s="14" t="e">
        <f>VLOOKUP(G140,'GAL-CUB'!$A:$B,3,FALSE)</f>
        <v>#N/A</v>
      </c>
      <c r="D140" s="14" t="e">
        <f>VLOOKUP(G140,'GAL-CUB'!$A:$I,10,FALSE)</f>
        <v>#N/A</v>
      </c>
      <c r="E140" s="14" t="str">
        <f>IFERROR(VLOOKUP(G140,'GAL-CUB'!$A:$D,4,FALSE),IFERROR(VLOOKUP(G140,ESCOLTAS!$A:$F,6,FALSE),VLOOKUP(G140,SAÍDAS!$A:$B,2,FALSE)))</f>
        <v>CRAPG</v>
      </c>
      <c r="F140" s="14">
        <v>8</v>
      </c>
      <c r="G140" s="18">
        <f>TERÇA!G169</f>
        <v>0</v>
      </c>
    </row>
    <row r="141" spans="2:7" ht="14.25" thickTop="1" thickBot="1">
      <c r="B141" s="14" t="e">
        <f>VLOOKUP(G141,'GAL-CUB'!$A:$A,2,FALSE)</f>
        <v>#N/A</v>
      </c>
      <c r="C141" s="14" t="e">
        <f>VLOOKUP(G141,'GAL-CUB'!$A:$B,3,FALSE)</f>
        <v>#N/A</v>
      </c>
      <c r="D141" s="14" t="e">
        <f>VLOOKUP(G141,'GAL-CUB'!$A:$I,10,FALSE)</f>
        <v>#N/A</v>
      </c>
      <c r="E141" s="102" t="str">
        <f>IFERROR(VLOOKUP(G141,'GAL-CUB'!$A:$D,4,FALSE),IFERROR(VLOOKUP(G141,ESCOLTAS!$A:$F,6,FALSE),VLOOKUP(G141,SAÍDAS!$A:$B,2,FALSE)))</f>
        <v>CRAPG</v>
      </c>
      <c r="F141" s="102">
        <v>9</v>
      </c>
      <c r="G141" s="18">
        <f>TERÇA!G170</f>
        <v>0</v>
      </c>
    </row>
    <row r="142" spans="2:7" ht="14.25" thickTop="1" thickBot="1">
      <c r="B142" s="14" t="e">
        <f>VLOOKUP(G142,'GAL-CUB'!$A:$A,2,FALSE)</f>
        <v>#N/A</v>
      </c>
      <c r="C142" s="14" t="e">
        <f>VLOOKUP(G142,'GAL-CUB'!$A:$B,3,FALSE)</f>
        <v>#N/A</v>
      </c>
      <c r="D142" s="14" t="e">
        <f>VLOOKUP(G142,'GAL-CUB'!$A:$I,10,FALSE)</f>
        <v>#N/A</v>
      </c>
      <c r="E142" s="102" t="str">
        <f>IFERROR(VLOOKUP(G142,'GAL-CUB'!$A:$D,4,FALSE),IFERROR(VLOOKUP(G142,ESCOLTAS!$A:$F,6,FALSE),VLOOKUP(G142,SAÍDAS!$A:$B,2,FALSE)))</f>
        <v>TORNOZELEIRA</v>
      </c>
      <c r="F142" s="102">
        <v>10</v>
      </c>
      <c r="G142" s="18" t="str">
        <f>TERÇA!G171</f>
        <v>ROBSON JOE MACHADO FERNANDES (Curitiba)</v>
      </c>
    </row>
    <row r="143" spans="2:7" ht="14.25" thickTop="1" thickBot="1">
      <c r="B143" s="14" t="e">
        <f>VLOOKUP(G143,'GAL-CUB'!$A:$A,2,FALSE)</f>
        <v>#N/A</v>
      </c>
      <c r="C143" s="14" t="e">
        <f>VLOOKUP(G143,'GAL-CUB'!$A:$B,3,FALSE)</f>
        <v>#N/A</v>
      </c>
      <c r="D143" s="14" t="e">
        <f>VLOOKUP(G143,'GAL-CUB'!$A:$I,10,FALSE)</f>
        <v>#N/A</v>
      </c>
      <c r="E143" s="14" t="str">
        <f>IFERROR(VLOOKUP(G143,'GAL-CUB'!$A:$D,4,FALSE),IFERROR(VLOOKUP(G143,ESCOLTAS!$A:$F,6,FALSE),VLOOKUP(G143,SAÍDAS!$A:$B,2,FALSE)))</f>
        <v>CRAPG</v>
      </c>
      <c r="F143" s="14">
        <v>11</v>
      </c>
      <c r="G143" s="18" t="str">
        <f>TERÇA!G172</f>
        <v>SILVIO FERNANDES</v>
      </c>
    </row>
    <row r="144" spans="2:7" ht="14.25" thickTop="1" thickBot="1">
      <c r="B144" s="14" t="e">
        <f>VLOOKUP(G144,'GAL-CUB'!$A:$A,2,FALSE)</f>
        <v>#N/A</v>
      </c>
      <c r="C144" s="14" t="e">
        <f>VLOOKUP(G144,'GAL-CUB'!$A:$B,3,FALSE)</f>
        <v>#N/A</v>
      </c>
      <c r="D144" s="14" t="e">
        <f>VLOOKUP(G144,'GAL-CUB'!$A:$I,10,FALSE)</f>
        <v>#N/A</v>
      </c>
      <c r="E144" s="14" t="str">
        <f>IFERROR(VLOOKUP(G144,'GAL-CUB'!$A:$D,4,FALSE),IFERROR(VLOOKUP(G144,ESCOLTAS!$A:$F,6,FALSE),VLOOKUP(G144,SAÍDAS!$A:$B,2,FALSE)))</f>
        <v>Bonde CTBA</v>
      </c>
      <c r="F144" s="14">
        <v>12</v>
      </c>
      <c r="G144" s="18" t="str">
        <f>TERÇA!G173</f>
        <v>VALDEMAR MOREIRA</v>
      </c>
    </row>
    <row r="145" ht="13.5" thickTop="1"/>
  </sheetData>
  <mergeCells count="12">
    <mergeCell ref="B2:G2"/>
    <mergeCell ref="B4:G5"/>
    <mergeCell ref="B7:D7"/>
    <mergeCell ref="B116:D116"/>
    <mergeCell ref="B131:D131"/>
    <mergeCell ref="B67:D67"/>
    <mergeCell ref="B22:D22"/>
    <mergeCell ref="B37:D37"/>
    <mergeCell ref="B52:D52"/>
    <mergeCell ref="B83:G84"/>
    <mergeCell ref="B86:D86"/>
    <mergeCell ref="B101:D101"/>
  </mergeCells>
  <phoneticPr fontId="23" type="noConversion"/>
  <conditionalFormatting sqref="H1:IV1048576 G51:G53 G81:G65536 G66:G68 A1:G8 A9:A20 G21:G38 A21:F65536">
    <cfRule type="cellIs" dxfId="50" priority="21" stopIfTrue="1" operator="equal">
      <formula>"ALVARÁ"</formula>
    </cfRule>
    <cfRule type="cellIs" dxfId="49" priority="22" stopIfTrue="1" operator="equal">
      <formula>"LC"</formula>
    </cfRule>
    <cfRule type="cellIs" dxfId="48" priority="23" stopIfTrue="1" operator="equal">
      <formula>"TORNOZELEIRA"</formula>
    </cfRule>
    <cfRule type="cellIs" dxfId="47" priority="24" stopIfTrue="1" operator="equal">
      <formula>"CRAPG"</formula>
    </cfRule>
    <cfRule type="cellIs" dxfId="46" priority="25" stopIfTrue="1" operator="equal">
      <formula>"CCP"</formula>
    </cfRule>
    <cfRule type="cellIs" dxfId="45" priority="26" stopIfTrue="1" operator="equal">
      <formula>"CD"</formula>
    </cfRule>
    <cfRule type="cellIs" dxfId="44" priority="27" stopIfTrue="1" operator="equal">
      <formula>"SANÇÃO"</formula>
    </cfRule>
    <cfRule type="cellIs" dxfId="43" priority="28" stopIfTrue="1" operator="equal">
      <formula>"KADESH"</formula>
    </cfRule>
    <cfRule type="cellIs" dxfId="42" priority="29" stopIfTrue="1" operator="equal">
      <formula>0</formula>
    </cfRule>
  </conditionalFormatting>
  <conditionalFormatting sqref="G109">
    <cfRule type="duplicateValues" dxfId="41" priority="18" stopIfTrue="1"/>
  </conditionalFormatting>
  <conditionalFormatting sqref="E1:E8 E21:E65536">
    <cfRule type="cellIs" dxfId="40" priority="14" stopIfTrue="1" operator="equal">
      <formula>"Tornozeleira"</formula>
    </cfRule>
  </conditionalFormatting>
  <conditionalFormatting sqref="G57">
    <cfRule type="colorScale" priority="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D8 D21:D65536">
    <cfRule type="cellIs" dxfId="39" priority="12" stopIfTrue="1" operator="equal">
      <formula>"DES."</formula>
    </cfRule>
  </conditionalFormatting>
  <conditionalFormatting sqref="B9:F20">
    <cfRule type="cellIs" dxfId="38" priority="5" stopIfTrue="1" operator="equal">
      <formula>"KADESH"</formula>
    </cfRule>
    <cfRule type="cellIs" dxfId="37" priority="6" stopIfTrue="1" operator="equal">
      <formula>"ALVARÁ"</formula>
    </cfRule>
    <cfRule type="cellIs" dxfId="36" priority="7" stopIfTrue="1" operator="equal">
      <formula>"CRAPG"</formula>
    </cfRule>
    <cfRule type="cellIs" dxfId="35" priority="8" stopIfTrue="1" operator="equal">
      <formula>0</formula>
    </cfRule>
    <cfRule type="cellIs" dxfId="34" priority="9" stopIfTrue="1" operator="equal">
      <formula>"CCP"</formula>
    </cfRule>
    <cfRule type="cellIs" dxfId="33" priority="10" stopIfTrue="1" operator="equal">
      <formula>"CD"</formula>
    </cfRule>
    <cfRule type="cellIs" dxfId="32" priority="11" stopIfTrue="1" operator="equal">
      <formula>"SANÇÃO"</formula>
    </cfRule>
  </conditionalFormatting>
  <conditionalFormatting sqref="D9:D20">
    <cfRule type="cellIs" dxfId="31" priority="1" stopIfTrue="1" operator="equal">
      <formula>"DES."</formula>
    </cfRule>
    <cfRule type="cellIs" dxfId="30" priority="2" stopIfTrue="1" operator="equal">
      <formula>"DES."</formula>
    </cfRule>
    <cfRule type="expression" dxfId="29" priority="4" stopIfTrue="1">
      <formula>"ÉERROS()"</formula>
    </cfRule>
  </conditionalFormatting>
  <conditionalFormatting sqref="E9:E20">
    <cfRule type="cellIs" dxfId="28" priority="3" stopIfTrue="1" operator="equal">
      <formula>"Tornozeleira"</formula>
    </cfRule>
  </conditionalFormatting>
  <pageMargins left="0.78740157499999996" right="0.78740157499999996" top="0.984251969" bottom="0.984251969" header="0.49212598499999999" footer="0.49212598499999999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G129"/>
  <sheetViews>
    <sheetView zoomScale="95" zoomScaleNormal="95" workbookViewId="0">
      <pane xSplit="1" ySplit="3" topLeftCell="B67" activePane="bottomRight" state="frozen"/>
      <selection activeCell="G76" sqref="G76"/>
      <selection pane="topRight" activeCell="G76" sqref="G76"/>
      <selection pane="bottomLeft" activeCell="G76" sqref="G76"/>
      <selection pane="bottomRight" activeCell="G39" sqref="G39"/>
    </sheetView>
  </sheetViews>
  <sheetFormatPr defaultRowHeight="12.75"/>
  <cols>
    <col min="2" max="2" width="16.42578125" bestFit="1" customWidth="1"/>
    <col min="4" max="4" width="10" bestFit="1" customWidth="1"/>
    <col min="5" max="5" width="14" bestFit="1" customWidth="1"/>
    <col min="6" max="6" width="2.85546875" bestFit="1" customWidth="1"/>
    <col min="7" max="7" width="56.85546875" bestFit="1" customWidth="1"/>
  </cols>
  <sheetData>
    <row r="1" spans="1:7" ht="13.5" thickBot="1"/>
    <row r="2" spans="1:7" ht="17.25" thickTop="1" thickBot="1">
      <c r="B2" s="711">
        <f ca="1">TODAY()</f>
        <v>44159</v>
      </c>
      <c r="C2" s="712"/>
      <c r="D2" s="712"/>
      <c r="E2" s="712"/>
      <c r="F2" s="712"/>
      <c r="G2" s="713"/>
    </row>
    <row r="3" spans="1:7" ht="13.5" thickTop="1"/>
    <row r="4" spans="1:7">
      <c r="B4" s="710" t="s">
        <v>1782</v>
      </c>
      <c r="C4" s="710"/>
      <c r="D4" s="710"/>
      <c r="E4" s="710"/>
      <c r="F4" s="710"/>
      <c r="G4" s="710"/>
    </row>
    <row r="5" spans="1:7">
      <c r="B5" s="710"/>
      <c r="C5" s="710"/>
      <c r="D5" s="710"/>
      <c r="E5" s="710"/>
      <c r="F5" s="710"/>
      <c r="G5" s="710"/>
    </row>
    <row r="6" spans="1:7" ht="13.5" thickBot="1">
      <c r="A6" s="21"/>
      <c r="B6" s="21"/>
      <c r="C6" s="21"/>
      <c r="D6" s="21"/>
      <c r="E6" s="21"/>
      <c r="F6" s="21"/>
      <c r="G6" s="21"/>
    </row>
    <row r="7" spans="1:7" ht="14.25" thickTop="1" thickBot="1">
      <c r="A7" s="21"/>
      <c r="B7" s="708" t="str">
        <f>SEGUNDA!B7</f>
        <v>ERON</v>
      </c>
      <c r="C7" s="709"/>
      <c r="D7" s="709"/>
      <c r="E7" s="46" t="str">
        <f>SEGUNDA!E7</f>
        <v>TURMA 1</v>
      </c>
      <c r="F7" s="46"/>
      <c r="G7" s="27" t="str">
        <f ca="1">IF(WEEKDAY(B2,2)=5,"HOJE","SEXTA-FEIRA")</f>
        <v>SEXTA-FEIRA</v>
      </c>
    </row>
    <row r="8" spans="1:7" ht="14.25" thickTop="1" thickBot="1">
      <c r="A8" s="21"/>
      <c r="B8" s="13" t="s">
        <v>812</v>
      </c>
      <c r="C8" s="13" t="s">
        <v>250</v>
      </c>
      <c r="D8" s="13" t="s">
        <v>435</v>
      </c>
      <c r="E8" s="13" t="s">
        <v>1178</v>
      </c>
      <c r="F8" s="13" t="s">
        <v>1802</v>
      </c>
      <c r="G8" s="13" t="s">
        <v>370</v>
      </c>
    </row>
    <row r="9" spans="1:7" ht="14.25" thickTop="1" thickBot="1">
      <c r="A9" s="21"/>
      <c r="B9" s="14" t="e">
        <f>VLOOKUP(G9,'GAL-CUB'!$A:$A,2,FALSE)</f>
        <v>#N/A</v>
      </c>
      <c r="C9" s="14" t="e">
        <f>VLOOKUP(G9,'GAL-CUB'!$A:$B,3,FALSE)</f>
        <v>#N/A</v>
      </c>
      <c r="D9" s="14" t="e">
        <f>VLOOKUP(G9,'GAL-CUB'!$A:$J,11,FALSE)</f>
        <v>#N/A</v>
      </c>
      <c r="E9" s="14" t="str">
        <f>IFERROR(VLOOKUP(G9,'GAL-CUB'!$A:$D,4,FALSE),IFERROR(VLOOKUP(G9,ESCOLTAS!$A:$F,6,FALSE),VLOOKUP(G9,SAÍDAS!$A:$B,2,FALSE)))</f>
        <v xml:space="preserve">UP </v>
      </c>
      <c r="F9" s="14">
        <v>1</v>
      </c>
      <c r="G9" s="18" t="str">
        <f>SEGUNDA!G9</f>
        <v>ADEMAR DOUGLAS DA SILVA</v>
      </c>
    </row>
    <row r="10" spans="1:7" ht="14.25" thickTop="1" thickBot="1">
      <c r="A10" s="21"/>
      <c r="B10" s="14" t="e">
        <f>VLOOKUP(G10,'GAL-CUB'!$A:$A,2,FALSE)</f>
        <v>#N/A</v>
      </c>
      <c r="C10" s="14" t="e">
        <f>VLOOKUP(G10,'GAL-CUB'!$A:$B,3,FALSE)</f>
        <v>#N/A</v>
      </c>
      <c r="D10" s="14" t="e">
        <f>VLOOKUP(G10,'GAL-CUB'!$A:$J,11,FALSE)</f>
        <v>#N/A</v>
      </c>
      <c r="E10" s="14" t="e">
        <f>IFERROR(VLOOKUP(G10,'GAL-CUB'!$A:$D,4,FALSE),IFERROR(VLOOKUP(G10,ESCOLTAS!$A:$F,6,FALSE),VLOOKUP(G10,SAÍDAS!$A:$B,2,FALSE)))</f>
        <v>#N/A</v>
      </c>
      <c r="F10" s="14">
        <v>2</v>
      </c>
      <c r="G10" s="18" t="str">
        <f>SEGUNDA!G10</f>
        <v>ANDREI BATISTA DA SILVA</v>
      </c>
    </row>
    <row r="11" spans="1:7" ht="14.25" thickTop="1" thickBot="1">
      <c r="A11" s="21"/>
      <c r="B11" s="14" t="e">
        <f>VLOOKUP(G11,'GAL-CUB'!$A:$A,2,FALSE)</f>
        <v>#N/A</v>
      </c>
      <c r="C11" s="14" t="e">
        <f>VLOOKUP(G11,'GAL-CUB'!$A:$B,3,FALSE)</f>
        <v>#N/A</v>
      </c>
      <c r="D11" s="14" t="e">
        <f>VLOOKUP(G11,'GAL-CUB'!$A:$J,11,FALSE)</f>
        <v>#N/A</v>
      </c>
      <c r="E11" s="14" t="e">
        <f>IFERROR(VLOOKUP(G11,'GAL-CUB'!$A:$D,4,FALSE),IFERROR(VLOOKUP(G11,ESCOLTAS!$A:$F,6,FALSE),VLOOKUP(G11,SAÍDAS!$A:$B,2,FALSE)))</f>
        <v>#N/A</v>
      </c>
      <c r="F11" s="14">
        <v>3</v>
      </c>
      <c r="G11" s="18" t="str">
        <f>SEGUNDA!G11</f>
        <v>DANIEL PEREIRA</v>
      </c>
    </row>
    <row r="12" spans="1:7" ht="14.25" thickTop="1" thickBot="1">
      <c r="A12" s="21"/>
      <c r="B12" s="14" t="e">
        <f>VLOOKUP(G12,'GAL-CUB'!$A:$A,2,FALSE)</f>
        <v>#N/A</v>
      </c>
      <c r="C12" s="14" t="e">
        <f>VLOOKUP(G12,'GAL-CUB'!$A:$B,3,FALSE)</f>
        <v>#N/A</v>
      </c>
      <c r="D12" s="14" t="e">
        <f>VLOOKUP(G12,'GAL-CUB'!$A:$J,11,FALSE)</f>
        <v>#N/A</v>
      </c>
      <c r="E12" s="14" t="e">
        <f>IFERROR(VLOOKUP(G12,'GAL-CUB'!$A:$D,4,FALSE),IFERROR(VLOOKUP(G12,ESCOLTAS!$A:$F,6,FALSE),VLOOKUP(G12,SAÍDAS!$A:$B,2,FALSE)))</f>
        <v>#N/A</v>
      </c>
      <c r="F12" s="14">
        <v>4</v>
      </c>
      <c r="G12" s="18" t="str">
        <f>SEGUNDA!G12</f>
        <v>DIOGO LUAN DOS SANTOS</v>
      </c>
    </row>
    <row r="13" spans="1:7" ht="14.25" thickTop="1" thickBot="1">
      <c r="A13" s="21"/>
      <c r="B13" s="14" t="e">
        <f>VLOOKUP(G13,'GAL-CUB'!$A:$A,2,FALSE)</f>
        <v>#N/A</v>
      </c>
      <c r="C13" s="14" t="e">
        <f>VLOOKUP(G13,'GAL-CUB'!$A:$B,3,FALSE)</f>
        <v>#N/A</v>
      </c>
      <c r="D13" s="14" t="e">
        <f>VLOOKUP(G13,'GAL-CUB'!$A:$J,11,FALSE)</f>
        <v>#N/A</v>
      </c>
      <c r="E13" s="14" t="e">
        <f>IFERROR(VLOOKUP(G13,'GAL-CUB'!$A:$D,4,FALSE),IFERROR(VLOOKUP(G13,ESCOLTAS!$A:$F,6,FALSE),VLOOKUP(G13,SAÍDAS!$A:$B,2,FALSE)))</f>
        <v>#N/A</v>
      </c>
      <c r="F13" s="14">
        <v>5</v>
      </c>
      <c r="G13" s="18" t="str">
        <f>SEGUNDA!G13</f>
        <v>ERLEI DE JESUS ZAMBILO (Gringo)</v>
      </c>
    </row>
    <row r="14" spans="1:7" ht="14.25" thickTop="1" thickBot="1">
      <c r="A14" s="21"/>
      <c r="B14" s="14" t="e">
        <f>VLOOKUP(G14,'GAL-CUB'!$A:$A,2,FALSE)</f>
        <v>#N/A</v>
      </c>
      <c r="C14" s="14" t="e">
        <f>VLOOKUP(G14,'GAL-CUB'!$A:$B,3,FALSE)</f>
        <v>#N/A</v>
      </c>
      <c r="D14" s="14" t="e">
        <f>VLOOKUP(G14,'GAL-CUB'!$A:$J,11,FALSE)</f>
        <v>#N/A</v>
      </c>
      <c r="E14" s="14" t="str">
        <f>IFERROR(VLOOKUP(G14,'GAL-CUB'!$A:$D,4,FALSE),IFERROR(VLOOKUP(G14,ESCOLTAS!$A:$F,6,FALSE),VLOOKUP(G14,SAÍDAS!$A:$B,2,FALSE)))</f>
        <v>CRAPG</v>
      </c>
      <c r="F14" s="14">
        <v>6</v>
      </c>
      <c r="G14" s="18" t="str">
        <f>SEGUNDA!G14</f>
        <v>EVERTON LUIZ DOS SANTOS</v>
      </c>
    </row>
    <row r="15" spans="1:7" ht="14.25" thickTop="1" thickBot="1">
      <c r="A15" s="21"/>
      <c r="B15" s="14" t="e">
        <f>VLOOKUP(G15,'GAL-CUB'!$A:$A,2,FALSE)</f>
        <v>#N/A</v>
      </c>
      <c r="C15" s="14" t="e">
        <f>VLOOKUP(G15,'GAL-CUB'!$A:$B,3,FALSE)</f>
        <v>#N/A</v>
      </c>
      <c r="D15" s="14" t="e">
        <f>VLOOKUP(G15,'GAL-CUB'!$A:$J,11,FALSE)</f>
        <v>#N/A</v>
      </c>
      <c r="E15" s="14" t="str">
        <f>IFERROR(VLOOKUP(G15,'GAL-CUB'!$A:$D,4,FALSE),IFERROR(VLOOKUP(G15,ESCOLTAS!$A:$F,6,FALSE),VLOOKUP(G15,SAÍDAS!$A:$B,2,FALSE)))</f>
        <v>CRAPG</v>
      </c>
      <c r="F15" s="14">
        <v>7</v>
      </c>
      <c r="G15" s="18" t="str">
        <f>SEGUNDA!G15</f>
        <v>FABIANO CORREIA DOS SANTOS</v>
      </c>
    </row>
    <row r="16" spans="1:7" ht="14.25" thickTop="1" thickBot="1">
      <c r="A16" s="21"/>
      <c r="B16" s="14" t="e">
        <f>VLOOKUP(G16,'GAL-CUB'!$A:$A,2,FALSE)</f>
        <v>#N/A</v>
      </c>
      <c r="C16" s="14" t="e">
        <f>VLOOKUP(G16,'GAL-CUB'!$A:$B,3,FALSE)</f>
        <v>#N/A</v>
      </c>
      <c r="D16" s="14" t="e">
        <f>VLOOKUP(G16,'GAL-CUB'!$A:$J,11,FALSE)</f>
        <v>#N/A</v>
      </c>
      <c r="E16" s="14" t="e">
        <f>IFERROR(VLOOKUP(G16,'GAL-CUB'!$A:$D,4,FALSE),IFERROR(VLOOKUP(G16,ESCOLTAS!$A:$F,6,FALSE),VLOOKUP(G16,SAÍDAS!$A:$B,2,FALSE)))</f>
        <v>#N/A</v>
      </c>
      <c r="F16" s="14">
        <v>8</v>
      </c>
      <c r="G16" s="18" t="str">
        <f>SEGUNDA!G16</f>
        <v>RONALDO CAMARGO</v>
      </c>
    </row>
    <row r="17" spans="1:7" ht="14.25" thickTop="1" thickBot="1">
      <c r="A17" s="21"/>
      <c r="B17" s="14" t="e">
        <f>VLOOKUP(G17,'GAL-CUB'!$A:$A,2,FALSE)</f>
        <v>#N/A</v>
      </c>
      <c r="C17" s="14" t="e">
        <f>VLOOKUP(G17,'GAL-CUB'!$A:$B,3,FALSE)</f>
        <v>#N/A</v>
      </c>
      <c r="D17" s="14" t="e">
        <f>VLOOKUP(G17,'GAL-CUB'!$A:$J,11,FALSE)</f>
        <v>#N/A</v>
      </c>
      <c r="E17" s="14" t="e">
        <f>IFERROR(VLOOKUP(G17,'GAL-CUB'!$A:$D,4,FALSE),IFERROR(VLOOKUP(G17,ESCOLTAS!$A:$F,6,FALSE),VLOOKUP(G17,SAÍDAS!$A:$B,2,FALSE)))</f>
        <v>#N/A</v>
      </c>
      <c r="F17" s="14">
        <v>9</v>
      </c>
      <c r="G17" s="18" t="str">
        <f>SEGUNDA!G17</f>
        <v>WAGNER FERREIRA DOS SANTOS</v>
      </c>
    </row>
    <row r="18" spans="1:7" ht="14.25" thickTop="1" thickBot="1">
      <c r="A18" s="21"/>
      <c r="B18" s="14" t="e">
        <f>VLOOKUP(G18,'GAL-CUB'!$A:$A,2,FALSE)</f>
        <v>#N/A</v>
      </c>
      <c r="C18" s="14" t="e">
        <f>VLOOKUP(G18,'GAL-CUB'!$A:$B,3,FALSE)</f>
        <v>#N/A</v>
      </c>
      <c r="D18" s="14" t="e">
        <f>VLOOKUP(G18,'GAL-CUB'!$A:$J,11,FALSE)</f>
        <v>#N/A</v>
      </c>
      <c r="E18" s="14" t="e">
        <f>IFERROR(VLOOKUP(G18,'GAL-CUB'!$A:$D,4,FALSE),IFERROR(VLOOKUP(G18,ESCOLTAS!$A:$F,6,FALSE),VLOOKUP(G18,SAÍDAS!$A:$B,2,FALSE)))</f>
        <v>#N/A</v>
      </c>
      <c r="F18" s="14">
        <v>10</v>
      </c>
      <c r="G18" s="18" t="str">
        <f>SEGUNDA!G18</f>
        <v>FERNANDO RICARDO STOCCO (Fer / Fernanda)</v>
      </c>
    </row>
    <row r="19" spans="1:7" ht="14.25" thickTop="1" thickBot="1">
      <c r="A19" s="21"/>
      <c r="B19" s="14" t="e">
        <f>VLOOKUP(G19,'GAL-CUB'!$A:$A,2,FALSE)</f>
        <v>#N/A</v>
      </c>
      <c r="C19" s="14" t="e">
        <f>VLOOKUP(G19,'GAL-CUB'!$A:$B,3,FALSE)</f>
        <v>#N/A</v>
      </c>
      <c r="D19" s="14" t="e">
        <f>VLOOKUP(G19,'GAL-CUB'!$A:$J,11,FALSE)</f>
        <v>#N/A</v>
      </c>
      <c r="E19" s="14" t="e">
        <f>IFERROR(VLOOKUP(G19,'GAL-CUB'!$A:$D,4,FALSE),IFERROR(VLOOKUP(G19,ESCOLTAS!$A:$F,6,FALSE),VLOOKUP(G19,SAÍDAS!$A:$B,2,FALSE)))</f>
        <v>#N/A</v>
      </c>
      <c r="F19" s="14">
        <v>11</v>
      </c>
      <c r="G19" s="18" t="str">
        <f>SEGUNDA!G19</f>
        <v>MARIO CESAR VALENTIM JUNIOR (Nuno)</v>
      </c>
    </row>
    <row r="20" spans="1:7" ht="14.25" thickTop="1" thickBot="1">
      <c r="A20" s="21"/>
      <c r="B20" s="14" t="e">
        <f>VLOOKUP(G20,'GAL-CUB'!$A:$A,2,FALSE)</f>
        <v>#N/A</v>
      </c>
      <c r="C20" s="14" t="e">
        <f>VLOOKUP(G20,'GAL-CUB'!$A:$B,3,FALSE)</f>
        <v>#N/A</v>
      </c>
      <c r="D20" s="14" t="e">
        <f>VLOOKUP(G20,'GAL-CUB'!$A:$J,11,FALSE)</f>
        <v>#N/A</v>
      </c>
      <c r="E20" s="14" t="str">
        <f>IFERROR(VLOOKUP(G20,'GAL-CUB'!$A:$D,4,FALSE),IFERROR(VLOOKUP(G20,ESCOLTAS!$A:$F,6,FALSE),VLOOKUP(G20,SAÍDAS!$A:$B,2,FALSE)))</f>
        <v>CRAPG</v>
      </c>
      <c r="F20" s="14">
        <v>12</v>
      </c>
      <c r="G20" s="18" t="str">
        <f>SEGUNDA!G20</f>
        <v>RAFAEL ROBSON BENETT</v>
      </c>
    </row>
    <row r="21" spans="1:7" ht="14.25" thickTop="1" thickBot="1"/>
    <row r="22" spans="1:7" ht="14.25" thickTop="1" thickBot="1">
      <c r="B22" s="708" t="str">
        <f>TERÇA!B37</f>
        <v>CILMARA</v>
      </c>
      <c r="C22" s="709"/>
      <c r="D22" s="709"/>
      <c r="E22" s="46" t="str">
        <f>TERÇA!E37</f>
        <v>OK</v>
      </c>
      <c r="F22" s="46"/>
      <c r="G22" s="27" t="str">
        <f ca="1">IF(WEEKDAY(B2,2)=5,"HOJE","SEXTA-FEIRA")</f>
        <v>SEXTA-FEIRA</v>
      </c>
    </row>
    <row r="23" spans="1:7" ht="14.25" thickTop="1" thickBot="1">
      <c r="B23" s="13" t="s">
        <v>812</v>
      </c>
      <c r="C23" s="13" t="s">
        <v>250</v>
      </c>
      <c r="D23" s="13" t="s">
        <v>435</v>
      </c>
      <c r="E23" s="13" t="s">
        <v>1178</v>
      </c>
      <c r="F23" s="13" t="s">
        <v>1802</v>
      </c>
      <c r="G23" s="13" t="s">
        <v>370</v>
      </c>
    </row>
    <row r="24" spans="1:7" ht="14.25" thickTop="1" thickBot="1">
      <c r="B24" s="14" t="e">
        <f>VLOOKUP(G24,'GAL-CUB'!$A:$A,2,FALSE)</f>
        <v>#N/A</v>
      </c>
      <c r="C24" s="14" t="e">
        <f>VLOOKUP(G24,'GAL-CUB'!$A:$B,3,FALSE)</f>
        <v>#N/A</v>
      </c>
      <c r="D24" s="14" t="e">
        <f>VLOOKUP(G24,'GAL-CUB'!$A:$J,11,FALSE)</f>
        <v>#N/A</v>
      </c>
      <c r="E24" s="14" t="str">
        <f>IFERROR(VLOOKUP(G24,'GAL-CUB'!$A:$D,4,FALSE),IFERROR(VLOOKUP(G24,ESCOLTAS!$A:$F,6,FALSE),VLOOKUP(G24,SAÍDAS!$A:$B,2,FALSE)))</f>
        <v>CRAPG</v>
      </c>
      <c r="F24" s="14">
        <v>1</v>
      </c>
      <c r="G24" s="16">
        <f>TERÇA!G39</f>
        <v>0</v>
      </c>
    </row>
    <row r="25" spans="1:7" ht="14.25" thickTop="1" thickBot="1">
      <c r="B25" s="14" t="e">
        <f>VLOOKUP(G25,'GAL-CUB'!$A:$A,2,FALSE)</f>
        <v>#N/A</v>
      </c>
      <c r="C25" s="14" t="e">
        <f>VLOOKUP(G25,'GAL-CUB'!$A:$B,3,FALSE)</f>
        <v>#N/A</v>
      </c>
      <c r="D25" s="14" t="e">
        <f>VLOOKUP(G25,'GAL-CUB'!$A:$J,11,FALSE)</f>
        <v>#N/A</v>
      </c>
      <c r="E25" s="14" t="str">
        <f>IFERROR(VLOOKUP(G25,'GAL-CUB'!$A:$D,4,FALSE),IFERROR(VLOOKUP(G25,ESCOLTAS!$A:$F,6,FALSE),VLOOKUP(G25,SAÍDAS!$A:$B,2,FALSE)))</f>
        <v>CRAPG</v>
      </c>
      <c r="F25" s="14">
        <v>2</v>
      </c>
      <c r="G25" s="16">
        <f>TERÇA!G40</f>
        <v>0</v>
      </c>
    </row>
    <row r="26" spans="1:7" ht="14.25" thickTop="1" thickBot="1">
      <c r="B26" s="14" t="e">
        <f>VLOOKUP(G26,'GAL-CUB'!$A:$A,2,FALSE)</f>
        <v>#N/A</v>
      </c>
      <c r="C26" s="14" t="e">
        <f>VLOOKUP(G26,'GAL-CUB'!$A:$B,3,FALSE)</f>
        <v>#N/A</v>
      </c>
      <c r="D26" s="14" t="e">
        <f>VLOOKUP(G26,'GAL-CUB'!$A:$J,11,FALSE)</f>
        <v>#N/A</v>
      </c>
      <c r="E26" s="14" t="str">
        <f>IFERROR(VLOOKUP(G26,'GAL-CUB'!$A:$D,4,FALSE),IFERROR(VLOOKUP(G26,ESCOLTAS!$A:$F,6,FALSE),VLOOKUP(G26,SAÍDAS!$A:$B,2,FALSE)))</f>
        <v>UP</v>
      </c>
      <c r="F26" s="14">
        <v>3</v>
      </c>
      <c r="G26" s="16" t="str">
        <f>TERÇA!G41</f>
        <v>EDINALDO LUIZ DE OLIVEIRA</v>
      </c>
    </row>
    <row r="27" spans="1:7" ht="14.25" thickTop="1" thickBot="1">
      <c r="B27" s="14" t="e">
        <f>VLOOKUP(G27,'GAL-CUB'!$A:$A,2,FALSE)</f>
        <v>#N/A</v>
      </c>
      <c r="C27" s="14" t="e">
        <f>VLOOKUP(G27,'GAL-CUB'!$A:$B,3,FALSE)</f>
        <v>#N/A</v>
      </c>
      <c r="D27" s="14" t="e">
        <f>VLOOKUP(G27,'GAL-CUB'!$A:$J,11,FALSE)</f>
        <v>#N/A</v>
      </c>
      <c r="E27" s="14" t="e">
        <f>IFERROR(VLOOKUP(G27,'GAL-CUB'!$A:$D,4,FALSE),IFERROR(VLOOKUP(G27,ESCOLTAS!$A:$F,6,FALSE),VLOOKUP(G27,SAÍDAS!$A:$B,2,FALSE)))</f>
        <v>#N/A</v>
      </c>
      <c r="F27" s="14">
        <v>4</v>
      </c>
      <c r="G27" s="16" t="str">
        <f>TERÇA!G42</f>
        <v>ERIEL RODRIGUES GONÇALVES (CT2)</v>
      </c>
    </row>
    <row r="28" spans="1:7" ht="14.25" thickTop="1" thickBot="1">
      <c r="B28" s="14" t="e">
        <f>VLOOKUP(G28,'GAL-CUB'!$A:$A,2,FALSE)</f>
        <v>#N/A</v>
      </c>
      <c r="C28" s="14" t="e">
        <f>VLOOKUP(G28,'GAL-CUB'!$A:$B,3,FALSE)</f>
        <v>#N/A</v>
      </c>
      <c r="D28" s="14" t="e">
        <f>VLOOKUP(G28,'GAL-CUB'!$A:$J,11,FALSE)</f>
        <v>#N/A</v>
      </c>
      <c r="E28" s="14" t="str">
        <f>IFERROR(VLOOKUP(G28,'GAL-CUB'!$A:$D,4,FALSE),IFERROR(VLOOKUP(G28,ESCOLTAS!$A:$F,6,FALSE),VLOOKUP(G28,SAÍDAS!$A:$B,2,FALSE)))</f>
        <v>CRAPG</v>
      </c>
      <c r="F28" s="14">
        <v>5</v>
      </c>
      <c r="G28" s="16">
        <f>TERÇA!G43</f>
        <v>0</v>
      </c>
    </row>
    <row r="29" spans="1:7" ht="14.25" thickTop="1" thickBot="1">
      <c r="B29" s="14" t="e">
        <f>VLOOKUP(G29,'GAL-CUB'!$A:$A,2,FALSE)</f>
        <v>#N/A</v>
      </c>
      <c r="C29" s="14" t="e">
        <f>VLOOKUP(G29,'GAL-CUB'!$A:$B,3,FALSE)</f>
        <v>#N/A</v>
      </c>
      <c r="D29" s="14" t="e">
        <f>VLOOKUP(G29,'GAL-CUB'!$A:$J,11,FALSE)</f>
        <v>#N/A</v>
      </c>
      <c r="E29" s="14" t="str">
        <f>IFERROR(VLOOKUP(G29,'GAL-CUB'!$A:$D,4,FALSE),IFERROR(VLOOKUP(G29,ESCOLTAS!$A:$F,6,FALSE),VLOOKUP(G29,SAÍDAS!$A:$B,2,FALSE)))</f>
        <v>CRAPG</v>
      </c>
      <c r="F29" s="14">
        <v>6</v>
      </c>
      <c r="G29" s="16">
        <f>TERÇA!G44</f>
        <v>0</v>
      </c>
    </row>
    <row r="30" spans="1:7" ht="14.25" thickTop="1" thickBot="1">
      <c r="B30" s="14" t="e">
        <f>VLOOKUP(G30,'GAL-CUB'!$A:$A,2,FALSE)</f>
        <v>#N/A</v>
      </c>
      <c r="C30" s="14" t="e">
        <f>VLOOKUP(G30,'GAL-CUB'!$A:$B,3,FALSE)</f>
        <v>#N/A</v>
      </c>
      <c r="D30" s="14" t="e">
        <f>VLOOKUP(G30,'GAL-CUB'!$A:$J,11,FALSE)</f>
        <v>#N/A</v>
      </c>
      <c r="E30" s="14" t="str">
        <f>IFERROR(VLOOKUP(G30,'GAL-CUB'!$A:$D,4,FALSE),IFERROR(VLOOKUP(G30,ESCOLTAS!$A:$F,6,FALSE),VLOOKUP(G30,SAÍDAS!$A:$B,2,FALSE)))</f>
        <v>UP</v>
      </c>
      <c r="F30" s="14">
        <v>7</v>
      </c>
      <c r="G30" s="16" t="str">
        <f>TERÇA!G45</f>
        <v>JONNY RIBEIRO DE FREITAS</v>
      </c>
    </row>
    <row r="31" spans="1:7" ht="14.25" thickTop="1" thickBot="1">
      <c r="B31" s="14" t="e">
        <f>VLOOKUP(G31,'GAL-CUB'!$A:$A,2,FALSE)</f>
        <v>#N/A</v>
      </c>
      <c r="C31" s="14" t="e">
        <f>VLOOKUP(G31,'GAL-CUB'!$A:$B,3,FALSE)</f>
        <v>#N/A</v>
      </c>
      <c r="D31" s="14" t="e">
        <f>VLOOKUP(G31,'GAL-CUB'!$A:$J,11,FALSE)</f>
        <v>#N/A</v>
      </c>
      <c r="E31" s="14" t="str">
        <f>IFERROR(VLOOKUP(G31,'GAL-CUB'!$A:$D,4,FALSE),IFERROR(VLOOKUP(G31,ESCOLTAS!$A:$F,6,FALSE),VLOOKUP(G31,SAÍDAS!$A:$B,2,FALSE)))</f>
        <v>CRAPG</v>
      </c>
      <c r="F31" s="14">
        <v>8</v>
      </c>
      <c r="G31" s="16">
        <f>TERÇA!G46</f>
        <v>0</v>
      </c>
    </row>
    <row r="32" spans="1:7" ht="14.25" thickTop="1" thickBot="1">
      <c r="B32" s="14" t="e">
        <f>VLOOKUP(G32,'GAL-CUB'!$A:$A,2,FALSE)</f>
        <v>#N/A</v>
      </c>
      <c r="C32" s="14" t="e">
        <f>VLOOKUP(G32,'GAL-CUB'!$A:$B,3,FALSE)</f>
        <v>#N/A</v>
      </c>
      <c r="D32" s="14" t="e">
        <f>VLOOKUP(G32,'GAL-CUB'!$A:$J,11,FALSE)</f>
        <v>#N/A</v>
      </c>
      <c r="E32" s="14" t="e">
        <f>IFERROR(VLOOKUP(G32,'GAL-CUB'!$A:$D,4,FALSE),IFERROR(VLOOKUP(G32,ESCOLTAS!$A:$F,6,FALSE),VLOOKUP(G32,SAÍDAS!$A:$B,2,FALSE)))</f>
        <v>#N/A</v>
      </c>
      <c r="F32" s="14">
        <v>9</v>
      </c>
      <c r="G32" s="16" t="str">
        <f>TERÇA!G47</f>
        <v>PAULO SERGIO FERREIRA (Butia)</v>
      </c>
    </row>
    <row r="33" spans="2:7" ht="14.25" thickTop="1" thickBot="1">
      <c r="B33" s="14" t="e">
        <f>VLOOKUP(G33,'GAL-CUB'!$A:$A,2,FALSE)</f>
        <v>#N/A</v>
      </c>
      <c r="C33" s="14" t="e">
        <f>VLOOKUP(G33,'GAL-CUB'!$A:$B,3,FALSE)</f>
        <v>#N/A</v>
      </c>
      <c r="D33" s="14" t="e">
        <f>VLOOKUP(G33,'GAL-CUB'!$A:$J,11,FALSE)</f>
        <v>#N/A</v>
      </c>
      <c r="E33" s="14" t="str">
        <f>IFERROR(VLOOKUP(G33,'GAL-CUB'!$A:$D,4,FALSE),IFERROR(VLOOKUP(G33,ESCOLTAS!$A:$F,6,FALSE),VLOOKUP(G33,SAÍDAS!$A:$B,2,FALSE)))</f>
        <v>LC</v>
      </c>
      <c r="F33" s="14">
        <v>10</v>
      </c>
      <c r="G33" s="16" t="str">
        <f>TERÇA!G48</f>
        <v>ROBSON RIBEIRO PINTO (Mica)</v>
      </c>
    </row>
    <row r="34" spans="2:7" ht="14.25" thickTop="1" thickBot="1">
      <c r="B34" s="14" t="e">
        <f>VLOOKUP(G34,'GAL-CUB'!$A:$A,2,FALSE)</f>
        <v>#N/A</v>
      </c>
      <c r="C34" s="14" t="e">
        <f>VLOOKUP(G34,'GAL-CUB'!$A:$B,3,FALSE)</f>
        <v>#N/A</v>
      </c>
      <c r="D34" s="14" t="e">
        <f>VLOOKUP(G34,'GAL-CUB'!$A:$J,11,FALSE)</f>
        <v>#N/A</v>
      </c>
      <c r="E34" s="14" t="e">
        <f>IFERROR(VLOOKUP(G34,'GAL-CUB'!$A:$D,4,FALSE),IFERROR(VLOOKUP(G34,ESCOLTAS!$A:$F,6,FALSE),VLOOKUP(G34,SAÍDAS!$A:$B,2,FALSE)))</f>
        <v>#N/A</v>
      </c>
      <c r="F34" s="14">
        <v>11</v>
      </c>
      <c r="G34" s="16" t="str">
        <f>TERÇA!G49</f>
        <v>RODRIGO SATO GUIMARAES (gasolina)</v>
      </c>
    </row>
    <row r="35" spans="2:7" ht="14.25" thickTop="1" thickBot="1">
      <c r="B35" s="14" t="e">
        <f>VLOOKUP(G35,'GAL-CUB'!$A:$A,2,FALSE)</f>
        <v>#N/A</v>
      </c>
      <c r="C35" s="14" t="e">
        <f>VLOOKUP(G35,'GAL-CUB'!$A:$B,3,FALSE)</f>
        <v>#N/A</v>
      </c>
      <c r="D35" s="14" t="e">
        <f>VLOOKUP(G35,'GAL-CUB'!$A:$J,11,FALSE)</f>
        <v>#N/A</v>
      </c>
      <c r="E35" s="14" t="e">
        <f>IFERROR(VLOOKUP(G35,'GAL-CUB'!$A:$D,4,FALSE),IFERROR(VLOOKUP(G35,ESCOLTAS!$A:$F,6,FALSE),VLOOKUP(G35,SAÍDAS!$A:$B,2,FALSE)))</f>
        <v>#N/A</v>
      </c>
      <c r="F35" s="14">
        <v>12</v>
      </c>
      <c r="G35" s="16" t="str">
        <f>TERÇA!G50</f>
        <v>SERGIO GONÇALVES DE MEIRA (Piu)</v>
      </c>
    </row>
    <row r="36" spans="2:7" ht="14.25" thickTop="1" thickBot="1"/>
    <row r="37" spans="2:7" ht="14.25" thickTop="1" thickBot="1">
      <c r="B37" s="708" t="str">
        <f>TERÇA!B52</f>
        <v>MATILDE</v>
      </c>
      <c r="C37" s="709"/>
      <c r="D37" s="709"/>
      <c r="E37" s="46"/>
      <c r="F37" s="46"/>
      <c r="G37" s="27" t="str">
        <f ca="1">IF(WEEKDAY(B2,2)=5,"HOJE","SEXTA-FEIRA")</f>
        <v>SEXTA-FEIRA</v>
      </c>
    </row>
    <row r="38" spans="2:7" ht="14.25" thickTop="1" thickBot="1">
      <c r="B38" s="13" t="s">
        <v>812</v>
      </c>
      <c r="C38" s="13" t="s">
        <v>250</v>
      </c>
      <c r="D38" s="13" t="s">
        <v>435</v>
      </c>
      <c r="E38" s="13" t="s">
        <v>1178</v>
      </c>
      <c r="F38" s="13" t="s">
        <v>1802</v>
      </c>
      <c r="G38" s="13" t="s">
        <v>370</v>
      </c>
    </row>
    <row r="39" spans="2:7" ht="14.25" thickTop="1" thickBot="1">
      <c r="B39" s="14" t="e">
        <f>VLOOKUP(G39,'GAL-CUB'!$A:$A,2,FALSE)</f>
        <v>#N/A</v>
      </c>
      <c r="C39" s="14" t="e">
        <f>VLOOKUP(G39,'GAL-CUB'!$A:$B,3,FALSE)</f>
        <v>#N/A</v>
      </c>
      <c r="D39" s="14" t="e">
        <f>VLOOKUP(G39,'GAL-CUB'!$A:$J,11,FALSE)</f>
        <v>#N/A</v>
      </c>
      <c r="E39" s="14" t="str">
        <f>IFERROR(VLOOKUP(G39,'GAL-CUB'!$A:$D,4,FALSE),IFERROR(VLOOKUP(G39,ESCOLTAS!$A:$F,6,FALSE),VLOOKUP(G39,SAÍDAS!$A:$B,2,FALSE)))</f>
        <v>CRAPG</v>
      </c>
      <c r="F39" s="14">
        <v>1</v>
      </c>
      <c r="G39" s="15" t="str">
        <f>TERÇA!G54</f>
        <v>ADAIR FERNANDES MACHADO</v>
      </c>
    </row>
    <row r="40" spans="2:7" ht="14.25" thickTop="1" thickBot="1">
      <c r="B40" s="14" t="e">
        <f>VLOOKUP(G40,'GAL-CUB'!$A:$A,2,FALSE)</f>
        <v>#N/A</v>
      </c>
      <c r="C40" s="14" t="e">
        <f>VLOOKUP(G40,'GAL-CUB'!$A:$B,3,FALSE)</f>
        <v>#N/A</v>
      </c>
      <c r="D40" s="14" t="e">
        <f>VLOOKUP(G40,'GAL-CUB'!$A:$J,11,FALSE)</f>
        <v>#N/A</v>
      </c>
      <c r="E40" s="14" t="str">
        <f>IFERROR(VLOOKUP(G40,'GAL-CUB'!$A:$D,4,FALSE),IFERROR(VLOOKUP(G40,ESCOLTAS!$A:$F,6,FALSE),VLOOKUP(G40,SAÍDAS!$A:$B,2,FALSE)))</f>
        <v>CRAPG</v>
      </c>
      <c r="F40" s="14">
        <v>2</v>
      </c>
      <c r="G40" s="15" t="str">
        <f>TERÇA!G55</f>
        <v>ADRIANO GONÇALVES DE MELO</v>
      </c>
    </row>
    <row r="41" spans="2:7" ht="14.25" thickTop="1" thickBot="1">
      <c r="B41" s="14" t="e">
        <f>VLOOKUP(G41,'GAL-CUB'!$A:$A,2,FALSE)</f>
        <v>#N/A</v>
      </c>
      <c r="C41" s="14" t="e">
        <f>VLOOKUP(G41,'GAL-CUB'!$A:$B,3,FALSE)</f>
        <v>#N/A</v>
      </c>
      <c r="D41" s="14" t="e">
        <f>VLOOKUP(G41,'GAL-CUB'!$A:$J,11,FALSE)</f>
        <v>#N/A</v>
      </c>
      <c r="E41" s="14" t="e">
        <f>IFERROR(VLOOKUP(G41,'GAL-CUB'!$A:$D,4,FALSE),IFERROR(VLOOKUP(G41,ESCOLTAS!$A:$F,6,FALSE),VLOOKUP(G41,SAÍDAS!$A:$B,2,FALSE)))</f>
        <v>#N/A</v>
      </c>
      <c r="F41" s="14">
        <v>3</v>
      </c>
      <c r="G41" s="15" t="str">
        <f>TERÇA!G56</f>
        <v>ALEXANDRE JUNIOR DE ALMEIDA</v>
      </c>
    </row>
    <row r="42" spans="2:7" ht="14.25" thickTop="1" thickBot="1">
      <c r="B42" s="14" t="e">
        <f>VLOOKUP(G42,'GAL-CUB'!$A:$A,2,FALSE)</f>
        <v>#N/A</v>
      </c>
      <c r="C42" s="14" t="e">
        <f>VLOOKUP(G42,'GAL-CUB'!$A:$B,3,FALSE)</f>
        <v>#N/A</v>
      </c>
      <c r="D42" s="14" t="e">
        <f>VLOOKUP(G42,'GAL-CUB'!$A:$J,11,FALSE)</f>
        <v>#N/A</v>
      </c>
      <c r="E42" s="14" t="str">
        <f>IFERROR(VLOOKUP(G42,'GAL-CUB'!$A:$D,4,FALSE),IFERROR(VLOOKUP(G42,ESCOLTAS!$A:$F,6,FALSE),VLOOKUP(G42,SAÍDAS!$A:$B,2,FALSE)))</f>
        <v>TORNOZELEIRA</v>
      </c>
      <c r="F42" s="14">
        <v>4</v>
      </c>
      <c r="G42" s="15" t="str">
        <f>TERÇA!G57</f>
        <v>DEIVIDI DE MELO</v>
      </c>
    </row>
    <row r="43" spans="2:7" ht="14.25" thickTop="1" thickBot="1">
      <c r="B43" s="14" t="e">
        <f>VLOOKUP(G43,'GAL-CUB'!$A:$A,2,FALSE)</f>
        <v>#N/A</v>
      </c>
      <c r="C43" s="14" t="e">
        <f>VLOOKUP(G43,'GAL-CUB'!$A:$B,3,FALSE)</f>
        <v>#N/A</v>
      </c>
      <c r="D43" s="14" t="e">
        <f>VLOOKUP(G43,'GAL-CUB'!$A:$J,11,FALSE)</f>
        <v>#N/A</v>
      </c>
      <c r="E43" s="14" t="str">
        <f>IFERROR(VLOOKUP(G43,'GAL-CUB'!$A:$D,4,FALSE),IFERROR(VLOOKUP(G43,ESCOLTAS!$A:$F,6,FALSE),VLOOKUP(G43,SAÍDAS!$A:$B,2,FALSE)))</f>
        <v>CRAPG</v>
      </c>
      <c r="F43" s="14">
        <v>5</v>
      </c>
      <c r="G43" s="15" t="str">
        <f>TERÇA!G58</f>
        <v>EDIVALDO DA SILVA</v>
      </c>
    </row>
    <row r="44" spans="2:7" ht="14.25" thickTop="1" thickBot="1">
      <c r="B44" s="14" t="e">
        <f>VLOOKUP(G44,'GAL-CUB'!$A:$A,2,FALSE)</f>
        <v>#N/A</v>
      </c>
      <c r="C44" s="14" t="e">
        <f>VLOOKUP(G44,'GAL-CUB'!$A:$B,3,FALSE)</f>
        <v>#N/A</v>
      </c>
      <c r="D44" s="14" t="e">
        <f>VLOOKUP(G44,'GAL-CUB'!$A:$J,11,FALSE)</f>
        <v>#N/A</v>
      </c>
      <c r="E44" s="14" t="str">
        <f>IFERROR(VLOOKUP(G44,'GAL-CUB'!$A:$D,4,FALSE),IFERROR(VLOOKUP(G44,ESCOLTAS!$A:$F,6,FALSE),VLOOKUP(G44,SAÍDAS!$A:$B,2,FALSE)))</f>
        <v>CRAPG</v>
      </c>
      <c r="F44" s="14">
        <v>6</v>
      </c>
      <c r="G44" s="15" t="str">
        <f>TERÇA!G59</f>
        <v>FABIO TORRES BANRUQUE</v>
      </c>
    </row>
    <row r="45" spans="2:7" ht="14.25" thickTop="1" thickBot="1">
      <c r="B45" s="14" t="e">
        <f>VLOOKUP(G45,'GAL-CUB'!$A:$A,2,FALSE)</f>
        <v>#N/A</v>
      </c>
      <c r="C45" s="14" t="e">
        <f>VLOOKUP(G45,'GAL-CUB'!$A:$B,3,FALSE)</f>
        <v>#N/A</v>
      </c>
      <c r="D45" s="14" t="e">
        <f>VLOOKUP(G45,'GAL-CUB'!$A:$J,11,FALSE)</f>
        <v>#N/A</v>
      </c>
      <c r="E45" s="14" t="str">
        <f>IFERROR(VLOOKUP(G45,'GAL-CUB'!$A:$D,4,FALSE),IFERROR(VLOOKUP(G45,ESCOLTAS!$A:$F,6,FALSE),VLOOKUP(G45,SAÍDAS!$A:$B,2,FALSE)))</f>
        <v>CRAPG</v>
      </c>
      <c r="F45" s="14">
        <v>7</v>
      </c>
      <c r="G45" s="15" t="str">
        <f>TERÇA!G60</f>
        <v>IRINEU APARECIDO HENQUE</v>
      </c>
    </row>
    <row r="46" spans="2:7" ht="14.25" thickTop="1" thickBot="1">
      <c r="B46" s="14" t="e">
        <f>VLOOKUP(G46,'GAL-CUB'!$A:$A,2,FALSE)</f>
        <v>#N/A</v>
      </c>
      <c r="C46" s="14" t="e">
        <f>VLOOKUP(G46,'GAL-CUB'!$A:$B,3,FALSE)</f>
        <v>#N/A</v>
      </c>
      <c r="D46" s="14" t="e">
        <f>VLOOKUP(G46,'GAL-CUB'!$A:$J,11,FALSE)</f>
        <v>#N/A</v>
      </c>
      <c r="E46" s="14" t="e">
        <f>IFERROR(VLOOKUP(G46,'GAL-CUB'!$A:$D,4,FALSE),IFERROR(VLOOKUP(G46,ESCOLTAS!$A:$F,6,FALSE),VLOOKUP(G46,SAÍDAS!$A:$B,2,FALSE)))</f>
        <v>#N/A</v>
      </c>
      <c r="F46" s="14">
        <v>8</v>
      </c>
      <c r="G46" s="15" t="str">
        <f>TERÇA!G61</f>
        <v>JOAO JAQUES MOREIRA</v>
      </c>
    </row>
    <row r="47" spans="2:7" ht="14.25" thickTop="1" thickBot="1">
      <c r="B47" s="14" t="e">
        <f>VLOOKUP(G47,'GAL-CUB'!$A:$A,2,FALSE)</f>
        <v>#N/A</v>
      </c>
      <c r="C47" s="14" t="e">
        <f>VLOOKUP(G47,'GAL-CUB'!$A:$B,3,FALSE)</f>
        <v>#N/A</v>
      </c>
      <c r="D47" s="14" t="e">
        <f>VLOOKUP(G47,'GAL-CUB'!$A:$J,11,FALSE)</f>
        <v>#N/A</v>
      </c>
      <c r="E47" s="14" t="e">
        <f>IFERROR(VLOOKUP(G47,'GAL-CUB'!$A:$D,4,FALSE),IFERROR(VLOOKUP(G47,ESCOLTAS!$A:$F,6,FALSE),VLOOKUP(G47,SAÍDAS!$A:$B,2,FALSE)))</f>
        <v>#N/A</v>
      </c>
      <c r="F47" s="14">
        <v>9</v>
      </c>
      <c r="G47" s="15" t="str">
        <f>TERÇA!G62</f>
        <v>JHONNY RIBEIRO DA LUZ</v>
      </c>
    </row>
    <row r="48" spans="2:7" ht="14.25" thickTop="1" thickBot="1">
      <c r="B48" s="14" t="e">
        <f>VLOOKUP(G48,'GAL-CUB'!$A:$A,2,FALSE)</f>
        <v>#N/A</v>
      </c>
      <c r="C48" s="14" t="e">
        <f>VLOOKUP(G48,'GAL-CUB'!$A:$B,3,FALSE)</f>
        <v>#N/A</v>
      </c>
      <c r="D48" s="14" t="e">
        <f>VLOOKUP(G48,'GAL-CUB'!$A:$J,11,FALSE)</f>
        <v>#N/A</v>
      </c>
      <c r="E48" s="14" t="e">
        <f>IFERROR(VLOOKUP(G48,'GAL-CUB'!$A:$D,4,FALSE),IFERROR(VLOOKUP(G48,ESCOLTAS!$A:$F,6,FALSE),VLOOKUP(G48,SAÍDAS!$A:$B,2,FALSE)))</f>
        <v>#N/A</v>
      </c>
      <c r="F48" s="14">
        <v>10</v>
      </c>
      <c r="G48" s="15" t="str">
        <f>TERÇA!G63</f>
        <v>LUIZ CARLOS DOS SANTOS (Secretário/Luizinho)</v>
      </c>
    </row>
    <row r="49" spans="2:7" ht="14.25" thickTop="1" thickBot="1">
      <c r="B49" s="14" t="e">
        <f>VLOOKUP(G49,'GAL-CUB'!$A:$A,2,FALSE)</f>
        <v>#N/A</v>
      </c>
      <c r="C49" s="14" t="e">
        <f>VLOOKUP(G49,'GAL-CUB'!$A:$B,3,FALSE)</f>
        <v>#N/A</v>
      </c>
      <c r="D49" s="14" t="e">
        <f>VLOOKUP(G49,'GAL-CUB'!$A:$J,11,FALSE)</f>
        <v>#N/A</v>
      </c>
      <c r="E49" s="14" t="str">
        <f>IFERROR(VLOOKUP(G49,'GAL-CUB'!$A:$D,4,FALSE),IFERROR(VLOOKUP(G49,ESCOLTAS!$A:$F,6,FALSE),VLOOKUP(G49,SAÍDAS!$A:$B,2,FALSE)))</f>
        <v>CRAPG</v>
      </c>
      <c r="F49" s="14">
        <v>11</v>
      </c>
      <c r="G49" s="15" t="str">
        <f>TERÇA!G64</f>
        <v>ROQUE VANDERLEI RIBEIRO</v>
      </c>
    </row>
    <row r="50" spans="2:7" ht="14.25" thickTop="1" thickBot="1">
      <c r="B50" s="14" t="e">
        <f>VLOOKUP(G50,'GAL-CUB'!$A:$A,2,FALSE)</f>
        <v>#N/A</v>
      </c>
      <c r="C50" s="14" t="e">
        <f>VLOOKUP(G50,'GAL-CUB'!$A:$B,3,FALSE)</f>
        <v>#N/A</v>
      </c>
      <c r="D50" s="14" t="e">
        <f>VLOOKUP(G50,'GAL-CUB'!$A:$J,11,FALSE)</f>
        <v>#N/A</v>
      </c>
      <c r="E50" s="14" t="e">
        <f>IFERROR(VLOOKUP(G50,'GAL-CUB'!$A:$D,4,FALSE),IFERROR(VLOOKUP(G50,ESCOLTAS!$A:$F,6,FALSE),VLOOKUP(G50,SAÍDAS!$A:$B,2,FALSE)))</f>
        <v>#N/A</v>
      </c>
      <c r="F50" s="14">
        <v>12</v>
      </c>
      <c r="G50" s="15" t="str">
        <f>TERÇA!G65</f>
        <v>ROSEMBERG CANDIDO (PREDADOR/ PRETO VEIO)</v>
      </c>
    </row>
    <row r="51" spans="2:7" ht="14.25" thickTop="1" thickBot="1"/>
    <row r="52" spans="2:7" ht="14.25" thickTop="1" thickBot="1">
      <c r="B52" s="708" t="str">
        <f>QUARTA!B52</f>
        <v>SILMARA</v>
      </c>
      <c r="C52" s="709"/>
      <c r="D52" s="709"/>
      <c r="E52" s="46"/>
      <c r="F52" s="46"/>
      <c r="G52" s="27" t="str">
        <f ca="1">IF(WEEKDAY(B2,2)=5,"HOJE","SEXTA-FEIRA")</f>
        <v>SEXTA-FEIRA</v>
      </c>
    </row>
    <row r="53" spans="2:7" ht="14.25" thickTop="1" thickBot="1">
      <c r="B53" s="13" t="s">
        <v>812</v>
      </c>
      <c r="C53" s="13" t="s">
        <v>250</v>
      </c>
      <c r="D53" s="13" t="s">
        <v>435</v>
      </c>
      <c r="E53" s="13" t="s">
        <v>1178</v>
      </c>
      <c r="F53" s="13" t="s">
        <v>1802</v>
      </c>
      <c r="G53" s="13" t="s">
        <v>370</v>
      </c>
    </row>
    <row r="54" spans="2:7" ht="14.25" thickTop="1" thickBot="1">
      <c r="B54" s="14" t="e">
        <f>VLOOKUP(G54,'GAL-CUB'!$A:$A,2,FALSE)</f>
        <v>#N/A</v>
      </c>
      <c r="C54" s="14" t="e">
        <f>VLOOKUP(G54,'GAL-CUB'!$A:$B,3,FALSE)</f>
        <v>#N/A</v>
      </c>
      <c r="D54" s="14" t="e">
        <f>VLOOKUP(G54,'GAL-CUB'!$A:$J,11,FALSE)</f>
        <v>#N/A</v>
      </c>
      <c r="E54" s="14" t="str">
        <f>IFERROR(VLOOKUP(G54,'GAL-CUB'!$A:$D,4,FALSE),IFERROR(VLOOKUP(G54,ESCOLTAS!$A:$F,6,FALSE),VLOOKUP(G54,SAÍDAS!$A:$B,2,FALSE)))</f>
        <v>COLONIA</v>
      </c>
      <c r="F54" s="14">
        <v>1</v>
      </c>
      <c r="G54" s="15" t="str">
        <f>QUARTA!G54</f>
        <v>ADRIANO ARISTIDES SANTOS</v>
      </c>
    </row>
    <row r="55" spans="2:7" ht="14.25" thickTop="1" thickBot="1">
      <c r="B55" s="14" t="e">
        <f>VLOOKUP(G55,'GAL-CUB'!$A:$A,2,FALSE)</f>
        <v>#N/A</v>
      </c>
      <c r="C55" s="14" t="e">
        <f>VLOOKUP(G55,'GAL-CUB'!$A:$B,3,FALSE)</f>
        <v>#N/A</v>
      </c>
      <c r="D55" s="14" t="e">
        <f>VLOOKUP(G55,'GAL-CUB'!$A:$J,11,FALSE)</f>
        <v>#N/A</v>
      </c>
      <c r="E55" s="14" t="str">
        <f>IFERROR(VLOOKUP(G55,'GAL-CUB'!$A:$D,4,FALSE),IFERROR(VLOOKUP(G55,ESCOLTAS!$A:$F,6,FALSE),VLOOKUP(G55,SAÍDAS!$A:$B,2,FALSE)))</f>
        <v>UP</v>
      </c>
      <c r="F55" s="14">
        <v>2</v>
      </c>
      <c r="G55" s="15" t="str">
        <f>QUARTA!G55</f>
        <v>AMADEU FRANCISCO RIBAS</v>
      </c>
    </row>
    <row r="56" spans="2:7" ht="14.25" thickTop="1" thickBot="1">
      <c r="B56" s="14" t="e">
        <f>VLOOKUP(G56,'GAL-CUB'!$A:$A,2,FALSE)</f>
        <v>#N/A</v>
      </c>
      <c r="C56" s="14" t="e">
        <f>VLOOKUP(G56,'GAL-CUB'!$A:$B,3,FALSE)</f>
        <v>#N/A</v>
      </c>
      <c r="D56" s="14" t="e">
        <f>VLOOKUP(G56,'GAL-CUB'!$A:$J,11,FALSE)</f>
        <v>#N/A</v>
      </c>
      <c r="E56" s="14" t="str">
        <f>IFERROR(VLOOKUP(G56,'GAL-CUB'!$A:$D,4,FALSE),IFERROR(VLOOKUP(G56,ESCOLTAS!$A:$F,6,FALSE),VLOOKUP(G56,SAÍDAS!$A:$B,2,FALSE)))</f>
        <v>UP</v>
      </c>
      <c r="F56" s="14">
        <v>3</v>
      </c>
      <c r="G56" s="15" t="str">
        <f>QUARTA!G56</f>
        <v>DIEGO FAGUNDES</v>
      </c>
    </row>
    <row r="57" spans="2:7" ht="14.25" thickTop="1" thickBot="1">
      <c r="B57" s="14" t="e">
        <f>VLOOKUP(G57,'GAL-CUB'!$A:$A,2,FALSE)</f>
        <v>#N/A</v>
      </c>
      <c r="C57" s="14" t="e">
        <f>VLOOKUP(G57,'GAL-CUB'!$A:$B,3,FALSE)</f>
        <v>#N/A</v>
      </c>
      <c r="D57" s="14" t="e">
        <f>VLOOKUP(G57,'GAL-CUB'!$A:$J,11,FALSE)</f>
        <v>#N/A</v>
      </c>
      <c r="E57" s="14" t="e">
        <f>IFERROR(VLOOKUP(G57,'GAL-CUB'!$A:$D,4,FALSE),IFERROR(VLOOKUP(G57,ESCOLTAS!$A:$F,6,FALSE),VLOOKUP(G57,SAÍDAS!$A:$B,2,FALSE)))</f>
        <v>#N/A</v>
      </c>
      <c r="F57" s="14">
        <v>4</v>
      </c>
      <c r="G57" s="15" t="str">
        <f>QUARTA!G57</f>
        <v>FLAVIO DE JESUS MAZEIKA VAZ</v>
      </c>
    </row>
    <row r="58" spans="2:7" ht="14.25" thickTop="1" thickBot="1">
      <c r="B58" s="14" t="e">
        <f>VLOOKUP(G58,'GAL-CUB'!$A:$A,2,FALSE)</f>
        <v>#N/A</v>
      </c>
      <c r="C58" s="14" t="e">
        <f>VLOOKUP(G58,'GAL-CUB'!$A:$B,3,FALSE)</f>
        <v>#N/A</v>
      </c>
      <c r="D58" s="14" t="e">
        <f>VLOOKUP(G58,'GAL-CUB'!$A:$J,11,FALSE)</f>
        <v>#N/A</v>
      </c>
      <c r="E58" s="14" t="str">
        <f>IFERROR(VLOOKUP(G58,'GAL-CUB'!$A:$D,4,FALSE),IFERROR(VLOOKUP(G58,ESCOLTAS!$A:$F,6,FALSE),VLOOKUP(G58,SAÍDAS!$A:$B,2,FALSE)))</f>
        <v>CRAPG</v>
      </c>
      <c r="F58" s="14">
        <v>5</v>
      </c>
      <c r="G58" s="15" t="str">
        <f>QUARTA!G58</f>
        <v>JOCIMAR BORTOLIN</v>
      </c>
    </row>
    <row r="59" spans="2:7" ht="14.25" thickTop="1" thickBot="1">
      <c r="B59" s="14" t="e">
        <f>VLOOKUP(G59,'GAL-CUB'!$A:$A,2,FALSE)</f>
        <v>#N/A</v>
      </c>
      <c r="C59" s="14" t="e">
        <f>VLOOKUP(G59,'GAL-CUB'!$A:$B,3,FALSE)</f>
        <v>#N/A</v>
      </c>
      <c r="D59" s="14" t="e">
        <f>VLOOKUP(G59,'GAL-CUB'!$A:$J,11,FALSE)</f>
        <v>#N/A</v>
      </c>
      <c r="E59" s="14" t="e">
        <f>IFERROR(VLOOKUP(G59,'GAL-CUB'!$A:$D,4,FALSE),IFERROR(VLOOKUP(G59,ESCOLTAS!$A:$F,6,FALSE),VLOOKUP(G59,SAÍDAS!$A:$B,2,FALSE)))</f>
        <v>#N/A</v>
      </c>
      <c r="F59" s="14">
        <v>6</v>
      </c>
      <c r="G59" s="15" t="str">
        <f>QUARTA!G59</f>
        <v>JOSE AUGUSTO LORENCETTI (Bozo)</v>
      </c>
    </row>
    <row r="60" spans="2:7" ht="14.25" thickTop="1" thickBot="1">
      <c r="B60" s="14" t="e">
        <f>VLOOKUP(G60,'GAL-CUB'!$A:$A,2,FALSE)</f>
        <v>#N/A</v>
      </c>
      <c r="C60" s="14" t="e">
        <f>VLOOKUP(G60,'GAL-CUB'!$A:$B,3,FALSE)</f>
        <v>#N/A</v>
      </c>
      <c r="D60" s="14" t="e">
        <f>VLOOKUP(G60,'GAL-CUB'!$A:$J,11,FALSE)</f>
        <v>#N/A</v>
      </c>
      <c r="E60" s="14" t="str">
        <f>IFERROR(VLOOKUP(G60,'GAL-CUB'!$A:$D,4,FALSE),IFERROR(VLOOKUP(G60,ESCOLTAS!$A:$F,6,FALSE),VLOOKUP(G60,SAÍDAS!$A:$B,2,FALSE)))</f>
        <v>TORNOZELEIRA</v>
      </c>
      <c r="F60" s="14">
        <v>7</v>
      </c>
      <c r="G60" s="15" t="str">
        <f>QUARTA!G60</f>
        <v>LEANDRO APARECIDO FERNANDES</v>
      </c>
    </row>
    <row r="61" spans="2:7" ht="14.25" thickTop="1" thickBot="1">
      <c r="B61" s="14" t="e">
        <f>VLOOKUP(G61,'GAL-CUB'!$A:$A,2,FALSE)</f>
        <v>#N/A</v>
      </c>
      <c r="C61" s="14" t="e">
        <f>VLOOKUP(G61,'GAL-CUB'!$A:$B,3,FALSE)</f>
        <v>#N/A</v>
      </c>
      <c r="D61" s="14" t="e">
        <f>VLOOKUP(G61,'GAL-CUB'!$A:$J,11,FALSE)</f>
        <v>#N/A</v>
      </c>
      <c r="E61" s="14" t="e">
        <f>IFERROR(VLOOKUP(G61,'GAL-CUB'!$A:$D,4,FALSE),IFERROR(VLOOKUP(G61,ESCOLTAS!$A:$F,6,FALSE),VLOOKUP(G61,SAÍDAS!$A:$B,2,FALSE)))</f>
        <v>#N/A</v>
      </c>
      <c r="F61" s="14">
        <v>8</v>
      </c>
      <c r="G61" s="15" t="str">
        <f>QUARTA!G61</f>
        <v>LUAN CARNEIRO ALVES (Piraí)</v>
      </c>
    </row>
    <row r="62" spans="2:7" ht="14.25" thickTop="1" thickBot="1">
      <c r="B62" s="14" t="e">
        <f>VLOOKUP(G62,'GAL-CUB'!$A:$A,2,FALSE)</f>
        <v>#N/A</v>
      </c>
      <c r="C62" s="14" t="e">
        <f>VLOOKUP(G62,'GAL-CUB'!$A:$B,3,FALSE)</f>
        <v>#N/A</v>
      </c>
      <c r="D62" s="14" t="e">
        <f>VLOOKUP(G62,'GAL-CUB'!$A:$J,11,FALSE)</f>
        <v>#N/A</v>
      </c>
      <c r="E62" s="14" t="e">
        <f>IFERROR(VLOOKUP(G62,'GAL-CUB'!$A:$D,4,FALSE),IFERROR(VLOOKUP(G62,ESCOLTAS!$A:$F,6,FALSE),VLOOKUP(G62,SAÍDAS!$A:$B,2,FALSE)))</f>
        <v>#N/A</v>
      </c>
      <c r="F62" s="14">
        <v>9</v>
      </c>
      <c r="G62" s="15" t="str">
        <f>QUARTA!G62</f>
        <v>MARCIO DUBIELA</v>
      </c>
    </row>
    <row r="63" spans="2:7" ht="14.25" thickTop="1" thickBot="1">
      <c r="B63" s="14" t="e">
        <f>VLOOKUP(G63,'GAL-CUB'!$A:$A,2,FALSE)</f>
        <v>#N/A</v>
      </c>
      <c r="C63" s="14" t="e">
        <f>VLOOKUP(G63,'GAL-CUB'!$A:$B,3,FALSE)</f>
        <v>#N/A</v>
      </c>
      <c r="D63" s="14" t="e">
        <f>VLOOKUP(G63,'GAL-CUB'!$A:$J,11,FALSE)</f>
        <v>#N/A</v>
      </c>
      <c r="E63" s="14" t="str">
        <f>IFERROR(VLOOKUP(G63,'GAL-CUB'!$A:$D,4,FALSE),IFERROR(VLOOKUP(G63,ESCOLTAS!$A:$F,6,FALSE),VLOOKUP(G63,SAÍDAS!$A:$B,2,FALSE)))</f>
        <v>LAPA</v>
      </c>
      <c r="F63" s="14">
        <v>10</v>
      </c>
      <c r="G63" s="15" t="str">
        <f>QUARTA!G63</f>
        <v>RODINALDO DE JESUS DOBKE</v>
      </c>
    </row>
    <row r="64" spans="2:7" ht="14.25" thickTop="1" thickBot="1">
      <c r="B64" s="14" t="e">
        <f>VLOOKUP(G64,'GAL-CUB'!$A:$A,2,FALSE)</f>
        <v>#N/A</v>
      </c>
      <c r="C64" s="14" t="e">
        <f>VLOOKUP(G64,'GAL-CUB'!$A:$B,3,FALSE)</f>
        <v>#N/A</v>
      </c>
      <c r="D64" s="14" t="e">
        <f>VLOOKUP(G64,'GAL-CUB'!$A:$J,11,FALSE)</f>
        <v>#N/A</v>
      </c>
      <c r="E64" s="14" t="str">
        <f>IFERROR(VLOOKUP(G64,'GAL-CUB'!$A:$D,4,FALSE),IFERROR(VLOOKUP(G64,ESCOLTAS!$A:$F,6,FALSE),VLOOKUP(G64,SAÍDAS!$A:$B,2,FALSE)))</f>
        <v>CRAPG</v>
      </c>
      <c r="F64" s="14">
        <v>11</v>
      </c>
      <c r="G64" s="15" t="str">
        <f>QUARTA!G64</f>
        <v>JOAO CARLOS DOS SANTOS</v>
      </c>
    </row>
    <row r="65" spans="2:7" ht="14.25" thickTop="1" thickBot="1">
      <c r="B65" s="14" t="e">
        <f>VLOOKUP(G65,'GAL-CUB'!$A:$A,2,FALSE)</f>
        <v>#N/A</v>
      </c>
      <c r="C65" s="14" t="e">
        <f>VLOOKUP(G65,'GAL-CUB'!$A:$B,3,FALSE)</f>
        <v>#N/A</v>
      </c>
      <c r="D65" s="14" t="e">
        <f>VLOOKUP(G65,'GAL-CUB'!$A:$J,11,FALSE)</f>
        <v>#N/A</v>
      </c>
      <c r="E65" s="14" t="str">
        <f>IFERROR(VLOOKUP(G65,'GAL-CUB'!$A:$D,4,FALSE),IFERROR(VLOOKUP(G65,ESCOLTAS!$A:$F,6,FALSE),VLOOKUP(G65,SAÍDAS!$A:$B,2,FALSE)))</f>
        <v>CRAPG</v>
      </c>
      <c r="F65" s="14">
        <v>12</v>
      </c>
      <c r="G65" s="15" t="str">
        <f>QUARTA!G65</f>
        <v>PATRICK BUENO DE OLIVEIRA</v>
      </c>
    </row>
    <row r="66" spans="2:7" ht="13.5" thickTop="1">
      <c r="B66" s="84"/>
      <c r="C66" s="84"/>
      <c r="D66" s="84"/>
      <c r="E66" s="84"/>
      <c r="F66" s="84"/>
      <c r="G66" s="85"/>
    </row>
    <row r="67" spans="2:7">
      <c r="B67" s="710" t="s">
        <v>1781</v>
      </c>
      <c r="C67" s="710"/>
      <c r="D67" s="710"/>
      <c r="E67" s="710"/>
      <c r="F67" s="710"/>
      <c r="G67" s="710"/>
    </row>
    <row r="68" spans="2:7">
      <c r="B68" s="710"/>
      <c r="C68" s="710"/>
      <c r="D68" s="710"/>
      <c r="E68" s="710"/>
      <c r="F68" s="710"/>
      <c r="G68" s="710"/>
    </row>
    <row r="69" spans="2:7" ht="13.5" thickBot="1"/>
    <row r="70" spans="2:7" ht="14.25" thickTop="1" thickBot="1">
      <c r="B70" s="708" t="str">
        <f>SEGUNDA!B55</f>
        <v>ANDREA</v>
      </c>
      <c r="C70" s="709"/>
      <c r="D70" s="709"/>
      <c r="E70" s="46"/>
      <c r="F70" s="46"/>
      <c r="G70" s="27" t="str">
        <f ca="1">IF(WEEKDAY(B2,2)=5,"HOJE","SEXTA-FEIRA")</f>
        <v>SEXTA-FEIRA</v>
      </c>
    </row>
    <row r="71" spans="2:7" ht="14.25" thickTop="1" thickBot="1">
      <c r="B71" s="13" t="s">
        <v>812</v>
      </c>
      <c r="C71" s="13" t="s">
        <v>250</v>
      </c>
      <c r="D71" s="13" t="s">
        <v>435</v>
      </c>
      <c r="E71" s="13" t="s">
        <v>1178</v>
      </c>
      <c r="F71" s="13" t="s">
        <v>1802</v>
      </c>
      <c r="G71" s="13" t="s">
        <v>370</v>
      </c>
    </row>
    <row r="72" spans="2:7" ht="14.25" thickTop="1" thickBot="1">
      <c r="B72" s="14" t="e">
        <f>VLOOKUP(G72,'GAL-CUB'!$A:$A,2,FALSE)</f>
        <v>#N/A</v>
      </c>
      <c r="C72" s="14" t="e">
        <f>VLOOKUP(G72,'GAL-CUB'!$A:$B,3,FALSE)</f>
        <v>#N/A</v>
      </c>
      <c r="D72" s="14" t="e">
        <f>VLOOKUP(G72,'GAL-CUB'!$A:$J,11,FALSE)</f>
        <v>#N/A</v>
      </c>
      <c r="E72" s="14" t="str">
        <f>IFERROR(VLOOKUP(G72,'GAL-CUB'!$A:$D,4,FALSE),IFERROR(VLOOKUP(G72,ESCOLTAS!$A:$F,6,FALSE),VLOOKUP(G72,SAÍDAS!$A:$B,2,FALSE)))</f>
        <v>CRAPG</v>
      </c>
      <c r="F72" s="50">
        <v>1</v>
      </c>
      <c r="G72" s="18" t="str">
        <f>SEGUNDA!G57</f>
        <v>ANDERSON LUIS ROMUALDO DA CRUZ</v>
      </c>
    </row>
    <row r="73" spans="2:7" ht="14.25" thickTop="1" thickBot="1">
      <c r="B73" s="14" t="e">
        <f>VLOOKUP(G73,'GAL-CUB'!$A:$A,2,FALSE)</f>
        <v>#N/A</v>
      </c>
      <c r="C73" s="14" t="e">
        <f>VLOOKUP(G73,'GAL-CUB'!$A:$B,3,FALSE)</f>
        <v>#N/A</v>
      </c>
      <c r="D73" s="14" t="e">
        <f>VLOOKUP(G73,'GAL-CUB'!$A:$J,11,FALSE)</f>
        <v>#N/A</v>
      </c>
      <c r="E73" s="14" t="str">
        <f>IFERROR(VLOOKUP(G73,'GAL-CUB'!$A:$D,4,FALSE),IFERROR(VLOOKUP(G73,ESCOLTAS!$A:$F,6,FALSE),VLOOKUP(G73,SAÍDAS!$A:$B,2,FALSE)))</f>
        <v>CRAPG</v>
      </c>
      <c r="F73" s="14">
        <v>2</v>
      </c>
      <c r="G73" s="18" t="str">
        <f>SEGUNDA!G58</f>
        <v>ANTONIO NALCIO LOURENÇO PINTO</v>
      </c>
    </row>
    <row r="74" spans="2:7" ht="14.25" thickTop="1" thickBot="1">
      <c r="B74" s="14" t="e">
        <f>VLOOKUP(G74,'GAL-CUB'!$A:$A,2,FALSE)</f>
        <v>#N/A</v>
      </c>
      <c r="C74" s="14" t="e">
        <f>VLOOKUP(G74,'GAL-CUB'!$A:$B,3,FALSE)</f>
        <v>#N/A</v>
      </c>
      <c r="D74" s="14" t="e">
        <f>VLOOKUP(G74,'GAL-CUB'!$A:$J,11,FALSE)</f>
        <v>#N/A</v>
      </c>
      <c r="E74" s="14" t="str">
        <f>IFERROR(VLOOKUP(G74,'GAL-CUB'!$A:$D,4,FALSE),IFERROR(VLOOKUP(G74,ESCOLTAS!$A:$F,6,FALSE),VLOOKUP(G74,SAÍDAS!$A:$B,2,FALSE)))</f>
        <v>CRAPG</v>
      </c>
      <c r="F74" s="50">
        <v>3</v>
      </c>
      <c r="G74" s="18" t="str">
        <f>SEGUNDA!G59</f>
        <v>DIONE ROSINEI DA SILVA MOREIRA</v>
      </c>
    </row>
    <row r="75" spans="2:7" ht="14.25" thickTop="1" thickBot="1">
      <c r="B75" s="14" t="e">
        <f>VLOOKUP(G75,'GAL-CUB'!$A:$A,2,FALSE)</f>
        <v>#N/A</v>
      </c>
      <c r="C75" s="14" t="e">
        <f>VLOOKUP(G75,'GAL-CUB'!$A:$B,3,FALSE)</f>
        <v>#N/A</v>
      </c>
      <c r="D75" s="14" t="e">
        <f>VLOOKUP(G75,'GAL-CUB'!$A:$J,11,FALSE)</f>
        <v>#N/A</v>
      </c>
      <c r="E75" s="14" t="str">
        <f>IFERROR(VLOOKUP(G75,'GAL-CUB'!$A:$D,4,FALSE),IFERROR(VLOOKUP(G75,ESCOLTAS!$A:$F,6,FALSE),VLOOKUP(G75,SAÍDAS!$A:$B,2,FALSE)))</f>
        <v>CRAPG</v>
      </c>
      <c r="F75" s="50">
        <v>4</v>
      </c>
      <c r="G75" s="18" t="str">
        <f>SEGUNDA!G60</f>
        <v>CARLOS ALBERTO FRANCISCO DE MENEZES (Paulista/Dinho/Nene)</v>
      </c>
    </row>
    <row r="76" spans="2:7" ht="14.25" thickTop="1" thickBot="1">
      <c r="B76" s="14" t="e">
        <f>VLOOKUP(G76,'GAL-CUB'!$A:$A,2,FALSE)</f>
        <v>#N/A</v>
      </c>
      <c r="C76" s="14" t="e">
        <f>VLOOKUP(G76,'GAL-CUB'!$A:$B,3,FALSE)</f>
        <v>#N/A</v>
      </c>
      <c r="D76" s="14" t="e">
        <f>VLOOKUP(G76,'GAL-CUB'!$A:$J,11,FALSE)</f>
        <v>#N/A</v>
      </c>
      <c r="E76" s="14" t="e">
        <f>IFERROR(VLOOKUP(G76,'GAL-CUB'!$A:$D,4,FALSE),IFERROR(VLOOKUP(G76,ESCOLTAS!$A:$F,6,FALSE),VLOOKUP(G76,SAÍDAS!$A:$B,2,FALSE)))</f>
        <v>#N/A</v>
      </c>
      <c r="F76" s="14">
        <v>5</v>
      </c>
      <c r="G76" s="18" t="str">
        <f>SEGUNDA!G61</f>
        <v>CARLOS RODRIGO DOS SANTOS</v>
      </c>
    </row>
    <row r="77" spans="2:7" ht="14.25" thickTop="1" thickBot="1">
      <c r="B77" s="14" t="e">
        <f>VLOOKUP(G77,'GAL-CUB'!$A:$A,2,FALSE)</f>
        <v>#N/A</v>
      </c>
      <c r="C77" s="14" t="e">
        <f>VLOOKUP(G77,'GAL-CUB'!$A:$B,3,FALSE)</f>
        <v>#N/A</v>
      </c>
      <c r="D77" s="14" t="e">
        <f>VLOOKUP(G77,'GAL-CUB'!$A:$J,11,FALSE)</f>
        <v>#N/A</v>
      </c>
      <c r="E77" s="14" t="str">
        <f>IFERROR(VLOOKUP(G77,'GAL-CUB'!$A:$D,4,FALSE),IFERROR(VLOOKUP(G77,ESCOLTAS!$A:$F,6,FALSE),VLOOKUP(G77,SAÍDAS!$A:$B,2,FALSE)))</f>
        <v>CRAPG</v>
      </c>
      <c r="F77" s="50">
        <v>6</v>
      </c>
      <c r="G77" s="18" t="str">
        <f>SEGUNDA!G62</f>
        <v>EDSON MARÇAL</v>
      </c>
    </row>
    <row r="78" spans="2:7" ht="14.25" thickTop="1" thickBot="1">
      <c r="B78" s="14" t="e">
        <f>VLOOKUP(G78,'GAL-CUB'!$A:$A,2,FALSE)</f>
        <v>#N/A</v>
      </c>
      <c r="C78" s="14" t="e">
        <f>VLOOKUP(G78,'GAL-CUB'!$A:$B,3,FALSE)</f>
        <v>#N/A</v>
      </c>
      <c r="D78" s="14" t="e">
        <f>VLOOKUP(G78,'GAL-CUB'!$A:$J,11,FALSE)</f>
        <v>#N/A</v>
      </c>
      <c r="E78" s="14" t="e">
        <f>IFERROR(VLOOKUP(G78,'GAL-CUB'!$A:$D,4,FALSE),IFERROR(VLOOKUP(G78,ESCOLTAS!$A:$F,6,FALSE),VLOOKUP(G78,SAÍDAS!$A:$B,2,FALSE)))</f>
        <v>#N/A</v>
      </c>
      <c r="F78" s="50">
        <v>7</v>
      </c>
      <c r="G78" s="18" t="str">
        <f>SEGUNDA!G63</f>
        <v>JOSE DENILSON URBANECK (D2)</v>
      </c>
    </row>
    <row r="79" spans="2:7" ht="14.25" thickTop="1" thickBot="1">
      <c r="B79" s="14" t="e">
        <f>VLOOKUP(G79,'GAL-CUB'!$A:$A,2,FALSE)</f>
        <v>#N/A</v>
      </c>
      <c r="C79" s="14" t="e">
        <f>VLOOKUP(G79,'GAL-CUB'!$A:$B,3,FALSE)</f>
        <v>#N/A</v>
      </c>
      <c r="D79" s="14" t="e">
        <f>VLOOKUP(G79,'GAL-CUB'!$A:$J,11,FALSE)</f>
        <v>#N/A</v>
      </c>
      <c r="E79" s="14">
        <f>IFERROR(VLOOKUP(G79,'GAL-CUB'!$A:$D,4,FALSE),IFERROR(VLOOKUP(G79,ESCOLTAS!$A:$F,6,FALSE),VLOOKUP(G79,SAÍDAS!$A:$B,2,FALSE)))</f>
        <v>0</v>
      </c>
      <c r="F79" s="14">
        <v>8</v>
      </c>
      <c r="G79" s="18" t="str">
        <f>SEGUNDA!G64</f>
        <v>ODILON FERNANDO HILGEMBERG</v>
      </c>
    </row>
    <row r="80" spans="2:7" ht="14.25" thickTop="1" thickBot="1">
      <c r="B80" s="14" t="e">
        <f>VLOOKUP(G80,'GAL-CUB'!$A:$A,2,FALSE)</f>
        <v>#N/A</v>
      </c>
      <c r="C80" s="14" t="e">
        <f>VLOOKUP(G80,'GAL-CUB'!$A:$B,3,FALSE)</f>
        <v>#N/A</v>
      </c>
      <c r="D80" s="14" t="e">
        <f>VLOOKUP(G80,'GAL-CUB'!$A:$J,11,FALSE)</f>
        <v>#N/A</v>
      </c>
      <c r="E80" s="14" t="e">
        <f>IFERROR(VLOOKUP(G80,'GAL-CUB'!$A:$D,4,FALSE),IFERROR(VLOOKUP(G80,ESCOLTAS!$A:$F,6,FALSE),VLOOKUP(G80,SAÍDAS!$A:$B,2,FALSE)))</f>
        <v>#N/A</v>
      </c>
      <c r="F80" s="50">
        <v>9</v>
      </c>
      <c r="G80" s="18" t="str">
        <f>SEGUNDA!G65</f>
        <v>ROBINSON ALEX DOS SANTOS</v>
      </c>
    </row>
    <row r="81" spans="2:7" ht="14.25" thickTop="1" thickBot="1">
      <c r="B81" s="14" t="e">
        <f>VLOOKUP(G81,'GAL-CUB'!$A:$A,2,FALSE)</f>
        <v>#N/A</v>
      </c>
      <c r="C81" s="14" t="e">
        <f>VLOOKUP(G81,'GAL-CUB'!$A:$B,3,FALSE)</f>
        <v>#N/A</v>
      </c>
      <c r="D81" s="14" t="e">
        <f>VLOOKUP(G81,'GAL-CUB'!$A:$J,11,FALSE)</f>
        <v>#N/A</v>
      </c>
      <c r="E81" s="14" t="e">
        <f>IFERROR(VLOOKUP(G81,'GAL-CUB'!$A:$D,4,FALSE),IFERROR(VLOOKUP(G81,ESCOLTAS!$A:$F,6,FALSE),VLOOKUP(G81,SAÍDAS!$A:$B,2,FALSE)))</f>
        <v>#N/A</v>
      </c>
      <c r="F81" s="50">
        <v>10</v>
      </c>
      <c r="G81" s="18" t="str">
        <f>SEGUNDA!G66</f>
        <v>ROGERIO RODRIGUES (Buiu)</v>
      </c>
    </row>
    <row r="82" spans="2:7" ht="14.25" thickTop="1" thickBot="1">
      <c r="B82" s="14" t="e">
        <f>VLOOKUP(G82,'GAL-CUB'!$A:$A,2,FALSE)</f>
        <v>#N/A</v>
      </c>
      <c r="C82" s="14" t="e">
        <f>VLOOKUP(G82,'GAL-CUB'!$A:$B,3,FALSE)</f>
        <v>#N/A</v>
      </c>
      <c r="D82" s="14" t="e">
        <f>VLOOKUP(G82,'GAL-CUB'!$A:$J,11,FALSE)</f>
        <v>#N/A</v>
      </c>
      <c r="E82" s="14" t="e">
        <f>IFERROR(VLOOKUP(G82,'GAL-CUB'!$A:$D,4,FALSE),IFERROR(VLOOKUP(G82,ESCOLTAS!$A:$F,6,FALSE),VLOOKUP(G82,SAÍDAS!$A:$B,2,FALSE)))</f>
        <v>#N/A</v>
      </c>
      <c r="F82" s="50">
        <v>11</v>
      </c>
      <c r="G82" s="18" t="str">
        <f>SEGUNDA!G67</f>
        <v>THALIS WILLIAN DE RAMOS</v>
      </c>
    </row>
    <row r="83" spans="2:7" ht="14.25" thickTop="1" thickBot="1">
      <c r="B83" s="14" t="e">
        <f>VLOOKUP(G83,'GAL-CUB'!$A:$A,2,FALSE)</f>
        <v>#N/A</v>
      </c>
      <c r="C83" s="14" t="e">
        <f>VLOOKUP(G83,'GAL-CUB'!$A:$B,3,FALSE)</f>
        <v>#N/A</v>
      </c>
      <c r="D83" s="14" t="e">
        <f>VLOOKUP(G83,'GAL-CUB'!$A:$J,11,FALSE)</f>
        <v>#N/A</v>
      </c>
      <c r="E83" s="14" t="e">
        <f>IFERROR(VLOOKUP(G83,'GAL-CUB'!$A:$D,4,FALSE),IFERROR(VLOOKUP(G83,ESCOLTAS!$A:$F,6,FALSE),VLOOKUP(G83,SAÍDAS!$A:$B,2,FALSE)))</f>
        <v>#N/A</v>
      </c>
      <c r="F83" s="50">
        <v>12</v>
      </c>
      <c r="G83" s="18" t="str">
        <f>SEGUNDA!G68</f>
        <v>WILLIAN JUNIOR SILVEIRA DE BARROS (Kiko)</v>
      </c>
    </row>
    <row r="84" spans="2:7" ht="14.25" thickTop="1" thickBot="1"/>
    <row r="85" spans="2:7" ht="14.25" thickTop="1" thickBot="1">
      <c r="B85" s="708" t="str">
        <f>SEGUNDA!B85</f>
        <v>ROSALBA</v>
      </c>
      <c r="C85" s="709"/>
      <c r="D85" s="709"/>
      <c r="E85" s="46" t="str">
        <f>SEGUNDA!E85</f>
        <v>OK</v>
      </c>
      <c r="F85" s="46"/>
      <c r="G85" s="27" t="str">
        <f ca="1">IF(WEEKDAY(B2,2)=5,"HOJE","SEXTA-FEIRA")</f>
        <v>SEXTA-FEIRA</v>
      </c>
    </row>
    <row r="86" spans="2:7" ht="14.25" thickTop="1" thickBot="1">
      <c r="B86" s="13" t="s">
        <v>812</v>
      </c>
      <c r="C86" s="13" t="s">
        <v>250</v>
      </c>
      <c r="D86" s="13" t="s">
        <v>435</v>
      </c>
      <c r="E86" s="13" t="s">
        <v>1178</v>
      </c>
      <c r="F86" s="13" t="s">
        <v>1802</v>
      </c>
      <c r="G86" s="13" t="s">
        <v>370</v>
      </c>
    </row>
    <row r="87" spans="2:7" ht="14.25" thickTop="1" thickBot="1">
      <c r="B87" s="14" t="e">
        <f>VLOOKUP(G87,'GAL-CUB'!$A:$A,2,FALSE)</f>
        <v>#N/A</v>
      </c>
      <c r="C87" s="14" t="e">
        <f>VLOOKUP(G87,'GAL-CUB'!$A:$B,3,FALSE)</f>
        <v>#N/A</v>
      </c>
      <c r="D87" s="14" t="e">
        <f>VLOOKUP(G87,'GAL-CUB'!$A:$J,11,FALSE)</f>
        <v>#N/A</v>
      </c>
      <c r="E87" s="14" t="str">
        <f>IFERROR(VLOOKUP(G87,'GAL-CUB'!$A:$D,4,FALSE),IFERROR(VLOOKUP(G87,ESCOLTAS!$A:$F,6,FALSE),VLOOKUP(G87,SAÍDAS!$A:$B,2,FALSE)))</f>
        <v>CRAPG</v>
      </c>
      <c r="F87" s="14">
        <v>1</v>
      </c>
      <c r="G87" s="18" t="str">
        <f>SEGUNDA!G87</f>
        <v>ADILSON TEIXEIRA</v>
      </c>
    </row>
    <row r="88" spans="2:7" ht="14.25" thickTop="1" thickBot="1">
      <c r="B88" s="14" t="e">
        <f>VLOOKUP(G88,'GAL-CUB'!$A:$A,2,FALSE)</f>
        <v>#N/A</v>
      </c>
      <c r="C88" s="14" t="e">
        <f>VLOOKUP(G88,'GAL-CUB'!$A:$B,3,FALSE)</f>
        <v>#N/A</v>
      </c>
      <c r="D88" s="14" t="e">
        <f>VLOOKUP(G88,'GAL-CUB'!$A:$J,11,FALSE)</f>
        <v>#N/A</v>
      </c>
      <c r="E88" s="14" t="str">
        <f>IFERROR(VLOOKUP(G88,'GAL-CUB'!$A:$D,4,FALSE),IFERROR(VLOOKUP(G88,ESCOLTAS!$A:$F,6,FALSE),VLOOKUP(G88,SAÍDAS!$A:$B,2,FALSE)))</f>
        <v>UP</v>
      </c>
      <c r="F88" s="50">
        <v>2</v>
      </c>
      <c r="G88" s="18" t="str">
        <f>SEGUNDA!G88</f>
        <v>AMADEU FRANCISCO RIBAS</v>
      </c>
    </row>
    <row r="89" spans="2:7" ht="14.25" thickTop="1" thickBot="1">
      <c r="B89" s="14" t="e">
        <f>VLOOKUP(G89,'GAL-CUB'!$A:$A,2,FALSE)</f>
        <v>#N/A</v>
      </c>
      <c r="C89" s="14" t="e">
        <f>VLOOKUP(G89,'GAL-CUB'!$A:$B,3,FALSE)</f>
        <v>#N/A</v>
      </c>
      <c r="D89" s="14" t="e">
        <f>VLOOKUP(G89,'GAL-CUB'!$A:$J,11,FALSE)</f>
        <v>#N/A</v>
      </c>
      <c r="E89" s="14" t="e">
        <f>IFERROR(VLOOKUP(G89,'GAL-CUB'!$A:$D,4,FALSE),IFERROR(VLOOKUP(G89,ESCOLTAS!$A:$F,6,FALSE),VLOOKUP(G89,SAÍDAS!$A:$B,2,FALSE)))</f>
        <v>#N/A</v>
      </c>
      <c r="F89" s="50">
        <v>3</v>
      </c>
      <c r="G89" s="18" t="str">
        <f>SEGUNDA!G89</f>
        <v xml:space="preserve">EDSON BATISTA DOS SANTOS </v>
      </c>
    </row>
    <row r="90" spans="2:7" ht="14.25" thickTop="1" thickBot="1">
      <c r="B90" s="14" t="e">
        <f>VLOOKUP(G90,'GAL-CUB'!$A:$A,2,FALSE)</f>
        <v>#N/A</v>
      </c>
      <c r="C90" s="14" t="e">
        <f>VLOOKUP(G90,'GAL-CUB'!$A:$B,3,FALSE)</f>
        <v>#N/A</v>
      </c>
      <c r="D90" s="14" t="e">
        <f>VLOOKUP(G90,'GAL-CUB'!$A:$J,11,FALSE)</f>
        <v>#N/A</v>
      </c>
      <c r="E90" s="14" t="str">
        <f>IFERROR(VLOOKUP(G90,'GAL-CUB'!$A:$D,4,FALSE),IFERROR(VLOOKUP(G90,ESCOLTAS!$A:$F,6,FALSE),VLOOKUP(G90,SAÍDAS!$A:$B,2,FALSE)))</f>
        <v>Bonde CTBA</v>
      </c>
      <c r="F90" s="50">
        <v>4</v>
      </c>
      <c r="G90" s="18" t="str">
        <f>SEGUNDA!G90</f>
        <v>EMERSON CHACARSKI</v>
      </c>
    </row>
    <row r="91" spans="2:7" ht="14.25" thickTop="1" thickBot="1">
      <c r="B91" s="14" t="e">
        <f>VLOOKUP(G91,'GAL-CUB'!$A:$A,2,FALSE)</f>
        <v>#N/A</v>
      </c>
      <c r="C91" s="14" t="e">
        <f>VLOOKUP(G91,'GAL-CUB'!$A:$B,3,FALSE)</f>
        <v>#N/A</v>
      </c>
      <c r="D91" s="14" t="e">
        <f>VLOOKUP(G91,'GAL-CUB'!$A:$J,11,FALSE)</f>
        <v>#N/A</v>
      </c>
      <c r="E91" s="14" t="e">
        <f>IFERROR(VLOOKUP(G91,'GAL-CUB'!$A:$D,4,FALSE),IFERROR(VLOOKUP(G91,ESCOLTAS!$A:$F,6,FALSE),VLOOKUP(G91,SAÍDAS!$A:$B,2,FALSE)))</f>
        <v>#N/A</v>
      </c>
      <c r="F91" s="50">
        <v>5</v>
      </c>
      <c r="G91" s="18" t="str">
        <f>SEGUNDA!G91</f>
        <v>EVERSON LUIS DE LIMA (Chuck)</v>
      </c>
    </row>
    <row r="92" spans="2:7" ht="14.25" thickTop="1" thickBot="1">
      <c r="B92" s="14" t="e">
        <f>VLOOKUP(G92,'GAL-CUB'!$A:$A,2,FALSE)</f>
        <v>#N/A</v>
      </c>
      <c r="C92" s="14" t="e">
        <f>VLOOKUP(G92,'GAL-CUB'!$A:$B,3,FALSE)</f>
        <v>#N/A</v>
      </c>
      <c r="D92" s="14" t="e">
        <f>VLOOKUP(G92,'GAL-CUB'!$A:$J,11,FALSE)</f>
        <v>#N/A</v>
      </c>
      <c r="E92" s="14" t="e">
        <f>IFERROR(VLOOKUP(G92,'GAL-CUB'!$A:$D,4,FALSE),IFERROR(VLOOKUP(G92,ESCOLTAS!$A:$F,6,FALSE),VLOOKUP(G92,SAÍDAS!$A:$B,2,FALSE)))</f>
        <v>#N/A</v>
      </c>
      <c r="F92" s="14">
        <v>6</v>
      </c>
      <c r="G92" s="18" t="str">
        <f>SEGUNDA!G92</f>
        <v>FLAVIO DE JESUS MAZEIKA VAZ</v>
      </c>
    </row>
    <row r="93" spans="2:7" ht="14.25" thickTop="1" thickBot="1">
      <c r="B93" s="14" t="e">
        <f>VLOOKUP(G93,'GAL-CUB'!$A:$A,2,FALSE)</f>
        <v>#N/A</v>
      </c>
      <c r="C93" s="14" t="e">
        <f>VLOOKUP(G93,'GAL-CUB'!$A:$B,3,FALSE)</f>
        <v>#N/A</v>
      </c>
      <c r="D93" s="14" t="e">
        <f>VLOOKUP(G93,'GAL-CUB'!$A:$J,11,FALSE)</f>
        <v>#N/A</v>
      </c>
      <c r="E93" s="14" t="str">
        <f>IFERROR(VLOOKUP(G93,'GAL-CUB'!$A:$D,4,FALSE),IFERROR(VLOOKUP(G93,ESCOLTAS!$A:$F,6,FALSE),VLOOKUP(G93,SAÍDAS!$A:$B,2,FALSE)))</f>
        <v>CRAPG</v>
      </c>
      <c r="F93" s="50">
        <v>7</v>
      </c>
      <c r="G93" s="18" t="str">
        <f>SEGUNDA!G93</f>
        <v>MAIKON RODRIGUES DE CARVALHO</v>
      </c>
    </row>
    <row r="94" spans="2:7" ht="14.25" thickTop="1" thickBot="1">
      <c r="B94" s="14" t="e">
        <f>VLOOKUP(G94,'GAL-CUB'!$A:$A,2,FALSE)</f>
        <v>#N/A</v>
      </c>
      <c r="C94" s="14" t="e">
        <f>VLOOKUP(G94,'GAL-CUB'!$A:$B,3,FALSE)</f>
        <v>#N/A</v>
      </c>
      <c r="D94" s="14" t="e">
        <f>VLOOKUP(G94,'GAL-CUB'!$A:$J,11,FALSE)</f>
        <v>#N/A</v>
      </c>
      <c r="E94" s="14" t="e">
        <f>IFERROR(VLOOKUP(G94,'GAL-CUB'!$A:$D,4,FALSE),IFERROR(VLOOKUP(G94,ESCOLTAS!$A:$F,6,FALSE),VLOOKUP(G94,SAÍDAS!$A:$B,2,FALSE)))</f>
        <v>#N/A</v>
      </c>
      <c r="F94" s="50">
        <v>8</v>
      </c>
      <c r="G94" s="18" t="str">
        <f>SEGUNDA!G94</f>
        <v>MAURO DOS SANTOS (Índio)</v>
      </c>
    </row>
    <row r="95" spans="2:7" ht="14.25" thickTop="1" thickBot="1">
      <c r="B95" s="14" t="e">
        <f>VLOOKUP(G95,'GAL-CUB'!$A:$A,2,FALSE)</f>
        <v>#N/A</v>
      </c>
      <c r="C95" s="14" t="e">
        <f>VLOOKUP(G95,'GAL-CUB'!$A:$B,3,FALSE)</f>
        <v>#N/A</v>
      </c>
      <c r="D95" s="14" t="e">
        <f>VLOOKUP(G95,'GAL-CUB'!$A:$J,11,FALSE)</f>
        <v>#N/A</v>
      </c>
      <c r="E95" s="14">
        <f>IFERROR(VLOOKUP(G95,'GAL-CUB'!$A:$D,4,FALSE),IFERROR(VLOOKUP(G95,ESCOLTAS!$A:$F,6,FALSE),VLOOKUP(G95,SAÍDAS!$A:$B,2,FALSE)))</f>
        <v>0</v>
      </c>
      <c r="F95" s="14">
        <v>9</v>
      </c>
      <c r="G95" s="18" t="str">
        <f>SEGUNDA!G95</f>
        <v>RAFAEL ALVES (Seco)</v>
      </c>
    </row>
    <row r="96" spans="2:7" ht="14.25" thickTop="1" thickBot="1">
      <c r="B96" s="14" t="e">
        <f>VLOOKUP(G96,'GAL-CUB'!$A:$A,2,FALSE)</f>
        <v>#N/A</v>
      </c>
      <c r="C96" s="14" t="e">
        <f>VLOOKUP(G96,'GAL-CUB'!$A:$B,3,FALSE)</f>
        <v>#N/A</v>
      </c>
      <c r="D96" s="14" t="e">
        <f>VLOOKUP(G96,'GAL-CUB'!$A:$J,11,FALSE)</f>
        <v>#N/A</v>
      </c>
      <c r="E96" s="102" t="str">
        <f>IFERROR(VLOOKUP(G96,'GAL-CUB'!$A:$D,4,FALSE),IFERROR(VLOOKUP(G96,ESCOLTAS!$A:$F,6,FALSE),VLOOKUP(G96,SAÍDAS!$A:$B,2,FALSE)))</f>
        <v>CRAPG</v>
      </c>
      <c r="F96" s="102">
        <v>10</v>
      </c>
      <c r="G96" s="18" t="str">
        <f>SEGUNDA!G96</f>
        <v>RIVALDO CHAVES</v>
      </c>
    </row>
    <row r="97" spans="2:7" ht="14.25" thickTop="1" thickBot="1">
      <c r="B97" s="14" t="e">
        <f>VLOOKUP(G97,'GAL-CUB'!$A:$A,2,FALSE)</f>
        <v>#N/A</v>
      </c>
      <c r="C97" s="14" t="e">
        <f>VLOOKUP(G97,'GAL-CUB'!$A:$B,3,FALSE)</f>
        <v>#N/A</v>
      </c>
      <c r="D97" s="14" t="e">
        <f>VLOOKUP(G97,'GAL-CUB'!$A:$J,11,FALSE)</f>
        <v>#N/A</v>
      </c>
      <c r="E97" s="14" t="e">
        <f>IFERROR(VLOOKUP(G97,'GAL-CUB'!$A:$D,4,FALSE),IFERROR(VLOOKUP(G97,ESCOLTAS!$A:$F,6,FALSE),VLOOKUP(G97,SAÍDAS!$A:$B,2,FALSE)))</f>
        <v>#N/A</v>
      </c>
      <c r="F97" s="14">
        <v>11</v>
      </c>
      <c r="G97" s="18" t="str">
        <f>SEGUNDA!G97</f>
        <v>NILTON CESAR FERREIRA PEDROSO</v>
      </c>
    </row>
    <row r="98" spans="2:7" ht="14.25" thickTop="1" thickBot="1">
      <c r="B98" s="14" t="e">
        <f>VLOOKUP(G98,'GAL-CUB'!$A:$A,2,FALSE)</f>
        <v>#N/A</v>
      </c>
      <c r="C98" s="14" t="e">
        <f>VLOOKUP(G98,'GAL-CUB'!$A:$B,3,FALSE)</f>
        <v>#N/A</v>
      </c>
      <c r="D98" s="14" t="e">
        <f>VLOOKUP(G98,'GAL-CUB'!$A:$J,11,FALSE)</f>
        <v>#N/A</v>
      </c>
      <c r="E98" s="14" t="e">
        <f>IFERROR(VLOOKUP(G98,'GAL-CUB'!$A:$D,4,FALSE),IFERROR(VLOOKUP(G98,ESCOLTAS!$A:$F,6,FALSE),VLOOKUP(G98,SAÍDAS!$A:$B,2,FALSE)))</f>
        <v>#N/A</v>
      </c>
      <c r="F98" s="14">
        <v>12</v>
      </c>
      <c r="G98" s="18" t="str">
        <f>SEGUNDA!G98</f>
        <v>WILLIAN JOSE MESSIAS SOARES</v>
      </c>
    </row>
    <row r="99" spans="2:7" ht="14.25" thickTop="1" thickBot="1"/>
    <row r="100" spans="2:7" ht="14.25" thickTop="1" thickBot="1">
      <c r="B100" s="708" t="str">
        <f>TERÇA!B130</f>
        <v>MATILDE</v>
      </c>
      <c r="C100" s="709"/>
      <c r="D100" s="709"/>
      <c r="E100" s="46" t="str">
        <f>TERÇA!E130</f>
        <v>OK</v>
      </c>
      <c r="F100" s="46"/>
      <c r="G100" s="27" t="str">
        <f ca="1">IF(WEEKDAY(B2,2)=5,"HOJE","SEXTA-FEIRA")</f>
        <v>SEXTA-FEIRA</v>
      </c>
    </row>
    <row r="101" spans="2:7" ht="14.25" thickTop="1" thickBot="1">
      <c r="B101" s="13" t="s">
        <v>812</v>
      </c>
      <c r="C101" s="13" t="s">
        <v>250</v>
      </c>
      <c r="D101" s="13" t="s">
        <v>435</v>
      </c>
      <c r="E101" s="13" t="s">
        <v>1178</v>
      </c>
      <c r="F101" s="13" t="s">
        <v>1802</v>
      </c>
      <c r="G101" s="13" t="s">
        <v>370</v>
      </c>
    </row>
    <row r="102" spans="2:7" ht="14.25" thickTop="1" thickBot="1">
      <c r="B102" s="14" t="e">
        <f>VLOOKUP(G102,'GAL-CUB'!$A:$A,2,FALSE)</f>
        <v>#N/A</v>
      </c>
      <c r="C102" s="14" t="e">
        <f>VLOOKUP(G102,'GAL-CUB'!$A:$B,3,FALSE)</f>
        <v>#N/A</v>
      </c>
      <c r="D102" s="14" t="e">
        <f>VLOOKUP(G102,'GAL-CUB'!$A:$J,11,FALSE)</f>
        <v>#N/A</v>
      </c>
      <c r="E102" s="14" t="str">
        <f>IFERROR(VLOOKUP(G102,'GAL-CUB'!$A:$D,4,FALSE),IFERROR(VLOOKUP(G102,ESCOLTAS!$A:$F,6,FALSE),VLOOKUP(G102,SAÍDAS!$A:$B,2,FALSE)))</f>
        <v>CRAPG</v>
      </c>
      <c r="F102" s="14">
        <v>1</v>
      </c>
      <c r="G102" s="15" t="str">
        <f>TERÇA!G132</f>
        <v>ADAIR FERNANDES MACHADO</v>
      </c>
    </row>
    <row r="103" spans="2:7" ht="14.25" thickTop="1" thickBot="1">
      <c r="B103" s="14" t="e">
        <f>VLOOKUP(G103,'GAL-CUB'!$A:$A,2,FALSE)</f>
        <v>#N/A</v>
      </c>
      <c r="C103" s="14" t="e">
        <f>VLOOKUP(G103,'GAL-CUB'!$A:$B,3,FALSE)</f>
        <v>#N/A</v>
      </c>
      <c r="D103" s="14" t="e">
        <f>VLOOKUP(G103,'GAL-CUB'!$A:$J,11,FALSE)</f>
        <v>#N/A</v>
      </c>
      <c r="E103" s="14" t="e">
        <f>IFERROR(VLOOKUP(G103,'GAL-CUB'!$A:$D,4,FALSE),IFERROR(VLOOKUP(G103,ESCOLTAS!$A:$F,6,FALSE),VLOOKUP(G103,SAÍDAS!$A:$B,2,FALSE)))</f>
        <v>#N/A</v>
      </c>
      <c r="F103" s="14">
        <v>2</v>
      </c>
      <c r="G103" s="15" t="str">
        <f>TERÇA!G133</f>
        <v>ANGELO RODRIGO RIBEIRO DOS SANTOS (Corvo)</v>
      </c>
    </row>
    <row r="104" spans="2:7" ht="14.25" thickTop="1" thickBot="1">
      <c r="B104" s="14" t="e">
        <f>VLOOKUP(G104,'GAL-CUB'!$A:$A,2,FALSE)</f>
        <v>#N/A</v>
      </c>
      <c r="C104" s="14" t="e">
        <f>VLOOKUP(G104,'GAL-CUB'!$A:$B,3,FALSE)</f>
        <v>#N/A</v>
      </c>
      <c r="D104" s="14" t="e">
        <f>VLOOKUP(G104,'GAL-CUB'!$A:$J,11,FALSE)</f>
        <v>#N/A</v>
      </c>
      <c r="E104" s="14" t="e">
        <f>IFERROR(VLOOKUP(G104,'GAL-CUB'!$A:$D,4,FALSE),IFERROR(VLOOKUP(G104,ESCOLTAS!$A:$F,6,FALSE),VLOOKUP(G104,SAÍDAS!$A:$B,2,FALSE)))</f>
        <v>#N/A</v>
      </c>
      <c r="F104" s="14">
        <v>3</v>
      </c>
      <c r="G104" s="15" t="str">
        <f>TERÇA!G134</f>
        <v>DANIEL DOS SANTOS</v>
      </c>
    </row>
    <row r="105" spans="2:7" ht="14.25" thickTop="1" thickBot="1">
      <c r="B105" s="14" t="e">
        <f>VLOOKUP(G105,'GAL-CUB'!$A:$A,2,FALSE)</f>
        <v>#N/A</v>
      </c>
      <c r="C105" s="14" t="e">
        <f>VLOOKUP(G105,'GAL-CUB'!$A:$B,3,FALSE)</f>
        <v>#N/A</v>
      </c>
      <c r="D105" s="14" t="e">
        <f>VLOOKUP(G105,'GAL-CUB'!$A:$J,11,FALSE)</f>
        <v>#N/A</v>
      </c>
      <c r="E105" s="14" t="str">
        <f>IFERROR(VLOOKUP(G105,'GAL-CUB'!$A:$D,4,FALSE),IFERROR(VLOOKUP(G105,ESCOLTAS!$A:$F,6,FALSE),VLOOKUP(G105,SAÍDAS!$A:$B,2,FALSE)))</f>
        <v>CRAPG</v>
      </c>
      <c r="F105" s="14">
        <v>4</v>
      </c>
      <c r="G105" s="15" t="str">
        <f>TERÇA!G135</f>
        <v>FERNANDO KETEMPS</v>
      </c>
    </row>
    <row r="106" spans="2:7" ht="14.25" thickTop="1" thickBot="1">
      <c r="B106" s="14" t="e">
        <f>VLOOKUP(G106,'GAL-CUB'!$A:$A,2,FALSE)</f>
        <v>#N/A</v>
      </c>
      <c r="C106" s="14" t="e">
        <f>VLOOKUP(G106,'GAL-CUB'!$A:$B,3,FALSE)</f>
        <v>#N/A</v>
      </c>
      <c r="D106" s="14" t="e">
        <f>VLOOKUP(G106,'GAL-CUB'!$A:$J,11,FALSE)</f>
        <v>#N/A</v>
      </c>
      <c r="E106" s="14" t="str">
        <f>IFERROR(VLOOKUP(G106,'GAL-CUB'!$A:$D,4,FALSE),IFERROR(VLOOKUP(G106,ESCOLTAS!$A:$F,6,FALSE),VLOOKUP(G106,SAÍDAS!$A:$B,2,FALSE)))</f>
        <v>Bonde CTBA</v>
      </c>
      <c r="F106" s="14">
        <v>5</v>
      </c>
      <c r="G106" s="15" t="str">
        <f>TERÇA!G136</f>
        <v>IZIDIO CARLOS</v>
      </c>
    </row>
    <row r="107" spans="2:7" ht="14.25" thickTop="1" thickBot="1">
      <c r="B107" s="14" t="e">
        <f>VLOOKUP(G107,'GAL-CUB'!$A:$A,2,FALSE)</f>
        <v>#N/A</v>
      </c>
      <c r="C107" s="14" t="e">
        <f>VLOOKUP(G107,'GAL-CUB'!$A:$B,3,FALSE)</f>
        <v>#N/A</v>
      </c>
      <c r="D107" s="14" t="e">
        <f>VLOOKUP(G107,'GAL-CUB'!$A:$J,11,FALSE)</f>
        <v>#N/A</v>
      </c>
      <c r="E107" s="14" t="e">
        <f>IFERROR(VLOOKUP(G107,'GAL-CUB'!$A:$D,4,FALSE),IFERROR(VLOOKUP(G107,ESCOLTAS!$A:$F,6,FALSE),VLOOKUP(G107,SAÍDAS!$A:$B,2,FALSE)))</f>
        <v>#N/A</v>
      </c>
      <c r="F107" s="14">
        <v>6</v>
      </c>
      <c r="G107" s="15" t="str">
        <f>TERÇA!G137</f>
        <v>JOAO MARIA DOS SANTOS</v>
      </c>
    </row>
    <row r="108" spans="2:7" ht="14.25" thickTop="1" thickBot="1">
      <c r="B108" s="14" t="e">
        <f>VLOOKUP(G108,'GAL-CUB'!$A:$A,2,FALSE)</f>
        <v>#N/A</v>
      </c>
      <c r="C108" s="14" t="e">
        <f>VLOOKUP(G108,'GAL-CUB'!$A:$B,3,FALSE)</f>
        <v>#N/A</v>
      </c>
      <c r="D108" s="14" t="e">
        <f>VLOOKUP(G108,'GAL-CUB'!$A:$J,11,FALSE)</f>
        <v>#N/A</v>
      </c>
      <c r="E108" s="14" t="e">
        <f>IFERROR(VLOOKUP(G108,'GAL-CUB'!$A:$D,4,FALSE),IFERROR(VLOOKUP(G108,ESCOLTAS!$A:$F,6,FALSE),VLOOKUP(G108,SAÍDAS!$A:$B,2,FALSE)))</f>
        <v>#N/A</v>
      </c>
      <c r="F108" s="14">
        <v>7</v>
      </c>
      <c r="G108" s="15" t="str">
        <f>TERÇA!G138</f>
        <v>JOAO MARIA SCHNEIDER</v>
      </c>
    </row>
    <row r="109" spans="2:7" ht="14.25" thickTop="1" thickBot="1">
      <c r="B109" s="14" t="e">
        <f>VLOOKUP(G109,'GAL-CUB'!$A:$A,2,FALSE)</f>
        <v>#N/A</v>
      </c>
      <c r="C109" s="14" t="e">
        <f>VLOOKUP(G109,'GAL-CUB'!$A:$B,3,FALSE)</f>
        <v>#N/A</v>
      </c>
      <c r="D109" s="14" t="e">
        <f>VLOOKUP(G109,'GAL-CUB'!$A:$J,11,FALSE)</f>
        <v>#N/A</v>
      </c>
      <c r="E109" s="14" t="str">
        <f>IFERROR(VLOOKUP(G109,'GAL-CUB'!$A:$D,4,FALSE),IFERROR(VLOOKUP(G109,ESCOLTAS!$A:$F,6,FALSE),VLOOKUP(G109,SAÍDAS!$A:$B,2,FALSE)))</f>
        <v>CRAPG</v>
      </c>
      <c r="F109" s="14">
        <v>8</v>
      </c>
      <c r="G109" s="15" t="str">
        <f>TERÇA!G139</f>
        <v>JOSE LEANDRO DE ANDRADE</v>
      </c>
    </row>
    <row r="110" spans="2:7" ht="14.25" thickTop="1" thickBot="1">
      <c r="B110" s="14" t="e">
        <f>VLOOKUP(G110,'GAL-CUB'!$A:$A,2,FALSE)</f>
        <v>#N/A</v>
      </c>
      <c r="C110" s="14" t="e">
        <f>VLOOKUP(G110,'GAL-CUB'!$A:$B,3,FALSE)</f>
        <v>#N/A</v>
      </c>
      <c r="D110" s="14" t="e">
        <f>VLOOKUP(G110,'GAL-CUB'!$A:$J,11,FALSE)</f>
        <v>#N/A</v>
      </c>
      <c r="E110" s="14" t="str">
        <f>IFERROR(VLOOKUP(G110,'GAL-CUB'!$A:$D,4,FALSE),IFERROR(VLOOKUP(G110,ESCOLTAS!$A:$F,6,FALSE),VLOOKUP(G110,SAÍDAS!$A:$B,2,FALSE)))</f>
        <v>CRAPG</v>
      </c>
      <c r="F110" s="14">
        <v>9</v>
      </c>
      <c r="G110" s="15" t="str">
        <f>TERÇA!G140</f>
        <v>LEANDRO NOGUEIRA (Tornado)</v>
      </c>
    </row>
    <row r="111" spans="2:7" ht="14.25" thickTop="1" thickBot="1">
      <c r="B111" s="14" t="e">
        <f>VLOOKUP(G111,'GAL-CUB'!$A:$A,2,FALSE)</f>
        <v>#N/A</v>
      </c>
      <c r="C111" s="14" t="e">
        <f>VLOOKUP(G111,'GAL-CUB'!$A:$B,3,FALSE)</f>
        <v>#N/A</v>
      </c>
      <c r="D111" s="14" t="e">
        <f>VLOOKUP(G111,'GAL-CUB'!$A:$J,11,FALSE)</f>
        <v>#N/A</v>
      </c>
      <c r="E111" s="14" t="str">
        <f>IFERROR(VLOOKUP(G111,'GAL-CUB'!$A:$D,4,FALSE),IFERROR(VLOOKUP(G111,ESCOLTAS!$A:$F,6,FALSE),VLOOKUP(G111,SAÍDAS!$A:$B,2,FALSE)))</f>
        <v>CRAPG</v>
      </c>
      <c r="F111" s="14">
        <v>10</v>
      </c>
      <c r="G111" s="15" t="str">
        <f>TERÇA!G141</f>
        <v>MARLON CARDOSO</v>
      </c>
    </row>
    <row r="112" spans="2:7" ht="14.25" thickTop="1" thickBot="1">
      <c r="B112" s="14" t="e">
        <f>VLOOKUP(G112,'GAL-CUB'!$A:$A,2,FALSE)</f>
        <v>#N/A</v>
      </c>
      <c r="C112" s="14" t="e">
        <f>VLOOKUP(G112,'GAL-CUB'!$A:$B,3,FALSE)</f>
        <v>#N/A</v>
      </c>
      <c r="D112" s="14" t="e">
        <f>VLOOKUP(G112,'GAL-CUB'!$A:$J,11,FALSE)</f>
        <v>#N/A</v>
      </c>
      <c r="E112" s="14" t="str">
        <f>IFERROR(VLOOKUP(G112,'GAL-CUB'!$A:$D,4,FALSE),IFERROR(VLOOKUP(G112,ESCOLTAS!$A:$F,6,FALSE),VLOOKUP(G112,SAÍDAS!$A:$B,2,FALSE)))</f>
        <v>CRAPG</v>
      </c>
      <c r="F112" s="14">
        <v>11</v>
      </c>
      <c r="G112" s="15" t="str">
        <f>TERÇA!G142</f>
        <v>PAULO DO CARMO DE MELO</v>
      </c>
    </row>
    <row r="113" spans="2:7" ht="14.25" thickTop="1" thickBot="1">
      <c r="B113" s="14" t="e">
        <f>VLOOKUP(G113,'GAL-CUB'!$A:$A,2,FALSE)</f>
        <v>#N/A</v>
      </c>
      <c r="C113" s="14" t="e">
        <f>VLOOKUP(G113,'GAL-CUB'!$A:$B,3,FALSE)</f>
        <v>#N/A</v>
      </c>
      <c r="D113" s="14" t="e">
        <f>VLOOKUP(G113,'GAL-CUB'!$A:$J,11,FALSE)</f>
        <v>#N/A</v>
      </c>
      <c r="E113" s="14" t="str">
        <f>IFERROR(VLOOKUP(G113,'GAL-CUB'!$A:$D,4,FALSE),IFERROR(VLOOKUP(G113,ESCOLTAS!$A:$F,6,FALSE),VLOOKUP(G113,SAÍDAS!$A:$B,2,FALSE)))</f>
        <v>CRAPG</v>
      </c>
      <c r="F113" s="14">
        <v>12</v>
      </c>
      <c r="G113" s="15" t="str">
        <f>TERÇA!G143</f>
        <v>ROBSON RODRIGO DOS SANTOS (Robinho)</v>
      </c>
    </row>
    <row r="114" spans="2:7" ht="14.25" thickTop="1" thickBot="1"/>
    <row r="115" spans="2:7" ht="14.25" thickTop="1" thickBot="1">
      <c r="B115" s="708" t="str">
        <f>QUARTA!B129</f>
        <v>VALERIA</v>
      </c>
      <c r="C115" s="709"/>
      <c r="D115" s="709"/>
      <c r="E115" s="46"/>
      <c r="F115" s="46"/>
      <c r="G115" s="27" t="e">
        <f>IF(WEEKDAY(B17,2)=5,"HOJE","SEXTA-FEIRA")</f>
        <v>#N/A</v>
      </c>
    </row>
    <row r="116" spans="2:7" ht="14.25" thickTop="1" thickBot="1">
      <c r="B116" s="13" t="s">
        <v>812</v>
      </c>
      <c r="C116" s="13" t="s">
        <v>250</v>
      </c>
      <c r="D116" s="13" t="s">
        <v>435</v>
      </c>
      <c r="E116" s="13" t="s">
        <v>1178</v>
      </c>
      <c r="F116" s="13" t="s">
        <v>1802</v>
      </c>
      <c r="G116" s="13" t="s">
        <v>370</v>
      </c>
    </row>
    <row r="117" spans="2:7" ht="14.25" thickTop="1" thickBot="1">
      <c r="B117" s="14" t="e">
        <f>VLOOKUP(G117,'GAL-CUB'!$A:$A,2,FALSE)</f>
        <v>#N/A</v>
      </c>
      <c r="C117" s="14" t="e">
        <f>VLOOKUP(G117,'GAL-CUB'!$A:$B,3,FALSE)</f>
        <v>#N/A</v>
      </c>
      <c r="D117" s="14" t="e">
        <f>VLOOKUP(G117,'GAL-CUB'!$A:$J,11,FALSE)</f>
        <v>#N/A</v>
      </c>
      <c r="E117" s="14" t="str">
        <f>IFERROR(VLOOKUP(G117,'GAL-CUB'!$A:$D,4,FALSE),IFERROR(VLOOKUP(G117,ESCOLTAS!$A:$F,6,FALSE),VLOOKUP(G117,SAÍDAS!$A:$B,2,FALSE)))</f>
        <v>CRAPG</v>
      </c>
      <c r="F117" s="14">
        <v>1</v>
      </c>
      <c r="G117" s="15" t="str">
        <f>QUARTA!G131</f>
        <v>ADILSON BERNARDO</v>
      </c>
    </row>
    <row r="118" spans="2:7" ht="14.25" thickTop="1" thickBot="1">
      <c r="B118" s="14" t="e">
        <f>VLOOKUP(G118,'GAL-CUB'!$A:$A,2,FALSE)</f>
        <v>#N/A</v>
      </c>
      <c r="C118" s="14" t="e">
        <f>VLOOKUP(G118,'GAL-CUB'!$A:$B,3,FALSE)</f>
        <v>#N/A</v>
      </c>
      <c r="D118" s="14" t="e">
        <f>VLOOKUP(G118,'GAL-CUB'!$A:$J,11,FALSE)</f>
        <v>#N/A</v>
      </c>
      <c r="E118" s="14" t="e">
        <f>IFERROR(VLOOKUP(G118,'GAL-CUB'!$A:$D,4,FALSE),IFERROR(VLOOKUP(G118,ESCOLTAS!$A:$F,6,FALSE),VLOOKUP(G118,SAÍDAS!$A:$B,2,FALSE)))</f>
        <v>#N/A</v>
      </c>
      <c r="F118" s="14">
        <v>2</v>
      </c>
      <c r="G118" s="15" t="str">
        <f>QUARTA!G132</f>
        <v>CARLOS HENRIQUE R. BORGES DE ANDRADE</v>
      </c>
    </row>
    <row r="119" spans="2:7" ht="14.25" thickTop="1" thickBot="1">
      <c r="B119" s="14" t="e">
        <f>VLOOKUP(G119,'GAL-CUB'!$A:$A,2,FALSE)</f>
        <v>#N/A</v>
      </c>
      <c r="C119" s="14" t="e">
        <f>VLOOKUP(G119,'GAL-CUB'!$A:$B,3,FALSE)</f>
        <v>#N/A</v>
      </c>
      <c r="D119" s="14" t="e">
        <f>VLOOKUP(G119,'GAL-CUB'!$A:$J,11,FALSE)</f>
        <v>#N/A</v>
      </c>
      <c r="E119" s="14" t="e">
        <f>IFERROR(VLOOKUP(G119,'GAL-CUB'!$A:$D,4,FALSE),IFERROR(VLOOKUP(G119,ESCOLTAS!$A:$F,6,FALSE),VLOOKUP(G119,SAÍDAS!$A:$B,2,FALSE)))</f>
        <v>#N/A</v>
      </c>
      <c r="F119" s="14">
        <v>3</v>
      </c>
      <c r="G119" s="15" t="str">
        <f>QUARTA!G133</f>
        <v>GILSON CESAR GOMES</v>
      </c>
    </row>
    <row r="120" spans="2:7" ht="14.25" thickTop="1" thickBot="1">
      <c r="B120" s="14" t="e">
        <f>VLOOKUP(G120,'GAL-CUB'!$A:$A,2,FALSE)</f>
        <v>#N/A</v>
      </c>
      <c r="C120" s="14" t="e">
        <f>VLOOKUP(G120,'GAL-CUB'!$A:$B,3,FALSE)</f>
        <v>#N/A</v>
      </c>
      <c r="D120" s="14" t="e">
        <f>VLOOKUP(G120,'GAL-CUB'!$A:$J,11,FALSE)</f>
        <v>#N/A</v>
      </c>
      <c r="E120" s="14" t="e">
        <f>IFERROR(VLOOKUP(G120,'GAL-CUB'!$A:$D,4,FALSE),IFERROR(VLOOKUP(G120,ESCOLTAS!$A:$F,6,FALSE),VLOOKUP(G120,SAÍDAS!$A:$B,2,FALSE)))</f>
        <v>#N/A</v>
      </c>
      <c r="F120" s="14">
        <v>4</v>
      </c>
      <c r="G120" s="15" t="str">
        <f>QUARTA!G134</f>
        <v>JOAO MALETZ (Lagarto)</v>
      </c>
    </row>
    <row r="121" spans="2:7" ht="14.25" thickTop="1" thickBot="1">
      <c r="B121" s="14" t="e">
        <f>VLOOKUP(G121,'GAL-CUB'!$A:$A,2,FALSE)</f>
        <v>#N/A</v>
      </c>
      <c r="C121" s="14" t="e">
        <f>VLOOKUP(G121,'GAL-CUB'!$A:$B,3,FALSE)</f>
        <v>#N/A</v>
      </c>
      <c r="D121" s="14" t="e">
        <f>VLOOKUP(G121,'GAL-CUB'!$A:$J,11,FALSE)</f>
        <v>#N/A</v>
      </c>
      <c r="E121" s="14" t="e">
        <f>IFERROR(VLOOKUP(G121,'GAL-CUB'!$A:$D,4,FALSE),IFERROR(VLOOKUP(G121,ESCOLTAS!$A:$F,6,FALSE),VLOOKUP(G121,SAÍDAS!$A:$B,2,FALSE)))</f>
        <v>#N/A</v>
      </c>
      <c r="F121" s="14">
        <v>5</v>
      </c>
      <c r="G121" s="15" t="str">
        <f>QUARTA!G135</f>
        <v>JORGE TADEU MACHADO GUSKI</v>
      </c>
    </row>
    <row r="122" spans="2:7" ht="14.25" thickTop="1" thickBot="1">
      <c r="B122" s="14" t="e">
        <f>VLOOKUP(G122,'GAL-CUB'!$A:$A,2,FALSE)</f>
        <v>#N/A</v>
      </c>
      <c r="C122" s="14" t="e">
        <f>VLOOKUP(G122,'GAL-CUB'!$A:$B,3,FALSE)</f>
        <v>#N/A</v>
      </c>
      <c r="D122" s="14" t="e">
        <f>VLOOKUP(G122,'GAL-CUB'!$A:$J,11,FALSE)</f>
        <v>#N/A</v>
      </c>
      <c r="E122" s="14" t="str">
        <f>IFERROR(VLOOKUP(G122,'GAL-CUB'!$A:$D,4,FALSE),IFERROR(VLOOKUP(G122,ESCOLTAS!$A:$F,6,FALSE),VLOOKUP(G122,SAÍDAS!$A:$B,2,FALSE)))</f>
        <v>CRAPG</v>
      </c>
      <c r="F122" s="14">
        <v>6</v>
      </c>
      <c r="G122" s="15" t="str">
        <f>QUARTA!G136</f>
        <v>JOSE LAURI PALHANO</v>
      </c>
    </row>
    <row r="123" spans="2:7" ht="14.25" thickTop="1" thickBot="1">
      <c r="B123" s="14" t="e">
        <f>VLOOKUP(G123,'GAL-CUB'!$A:$A,2,FALSE)</f>
        <v>#N/A</v>
      </c>
      <c r="C123" s="14" t="e">
        <f>VLOOKUP(G123,'GAL-CUB'!$A:$B,3,FALSE)</f>
        <v>#N/A</v>
      </c>
      <c r="D123" s="14" t="e">
        <f>VLOOKUP(G123,'GAL-CUB'!$A:$J,11,FALSE)</f>
        <v>#N/A</v>
      </c>
      <c r="E123" s="14" t="str">
        <f>IFERROR(VLOOKUP(G123,'GAL-CUB'!$A:$D,4,FALSE),IFERROR(VLOOKUP(G123,ESCOLTAS!$A:$F,6,FALSE),VLOOKUP(G123,SAÍDAS!$A:$B,2,FALSE)))</f>
        <v>PIG</v>
      </c>
      <c r="F123" s="14">
        <v>7</v>
      </c>
      <c r="G123" s="15" t="str">
        <f>QUARTA!G137</f>
        <v>LUCIANO ANTONIO LACERDA</v>
      </c>
    </row>
    <row r="124" spans="2:7" ht="14.25" thickTop="1" thickBot="1">
      <c r="B124" s="14" t="e">
        <f>VLOOKUP(G124,'GAL-CUB'!$A:$A,2,FALSE)</f>
        <v>#N/A</v>
      </c>
      <c r="C124" s="14" t="e">
        <f>VLOOKUP(G124,'GAL-CUB'!$A:$B,3,FALSE)</f>
        <v>#N/A</v>
      </c>
      <c r="D124" s="14" t="e">
        <f>VLOOKUP(G124,'GAL-CUB'!$A:$J,11,FALSE)</f>
        <v>#N/A</v>
      </c>
      <c r="E124" s="14" t="e">
        <f>IFERROR(VLOOKUP(G124,'GAL-CUB'!$A:$D,4,FALSE),IFERROR(VLOOKUP(G124,ESCOLTAS!$A:$F,6,FALSE),VLOOKUP(G124,SAÍDAS!$A:$B,2,FALSE)))</f>
        <v>#N/A</v>
      </c>
      <c r="F124" s="14">
        <v>8</v>
      </c>
      <c r="G124" s="15" t="str">
        <f>QUARTA!G138</f>
        <v>LUIZ RICARDO DOS SANTOS (Zoio)</v>
      </c>
    </row>
    <row r="125" spans="2:7" ht="14.25" thickTop="1" thickBot="1">
      <c r="B125" s="14" t="e">
        <f>VLOOKUP(G125,'GAL-CUB'!$A:$A,2,FALSE)</f>
        <v>#N/A</v>
      </c>
      <c r="C125" s="14" t="e">
        <f>VLOOKUP(G125,'GAL-CUB'!$A:$B,3,FALSE)</f>
        <v>#N/A</v>
      </c>
      <c r="D125" s="14" t="e">
        <f>VLOOKUP(G125,'GAL-CUB'!$A:$J,11,FALSE)</f>
        <v>#N/A</v>
      </c>
      <c r="E125" s="14" t="str">
        <f>IFERROR(VLOOKUP(G125,'GAL-CUB'!$A:$D,4,FALSE),IFERROR(VLOOKUP(G125,ESCOLTAS!$A:$F,6,FALSE),VLOOKUP(G125,SAÍDAS!$A:$B,2,FALSE)))</f>
        <v>ALVARÁ</v>
      </c>
      <c r="F125" s="14">
        <v>9</v>
      </c>
      <c r="G125" s="15" t="str">
        <f>QUARTA!G139</f>
        <v xml:space="preserve">MARIOZAN MENDES </v>
      </c>
    </row>
    <row r="126" spans="2:7" ht="14.25" thickTop="1" thickBot="1">
      <c r="B126" s="14" t="e">
        <f>VLOOKUP(G126,'GAL-CUB'!$A:$A,2,FALSE)</f>
        <v>#N/A</v>
      </c>
      <c r="C126" s="14" t="e">
        <f>VLOOKUP(G126,'GAL-CUB'!$A:$B,3,FALSE)</f>
        <v>#N/A</v>
      </c>
      <c r="D126" s="14" t="e">
        <f>VLOOKUP(G126,'GAL-CUB'!$A:$J,11,FALSE)</f>
        <v>#N/A</v>
      </c>
      <c r="E126" s="14" t="str">
        <f>IFERROR(VLOOKUP(G126,'GAL-CUB'!$A:$D,4,FALSE),IFERROR(VLOOKUP(G126,ESCOLTAS!$A:$F,6,FALSE),VLOOKUP(G126,SAÍDAS!$A:$B,2,FALSE)))</f>
        <v>CRAPG</v>
      </c>
      <c r="F126" s="14">
        <v>10</v>
      </c>
      <c r="G126" s="15" t="str">
        <f>QUARTA!G140</f>
        <v>NICANOR RODRIGUES MACHADO</v>
      </c>
    </row>
    <row r="127" spans="2:7" ht="14.25" thickTop="1" thickBot="1">
      <c r="B127" s="14" t="e">
        <f>VLOOKUP(G127,'GAL-CUB'!$A:$A,2,FALSE)</f>
        <v>#N/A</v>
      </c>
      <c r="C127" s="14" t="e">
        <f>VLOOKUP(G127,'GAL-CUB'!$A:$B,3,FALSE)</f>
        <v>#N/A</v>
      </c>
      <c r="D127" s="14" t="e">
        <f>VLOOKUP(G127,'GAL-CUB'!$A:$J,11,FALSE)</f>
        <v>#N/A</v>
      </c>
      <c r="E127" s="14" t="str">
        <f>IFERROR(VLOOKUP(G127,'GAL-CUB'!$A:$D,4,FALSE),IFERROR(VLOOKUP(G127,ESCOLTAS!$A:$F,6,FALSE),VLOOKUP(G127,SAÍDAS!$A:$B,2,FALSE)))</f>
        <v>CRAPG</v>
      </c>
      <c r="F127" s="14">
        <v>11</v>
      </c>
      <c r="G127" s="15" t="str">
        <f>QUARTA!G141</f>
        <v>TERCIO JULIANO DOS SANTOS</v>
      </c>
    </row>
    <row r="128" spans="2:7" ht="14.25" thickTop="1" thickBot="1">
      <c r="B128" s="14" t="e">
        <f>VLOOKUP(G128,'GAL-CUB'!$A:$A,2,FALSE)</f>
        <v>#N/A</v>
      </c>
      <c r="C128" s="14" t="e">
        <f>VLOOKUP(G128,'GAL-CUB'!$A:$B,3,FALSE)</f>
        <v>#N/A</v>
      </c>
      <c r="D128" s="14" t="e">
        <f>VLOOKUP(G128,'GAL-CUB'!$A:$J,11,FALSE)</f>
        <v>#N/A</v>
      </c>
      <c r="E128" s="14" t="e">
        <f>IFERROR(VLOOKUP(G128,'GAL-CUB'!$A:$D,4,FALSE),IFERROR(VLOOKUP(G128,ESCOLTAS!$A:$F,6,FALSE),VLOOKUP(G128,SAÍDAS!$A:$B,2,FALSE)))</f>
        <v>#N/A</v>
      </c>
      <c r="F128" s="14">
        <v>12</v>
      </c>
      <c r="G128" s="15" t="str">
        <f>QUARTA!G142</f>
        <v>TIAGO ISAC DE LIMA</v>
      </c>
    </row>
    <row r="129" ht="13.5" thickTop="1"/>
  </sheetData>
  <mergeCells count="11">
    <mergeCell ref="B52:D52"/>
    <mergeCell ref="B67:G68"/>
    <mergeCell ref="B70:D70"/>
    <mergeCell ref="B115:D115"/>
    <mergeCell ref="B2:G2"/>
    <mergeCell ref="B4:G5"/>
    <mergeCell ref="B7:D7"/>
    <mergeCell ref="B22:D22"/>
    <mergeCell ref="B85:D85"/>
    <mergeCell ref="B100:D100"/>
    <mergeCell ref="B37:D37"/>
  </mergeCells>
  <phoneticPr fontId="0" type="noConversion"/>
  <conditionalFormatting sqref="B115:G128 H1:IV1048576 G51:G53 G1:G38 A1:F1048576 G66:G65536">
    <cfRule type="cellIs" dxfId="27" priority="7" stopIfTrue="1" operator="equal">
      <formula>"ALVARÁ"</formula>
    </cfRule>
    <cfRule type="cellIs" dxfId="26" priority="8" stopIfTrue="1" operator="equal">
      <formula>"CRAPG"</formula>
    </cfRule>
    <cfRule type="cellIs" dxfId="25" priority="9" stopIfTrue="1" operator="equal">
      <formula>"CCP"</formula>
    </cfRule>
    <cfRule type="cellIs" dxfId="24" priority="10" stopIfTrue="1" operator="equal">
      <formula>"CD"</formula>
    </cfRule>
    <cfRule type="cellIs" dxfId="23" priority="11" stopIfTrue="1" operator="equal">
      <formula>"SANÇÃO"</formula>
    </cfRule>
    <cfRule type="cellIs" dxfId="22" priority="12" stopIfTrue="1" operator="equal">
      <formula>"KADESH"</formula>
    </cfRule>
    <cfRule type="cellIs" dxfId="21" priority="13" stopIfTrue="1" operator="equal">
      <formula>0</formula>
    </cfRule>
  </conditionalFormatting>
  <conditionalFormatting sqref="E1:E1048576">
    <cfRule type="cellIs" dxfId="20" priority="2" stopIfTrue="1" operator="equal">
      <formula>"Tornozeleira"</formula>
    </cfRule>
  </conditionalFormatting>
  <conditionalFormatting sqref="D1:D1048576">
    <cfRule type="cellIs" dxfId="19" priority="1" stopIfTrue="1" operator="equal">
      <formula>"DES."</formula>
    </cfRule>
  </conditionalFormatting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2:C531"/>
  <sheetViews>
    <sheetView topLeftCell="A13" workbookViewId="0">
      <selection activeCell="J61" sqref="J61"/>
    </sheetView>
  </sheetViews>
  <sheetFormatPr defaultRowHeight="12.75"/>
  <sheetData>
    <row r="2" spans="2:3" ht="13.5" thickBot="1"/>
    <row r="3" spans="2:3" ht="14.25" thickTop="1" thickBot="1">
      <c r="B3" s="126" t="s">
        <v>170</v>
      </c>
      <c r="C3" s="141" t="s">
        <v>2625</v>
      </c>
    </row>
    <row r="4" spans="2:3" ht="14.25" thickTop="1" thickBot="1">
      <c r="B4" s="116" t="s">
        <v>170</v>
      </c>
      <c r="C4" s="238" t="s">
        <v>2733</v>
      </c>
    </row>
    <row r="5" spans="2:3" ht="14.25" thickTop="1" thickBot="1">
      <c r="B5" s="116" t="s">
        <v>170</v>
      </c>
      <c r="C5" s="130" t="s">
        <v>2515</v>
      </c>
    </row>
    <row r="6" spans="2:3" ht="14.25" thickTop="1" thickBot="1">
      <c r="B6" s="116" t="s">
        <v>170</v>
      </c>
      <c r="C6" s="131" t="s">
        <v>1357</v>
      </c>
    </row>
    <row r="7" spans="2:3" ht="14.25" thickTop="1" thickBot="1">
      <c r="B7" s="118" t="s">
        <v>170</v>
      </c>
      <c r="C7" s="122" t="s">
        <v>1427</v>
      </c>
    </row>
    <row r="8" spans="2:3" ht="14.25" thickTop="1" thickBot="1">
      <c r="B8" s="118" t="s">
        <v>170</v>
      </c>
      <c r="C8" s="130" t="s">
        <v>23</v>
      </c>
    </row>
    <row r="9" spans="2:3" ht="14.25" thickTop="1" thickBot="1">
      <c r="B9" s="126" t="s">
        <v>877</v>
      </c>
      <c r="C9" s="158" t="s">
        <v>2383</v>
      </c>
    </row>
    <row r="10" spans="2:3" ht="14.25" thickTop="1" thickBot="1">
      <c r="B10" s="116" t="s">
        <v>877</v>
      </c>
      <c r="C10" s="130" t="s">
        <v>2808</v>
      </c>
    </row>
    <row r="11" spans="2:3" ht="14.25" thickTop="1" thickBot="1">
      <c r="B11" s="125" t="s">
        <v>877</v>
      </c>
      <c r="C11" s="129" t="s">
        <v>998</v>
      </c>
    </row>
    <row r="12" spans="2:3" ht="14.25" thickTop="1" thickBot="1">
      <c r="B12" s="116" t="s">
        <v>877</v>
      </c>
      <c r="C12" s="131" t="s">
        <v>2758</v>
      </c>
    </row>
    <row r="13" spans="2:3" ht="14.25" thickTop="1" thickBot="1">
      <c r="B13" s="125" t="s">
        <v>877</v>
      </c>
      <c r="C13" s="129" t="s">
        <v>2761</v>
      </c>
    </row>
    <row r="14" spans="2:3" ht="14.25" thickTop="1" thickBot="1">
      <c r="B14" s="116" t="s">
        <v>877</v>
      </c>
      <c r="C14" s="131" t="s">
        <v>2757</v>
      </c>
    </row>
    <row r="15" spans="2:3" ht="14.25" thickTop="1" thickBot="1">
      <c r="B15" s="118" t="s">
        <v>2275</v>
      </c>
      <c r="C15" s="122" t="s">
        <v>2663</v>
      </c>
    </row>
    <row r="16" spans="2:3" ht="14.25" thickTop="1" thickBot="1">
      <c r="B16" s="118" t="s">
        <v>2275</v>
      </c>
      <c r="C16" s="122" t="s">
        <v>1890</v>
      </c>
    </row>
    <row r="17" spans="2:3" ht="14.25" thickTop="1" thickBot="1">
      <c r="B17" s="118" t="s">
        <v>2275</v>
      </c>
      <c r="C17" s="122" t="s">
        <v>1604</v>
      </c>
    </row>
    <row r="18" spans="2:3" ht="14.25" thickTop="1" thickBot="1">
      <c r="B18" s="116" t="s">
        <v>2275</v>
      </c>
      <c r="C18" s="248" t="s">
        <v>2782</v>
      </c>
    </row>
    <row r="19" spans="2:3" ht="14.25" thickTop="1" thickBot="1">
      <c r="B19" s="250" t="s">
        <v>63</v>
      </c>
      <c r="C19" s="131" t="s">
        <v>2239</v>
      </c>
    </row>
    <row r="20" spans="2:3" ht="14.25" thickTop="1" thickBot="1">
      <c r="B20" s="232" t="s">
        <v>63</v>
      </c>
      <c r="C20" s="161" t="s">
        <v>2308</v>
      </c>
    </row>
    <row r="21" spans="2:3" ht="14.25" thickTop="1" thickBot="1">
      <c r="B21" s="255" t="s">
        <v>63</v>
      </c>
      <c r="C21" s="161" t="s">
        <v>2249</v>
      </c>
    </row>
    <row r="22" spans="2:3" ht="14.25" thickTop="1" thickBot="1">
      <c r="B22" s="232" t="s">
        <v>63</v>
      </c>
      <c r="C22" s="248" t="s">
        <v>2182</v>
      </c>
    </row>
    <row r="23" spans="2:3" ht="14.25" thickTop="1" thickBot="1">
      <c r="B23" s="118" t="s">
        <v>102</v>
      </c>
      <c r="C23" s="122" t="s">
        <v>1985</v>
      </c>
    </row>
    <row r="24" spans="2:3" ht="14.25" thickTop="1" thickBot="1">
      <c r="B24" s="118" t="s">
        <v>102</v>
      </c>
      <c r="C24" s="131" t="s">
        <v>2298</v>
      </c>
    </row>
    <row r="25" spans="2:3" ht="14.25" thickTop="1" thickBot="1">
      <c r="B25" s="126" t="s">
        <v>102</v>
      </c>
      <c r="C25" s="128" t="s">
        <v>1245</v>
      </c>
    </row>
    <row r="26" spans="2:3" ht="14.25" thickTop="1" thickBot="1">
      <c r="B26" s="116" t="s">
        <v>102</v>
      </c>
      <c r="C26" s="131" t="s">
        <v>2368</v>
      </c>
    </row>
    <row r="27" spans="2:3" ht="14.25" thickTop="1" thickBot="1">
      <c r="B27" s="116" t="s">
        <v>704</v>
      </c>
      <c r="C27" s="129" t="s">
        <v>2523</v>
      </c>
    </row>
    <row r="28" spans="2:3" ht="14.25" thickTop="1" thickBot="1">
      <c r="B28" s="116" t="s">
        <v>704</v>
      </c>
      <c r="C28" s="122" t="s">
        <v>2527</v>
      </c>
    </row>
    <row r="29" spans="2:3" ht="14.25" thickTop="1" thickBot="1">
      <c r="B29" s="118" t="s">
        <v>704</v>
      </c>
      <c r="C29" s="122" t="s">
        <v>2290</v>
      </c>
    </row>
    <row r="30" spans="2:3" ht="14.25" thickTop="1" thickBot="1">
      <c r="B30" s="118" t="s">
        <v>704</v>
      </c>
      <c r="C30" s="122" t="s">
        <v>1978</v>
      </c>
    </row>
    <row r="31" spans="2:3" ht="14.25" thickTop="1" thickBot="1">
      <c r="B31" s="118" t="s">
        <v>85</v>
      </c>
      <c r="C31" s="122" t="s">
        <v>2694</v>
      </c>
    </row>
    <row r="32" spans="2:3" ht="14.25" thickTop="1" thickBot="1">
      <c r="B32" s="116" t="s">
        <v>85</v>
      </c>
      <c r="C32" s="130" t="s">
        <v>2461</v>
      </c>
    </row>
    <row r="33" spans="2:3" ht="14.25" thickTop="1" thickBot="1">
      <c r="B33" s="145" t="s">
        <v>85</v>
      </c>
      <c r="C33" s="142" t="s">
        <v>2221</v>
      </c>
    </row>
    <row r="34" spans="2:3" ht="14.25" thickTop="1" thickBot="1">
      <c r="B34" s="116" t="s">
        <v>85</v>
      </c>
      <c r="C34" s="130" t="s">
        <v>2441</v>
      </c>
    </row>
    <row r="35" spans="2:3" ht="14.25" thickTop="1" thickBot="1">
      <c r="B35" s="116" t="s">
        <v>85</v>
      </c>
      <c r="C35" s="130" t="s">
        <v>2670</v>
      </c>
    </row>
    <row r="36" spans="2:3" ht="14.25" thickTop="1" thickBot="1">
      <c r="B36" s="116" t="s">
        <v>873</v>
      </c>
      <c r="C36" s="130" t="s">
        <v>2432</v>
      </c>
    </row>
    <row r="37" spans="2:3" ht="14.25" thickTop="1" thickBot="1">
      <c r="B37" s="116" t="s">
        <v>873</v>
      </c>
      <c r="C37" s="130" t="s">
        <v>2508</v>
      </c>
    </row>
    <row r="38" spans="2:3" ht="14.25" thickTop="1" thickBot="1">
      <c r="B38" s="116" t="s">
        <v>873</v>
      </c>
      <c r="C38" s="130" t="s">
        <v>2509</v>
      </c>
    </row>
    <row r="39" spans="2:3" ht="14.25" thickTop="1" thickBot="1">
      <c r="B39" s="118" t="s">
        <v>873</v>
      </c>
      <c r="C39" s="122" t="s">
        <v>2424</v>
      </c>
    </row>
    <row r="40" spans="2:3" ht="14.25" thickTop="1" thickBot="1">
      <c r="B40" s="116" t="s">
        <v>873</v>
      </c>
      <c r="C40" s="122" t="s">
        <v>2740</v>
      </c>
    </row>
    <row r="41" spans="2:3" ht="14.25" thickTop="1" thickBot="1">
      <c r="B41" s="116" t="s">
        <v>873</v>
      </c>
      <c r="C41" s="130" t="s">
        <v>1643</v>
      </c>
    </row>
    <row r="42" spans="2:3" ht="14.25" thickTop="1" thickBot="1">
      <c r="B42" s="116" t="s">
        <v>676</v>
      </c>
      <c r="C42" s="130" t="s">
        <v>174</v>
      </c>
    </row>
    <row r="43" spans="2:3" ht="14.25" thickTop="1" thickBot="1">
      <c r="B43" s="116" t="s">
        <v>676</v>
      </c>
      <c r="C43" s="130" t="s">
        <v>2814</v>
      </c>
    </row>
    <row r="44" spans="2:3" ht="14.25" thickTop="1" thickBot="1">
      <c r="B44" s="116" t="s">
        <v>676</v>
      </c>
      <c r="C44" s="130" t="s">
        <v>2459</v>
      </c>
    </row>
    <row r="45" spans="2:3" ht="14.25" thickTop="1" thickBot="1">
      <c r="B45" s="118" t="s">
        <v>676</v>
      </c>
      <c r="C45" s="122" t="s">
        <v>2692</v>
      </c>
    </row>
    <row r="46" spans="2:3" ht="14.25" thickTop="1" thickBot="1">
      <c r="B46" s="116" t="s">
        <v>676</v>
      </c>
      <c r="C46" s="130" t="s">
        <v>2813</v>
      </c>
    </row>
    <row r="47" spans="2:3" ht="14.25" thickTop="1" thickBot="1">
      <c r="B47" s="116" t="s">
        <v>1080</v>
      </c>
      <c r="C47" s="129" t="s">
        <v>2416</v>
      </c>
    </row>
    <row r="48" spans="2:3" ht="14.25" thickTop="1" thickBot="1">
      <c r="B48" s="118" t="s">
        <v>1080</v>
      </c>
      <c r="C48" s="122" t="s">
        <v>2647</v>
      </c>
    </row>
    <row r="49" spans="2:3" ht="14.25" thickTop="1" thickBot="1">
      <c r="B49" s="123" t="s">
        <v>1080</v>
      </c>
      <c r="C49" s="122" t="s">
        <v>2423</v>
      </c>
    </row>
    <row r="50" spans="2:3" ht="14.25" thickTop="1" thickBot="1">
      <c r="B50" s="118" t="s">
        <v>1080</v>
      </c>
      <c r="C50" s="122" t="s">
        <v>2649</v>
      </c>
    </row>
    <row r="51" spans="2:3" ht="14.25" thickTop="1" thickBot="1">
      <c r="B51" s="116" t="s">
        <v>1080</v>
      </c>
      <c r="C51" s="129" t="s">
        <v>2790</v>
      </c>
    </row>
    <row r="52" spans="2:3" ht="14.25" thickTop="1" thickBot="1">
      <c r="B52" s="118" t="s">
        <v>1080</v>
      </c>
      <c r="C52" s="129" t="s">
        <v>2426</v>
      </c>
    </row>
    <row r="53" spans="2:3" ht="14.25" thickTop="1" thickBot="1">
      <c r="B53" s="116" t="s">
        <v>2721</v>
      </c>
      <c r="C53" s="130" t="s">
        <v>2671</v>
      </c>
    </row>
    <row r="54" spans="2:3" ht="14.25" thickTop="1" thickBot="1">
      <c r="B54" s="116" t="s">
        <v>2721</v>
      </c>
      <c r="C54" s="130" t="s">
        <v>2803</v>
      </c>
    </row>
    <row r="55" spans="2:3" ht="14.25" thickTop="1" thickBot="1">
      <c r="B55" s="118" t="s">
        <v>2721</v>
      </c>
      <c r="C55" s="122" t="s">
        <v>2706</v>
      </c>
    </row>
    <row r="56" spans="2:3" ht="14.25" thickTop="1" thickBot="1">
      <c r="B56" s="214" t="s">
        <v>2721</v>
      </c>
      <c r="C56" s="128" t="s">
        <v>2655</v>
      </c>
    </row>
    <row r="57" spans="2:3" ht="14.25" thickTop="1" thickBot="1">
      <c r="B57" s="118" t="s">
        <v>2721</v>
      </c>
      <c r="C57" s="122" t="s">
        <v>2648</v>
      </c>
    </row>
    <row r="58" spans="2:3" ht="14.25" thickTop="1" thickBot="1">
      <c r="B58" s="116" t="s">
        <v>2721</v>
      </c>
      <c r="C58" s="129" t="s">
        <v>2797</v>
      </c>
    </row>
    <row r="59" spans="2:3" ht="14.25" thickTop="1" thickBot="1">
      <c r="B59" s="116" t="s">
        <v>2752</v>
      </c>
      <c r="C59" s="130" t="s">
        <v>2529</v>
      </c>
    </row>
    <row r="60" spans="2:3" ht="14.25" thickTop="1" thickBot="1">
      <c r="B60" s="116" t="s">
        <v>2752</v>
      </c>
      <c r="C60" s="130" t="s">
        <v>2437</v>
      </c>
    </row>
    <row r="61" spans="2:3" ht="14.25" thickTop="1" thickBot="1">
      <c r="B61" s="125" t="s">
        <v>2752</v>
      </c>
      <c r="C61" s="130" t="s">
        <v>1955</v>
      </c>
    </row>
    <row r="62" spans="2:3" ht="14.25" thickTop="1" thickBot="1">
      <c r="B62" s="116" t="s">
        <v>2752</v>
      </c>
      <c r="C62" s="131" t="s">
        <v>2720</v>
      </c>
    </row>
    <row r="63" spans="2:3" ht="14.25" thickTop="1" thickBot="1">
      <c r="B63" s="116" t="s">
        <v>2752</v>
      </c>
      <c r="C63" s="130" t="s">
        <v>2446</v>
      </c>
    </row>
    <row r="64" spans="2:3" ht="14.25" thickTop="1" thickBot="1">
      <c r="B64" s="118" t="s">
        <v>105</v>
      </c>
      <c r="C64" s="122" t="s">
        <v>2780</v>
      </c>
    </row>
    <row r="65" spans="2:3" ht="14.25" thickTop="1" thickBot="1">
      <c r="B65" s="118" t="s">
        <v>105</v>
      </c>
      <c r="C65" s="122" t="s">
        <v>2662</v>
      </c>
    </row>
    <row r="66" spans="2:3" ht="14.25" thickTop="1" thickBot="1">
      <c r="B66" s="126" t="s">
        <v>105</v>
      </c>
      <c r="C66" s="141" t="s">
        <v>2518</v>
      </c>
    </row>
    <row r="67" spans="2:3" ht="14.25" thickTop="1" thickBot="1">
      <c r="B67" s="118" t="s">
        <v>105</v>
      </c>
      <c r="C67" s="122" t="s">
        <v>1997</v>
      </c>
    </row>
    <row r="68" spans="2:3" ht="14.25" thickTop="1" thickBot="1">
      <c r="B68" s="118" t="s">
        <v>105</v>
      </c>
      <c r="C68" s="122" t="s">
        <v>2711</v>
      </c>
    </row>
    <row r="69" spans="2:3" ht="14.25" thickTop="1" thickBot="1">
      <c r="B69" s="116" t="s">
        <v>94</v>
      </c>
      <c r="C69" s="131" t="s">
        <v>2381</v>
      </c>
    </row>
    <row r="70" spans="2:3" ht="14.25" thickTop="1" thickBot="1">
      <c r="B70" s="217" t="s">
        <v>94</v>
      </c>
      <c r="C70" s="231" t="s">
        <v>2602</v>
      </c>
    </row>
    <row r="71" spans="2:3" ht="14.25" thickTop="1" thickBot="1">
      <c r="B71" s="118" t="s">
        <v>94</v>
      </c>
      <c r="C71" s="122" t="s">
        <v>2652</v>
      </c>
    </row>
    <row r="72" spans="2:3" ht="14.25" thickTop="1" thickBot="1">
      <c r="B72" s="116" t="s">
        <v>94</v>
      </c>
      <c r="C72" s="129" t="s">
        <v>2425</v>
      </c>
    </row>
    <row r="73" spans="2:3" ht="14.25" thickTop="1" thickBot="1">
      <c r="B73" s="118" t="s">
        <v>94</v>
      </c>
      <c r="C73" s="122" t="s">
        <v>2643</v>
      </c>
    </row>
    <row r="74" spans="2:3" ht="14.25" thickTop="1" thickBot="1">
      <c r="B74" s="118" t="s">
        <v>94</v>
      </c>
      <c r="C74" s="122" t="s">
        <v>2646</v>
      </c>
    </row>
    <row r="75" spans="2:3" ht="14.25" thickTop="1" thickBot="1">
      <c r="B75" s="116" t="s">
        <v>630</v>
      </c>
      <c r="C75" s="130" t="s">
        <v>932</v>
      </c>
    </row>
    <row r="76" spans="2:3" ht="14.25" thickTop="1" thickBot="1">
      <c r="B76" s="118" t="s">
        <v>630</v>
      </c>
      <c r="C76" s="122" t="s">
        <v>2653</v>
      </c>
    </row>
    <row r="77" spans="2:3" ht="14.25" thickTop="1" thickBot="1">
      <c r="B77" s="118" t="s">
        <v>630</v>
      </c>
      <c r="C77" s="130" t="s">
        <v>2778</v>
      </c>
    </row>
    <row r="78" spans="2:3" ht="14.25" thickTop="1" thickBot="1">
      <c r="B78" s="118" t="s">
        <v>630</v>
      </c>
      <c r="C78" s="130" t="s">
        <v>968</v>
      </c>
    </row>
    <row r="79" spans="2:3" ht="14.25" thickTop="1" thickBot="1">
      <c r="B79" s="126" t="s">
        <v>898</v>
      </c>
      <c r="C79" s="141" t="s">
        <v>2412</v>
      </c>
    </row>
    <row r="80" spans="2:3" ht="14.25" thickTop="1" thickBot="1">
      <c r="B80" s="116" t="s">
        <v>898</v>
      </c>
      <c r="C80" s="131" t="s">
        <v>2365</v>
      </c>
    </row>
    <row r="81" spans="2:3" ht="14.25" thickTop="1" thickBot="1">
      <c r="B81" s="118" t="s">
        <v>898</v>
      </c>
      <c r="C81" s="122" t="s">
        <v>2645</v>
      </c>
    </row>
    <row r="82" spans="2:3" ht="14.25" thickTop="1" thickBot="1">
      <c r="B82" s="116" t="s">
        <v>898</v>
      </c>
      <c r="C82" s="131" t="s">
        <v>2019</v>
      </c>
    </row>
    <row r="83" spans="2:3" ht="14.25" thickTop="1" thickBot="1">
      <c r="B83" s="118" t="s">
        <v>898</v>
      </c>
      <c r="C83" s="122" t="s">
        <v>2823</v>
      </c>
    </row>
    <row r="84" spans="2:3" ht="14.25" thickTop="1" thickBot="1">
      <c r="B84" s="116" t="s">
        <v>898</v>
      </c>
      <c r="C84" s="131" t="s">
        <v>2364</v>
      </c>
    </row>
    <row r="85" spans="2:3" ht="14.25" thickTop="1" thickBot="1">
      <c r="B85" s="116" t="s">
        <v>871</v>
      </c>
      <c r="C85" s="131" t="s">
        <v>1346</v>
      </c>
    </row>
    <row r="86" spans="2:3" ht="14.25" thickTop="1" thickBot="1">
      <c r="B86" s="118" t="s">
        <v>871</v>
      </c>
      <c r="C86" s="122" t="s">
        <v>2421</v>
      </c>
    </row>
    <row r="87" spans="2:3" ht="14.25" thickTop="1" thickBot="1">
      <c r="B87" s="116" t="s">
        <v>871</v>
      </c>
      <c r="C87" s="131" t="s">
        <v>2724</v>
      </c>
    </row>
    <row r="88" spans="2:3" ht="14.25" thickTop="1" thickBot="1">
      <c r="B88" s="116" t="s">
        <v>871</v>
      </c>
      <c r="C88" s="130" t="s">
        <v>2378</v>
      </c>
    </row>
    <row r="89" spans="2:3" ht="14.25" thickTop="1" thickBot="1">
      <c r="B89" s="116" t="s">
        <v>871</v>
      </c>
      <c r="C89" s="129" t="s">
        <v>2429</v>
      </c>
    </row>
    <row r="90" spans="2:3" ht="14.25" thickTop="1" thickBot="1">
      <c r="B90" s="116" t="s">
        <v>109</v>
      </c>
      <c r="C90" s="122" t="s">
        <v>2576</v>
      </c>
    </row>
    <row r="91" spans="2:3" ht="14.25" thickTop="1" thickBot="1">
      <c r="B91" s="116" t="s">
        <v>109</v>
      </c>
      <c r="C91" s="122" t="s">
        <v>2148</v>
      </c>
    </row>
    <row r="92" spans="2:3" ht="14.25" thickTop="1" thickBot="1">
      <c r="B92" s="116" t="s">
        <v>109</v>
      </c>
      <c r="C92" s="122" t="s">
        <v>2665</v>
      </c>
    </row>
    <row r="93" spans="2:3" ht="14.25" thickTop="1" thickBot="1">
      <c r="B93" s="116" t="s">
        <v>109</v>
      </c>
      <c r="C93" s="131" t="s">
        <v>1627</v>
      </c>
    </row>
    <row r="94" spans="2:3" ht="14.25" thickTop="1" thickBot="1">
      <c r="B94" s="116" t="s">
        <v>109</v>
      </c>
      <c r="C94" s="130" t="s">
        <v>2755</v>
      </c>
    </row>
    <row r="95" spans="2:3" ht="14.25" thickTop="1" thickBot="1">
      <c r="B95" s="125" t="s">
        <v>109</v>
      </c>
      <c r="C95" s="129" t="s">
        <v>2630</v>
      </c>
    </row>
    <row r="96" spans="2:3" ht="14.25" thickTop="1" thickBot="1">
      <c r="B96" s="116" t="s">
        <v>1511</v>
      </c>
      <c r="C96" s="122" t="s">
        <v>1719</v>
      </c>
    </row>
    <row r="97" spans="2:3" ht="14.25" thickTop="1" thickBot="1">
      <c r="B97" s="118" t="s">
        <v>1511</v>
      </c>
      <c r="C97" s="131" t="s">
        <v>2307</v>
      </c>
    </row>
    <row r="98" spans="2:3" ht="14.25" thickTop="1" thickBot="1">
      <c r="B98" s="116" t="s">
        <v>1511</v>
      </c>
      <c r="C98" s="131" t="s">
        <v>2258</v>
      </c>
    </row>
    <row r="99" spans="2:3" ht="14.25" thickTop="1" thickBot="1">
      <c r="B99" s="116" t="s">
        <v>1511</v>
      </c>
      <c r="C99" s="129" t="s">
        <v>800</v>
      </c>
    </row>
    <row r="100" spans="2:3" ht="14.25" thickTop="1" thickBot="1">
      <c r="B100" s="116" t="s">
        <v>1511</v>
      </c>
      <c r="C100" s="130" t="s">
        <v>673</v>
      </c>
    </row>
    <row r="101" spans="2:3" ht="14.25" thickTop="1" thickBot="1">
      <c r="B101" s="118" t="s">
        <v>2497</v>
      </c>
      <c r="C101" s="131" t="s">
        <v>60</v>
      </c>
    </row>
    <row r="102" spans="2:3" ht="14.25" thickTop="1" thickBot="1">
      <c r="B102" s="116" t="s">
        <v>2497</v>
      </c>
      <c r="C102" s="122" t="s">
        <v>283</v>
      </c>
    </row>
    <row r="103" spans="2:3" ht="14.25" thickTop="1" thickBot="1">
      <c r="B103" s="118" t="s">
        <v>2497</v>
      </c>
      <c r="C103" s="122" t="s">
        <v>2524</v>
      </c>
    </row>
    <row r="104" spans="2:3" ht="14.25" thickTop="1" thickBot="1">
      <c r="B104" s="116" t="s">
        <v>2497</v>
      </c>
      <c r="C104" s="122" t="s">
        <v>1242</v>
      </c>
    </row>
    <row r="105" spans="2:3" ht="14.25" thickTop="1" thickBot="1">
      <c r="B105" s="116" t="s">
        <v>2497</v>
      </c>
      <c r="C105" s="130" t="s">
        <v>2219</v>
      </c>
    </row>
    <row r="106" spans="2:3" ht="14.25" thickTop="1" thickBot="1">
      <c r="B106" s="116" t="s">
        <v>2685</v>
      </c>
      <c r="C106" s="130" t="s">
        <v>2174</v>
      </c>
    </row>
    <row r="107" spans="2:3" ht="14.25" thickTop="1" thickBot="1">
      <c r="B107" s="118" t="s">
        <v>2685</v>
      </c>
      <c r="C107" s="131" t="s">
        <v>2261</v>
      </c>
    </row>
    <row r="108" spans="2:3" ht="14.25" thickTop="1" thickBot="1">
      <c r="B108" s="116" t="s">
        <v>2685</v>
      </c>
      <c r="C108" s="131" t="s">
        <v>2215</v>
      </c>
    </row>
    <row r="109" spans="2:3" ht="14.25" thickTop="1" thickBot="1">
      <c r="B109" s="116" t="s">
        <v>2685</v>
      </c>
      <c r="C109" s="122" t="s">
        <v>1806</v>
      </c>
    </row>
    <row r="110" spans="2:3" ht="14.25" thickTop="1" thickBot="1">
      <c r="B110" s="116" t="s">
        <v>2685</v>
      </c>
      <c r="C110" s="131" t="s">
        <v>2255</v>
      </c>
    </row>
    <row r="111" spans="2:3" ht="14.25" thickTop="1" thickBot="1">
      <c r="B111" s="125" t="s">
        <v>178</v>
      </c>
      <c r="C111" s="129" t="s">
        <v>1960</v>
      </c>
    </row>
    <row r="112" spans="2:3" ht="14.25" thickTop="1" thickBot="1">
      <c r="B112" s="116" t="s">
        <v>178</v>
      </c>
      <c r="C112" s="131" t="s">
        <v>2240</v>
      </c>
    </row>
    <row r="113" spans="2:3" ht="14.25" thickTop="1" thickBot="1">
      <c r="B113" s="116" t="s">
        <v>178</v>
      </c>
      <c r="C113" s="218" t="s">
        <v>2525</v>
      </c>
    </row>
    <row r="114" spans="2:3" ht="14.25" thickTop="1" thickBot="1">
      <c r="B114" s="116" t="s">
        <v>178</v>
      </c>
      <c r="C114" s="130" t="s">
        <v>2089</v>
      </c>
    </row>
    <row r="115" spans="2:3" ht="14.25" thickTop="1" thickBot="1">
      <c r="B115" s="118" t="s">
        <v>178</v>
      </c>
      <c r="C115" s="131" t="s">
        <v>2173</v>
      </c>
    </row>
    <row r="116" spans="2:3" ht="14.25" thickTop="1" thickBot="1">
      <c r="B116" s="116" t="s">
        <v>1384</v>
      </c>
      <c r="C116" s="131" t="s">
        <v>2118</v>
      </c>
    </row>
    <row r="117" spans="2:3" ht="14.25" thickTop="1" thickBot="1">
      <c r="B117" s="118" t="s">
        <v>1384</v>
      </c>
      <c r="C117" s="122" t="s">
        <v>919</v>
      </c>
    </row>
    <row r="118" spans="2:3" ht="14.25" thickTop="1" thickBot="1">
      <c r="B118" s="116" t="s">
        <v>1384</v>
      </c>
      <c r="C118" s="129" t="s">
        <v>2104</v>
      </c>
    </row>
    <row r="119" spans="2:3" ht="14.25" thickTop="1" thickBot="1">
      <c r="B119" s="118" t="s">
        <v>1384</v>
      </c>
      <c r="C119" s="122" t="s">
        <v>2526</v>
      </c>
    </row>
    <row r="120" spans="2:3" ht="14.25" thickTop="1" thickBot="1">
      <c r="B120" s="118" t="s">
        <v>1384</v>
      </c>
      <c r="C120" s="122" t="s">
        <v>2698</v>
      </c>
    </row>
    <row r="121" spans="2:3" ht="14.25" thickTop="1" thickBot="1">
      <c r="B121" s="116" t="s">
        <v>358</v>
      </c>
      <c r="C121" s="131" t="s">
        <v>2322</v>
      </c>
    </row>
    <row r="122" spans="2:3" ht="14.25" thickTop="1" thickBot="1">
      <c r="B122" s="116" t="s">
        <v>358</v>
      </c>
      <c r="C122" s="233" t="s">
        <v>2309</v>
      </c>
    </row>
    <row r="123" spans="2:3" ht="14.25" thickTop="1" thickBot="1">
      <c r="B123" s="125" t="s">
        <v>358</v>
      </c>
      <c r="C123" s="129" t="s">
        <v>2500</v>
      </c>
    </row>
    <row r="124" spans="2:3" ht="14.25" thickTop="1" thickBot="1">
      <c r="B124" s="125" t="s">
        <v>358</v>
      </c>
      <c r="C124" s="129" t="s">
        <v>2165</v>
      </c>
    </row>
    <row r="125" spans="2:3" ht="14.25" thickTop="1" thickBot="1">
      <c r="B125" s="116" t="s">
        <v>358</v>
      </c>
      <c r="C125" s="131" t="s">
        <v>2312</v>
      </c>
    </row>
    <row r="126" spans="2:3" ht="14.25" thickTop="1" thickBot="1">
      <c r="B126" s="116" t="s">
        <v>2376</v>
      </c>
      <c r="C126" s="130" t="s">
        <v>2737</v>
      </c>
    </row>
    <row r="127" spans="2:3" ht="14.25" thickTop="1" thickBot="1">
      <c r="B127" s="116" t="s">
        <v>2376</v>
      </c>
      <c r="C127" s="130" t="s">
        <v>2435</v>
      </c>
    </row>
    <row r="128" spans="2:3" ht="14.25" thickTop="1" thickBot="1">
      <c r="B128" s="116" t="s">
        <v>2376</v>
      </c>
      <c r="C128" s="130" t="s">
        <v>2438</v>
      </c>
    </row>
    <row r="129" spans="2:3" ht="14.25" thickTop="1" thickBot="1">
      <c r="B129" s="118" t="s">
        <v>2376</v>
      </c>
      <c r="C129" s="131" t="s">
        <v>2291</v>
      </c>
    </row>
    <row r="130" spans="2:3" ht="14.25" thickTop="1" thickBot="1">
      <c r="B130" s="116" t="s">
        <v>2376</v>
      </c>
      <c r="C130" s="131" t="s">
        <v>2370</v>
      </c>
    </row>
    <row r="131" spans="2:3" ht="14.25" thickTop="1" thickBot="1">
      <c r="B131" s="116" t="s">
        <v>303</v>
      </c>
      <c r="C131" s="122" t="s">
        <v>2384</v>
      </c>
    </row>
    <row r="132" spans="2:3" ht="14.25" thickTop="1" thickBot="1">
      <c r="B132" s="116" t="s">
        <v>303</v>
      </c>
      <c r="C132" s="130" t="s">
        <v>2433</v>
      </c>
    </row>
    <row r="133" spans="2:3" ht="14.25" thickTop="1" thickBot="1">
      <c r="B133" s="116" t="s">
        <v>303</v>
      </c>
      <c r="C133" s="130" t="s">
        <v>2434</v>
      </c>
    </row>
    <row r="134" spans="2:3" ht="14.25" thickTop="1" thickBot="1">
      <c r="B134" s="116" t="s">
        <v>303</v>
      </c>
      <c r="C134" s="129" t="s">
        <v>2344</v>
      </c>
    </row>
    <row r="135" spans="2:3" ht="14.25" thickTop="1" thickBot="1">
      <c r="B135" s="116" t="s">
        <v>303</v>
      </c>
      <c r="C135" s="129" t="s">
        <v>2809</v>
      </c>
    </row>
    <row r="136" spans="2:3" ht="14.25" thickTop="1" thickBot="1">
      <c r="B136" s="126" t="s">
        <v>303</v>
      </c>
      <c r="C136" s="122" t="s">
        <v>2404</v>
      </c>
    </row>
    <row r="137" spans="2:3" ht="14.25" thickTop="1" thickBot="1">
      <c r="B137" s="116" t="s">
        <v>45</v>
      </c>
      <c r="C137" s="130" t="s">
        <v>2530</v>
      </c>
    </row>
    <row r="138" spans="2:3" ht="14.25" thickTop="1" thickBot="1">
      <c r="B138" s="126" t="s">
        <v>45</v>
      </c>
      <c r="C138" s="141" t="s">
        <v>2702</v>
      </c>
    </row>
    <row r="139" spans="2:3" ht="14.25" thickTop="1" thickBot="1">
      <c r="B139" s="126" t="s">
        <v>45</v>
      </c>
      <c r="C139" s="141" t="s">
        <v>2623</v>
      </c>
    </row>
    <row r="140" spans="2:3" ht="14.25" thickTop="1" thickBot="1">
      <c r="B140" s="126" t="s">
        <v>45</v>
      </c>
      <c r="C140" s="141" t="s">
        <v>2697</v>
      </c>
    </row>
    <row r="141" spans="2:3" ht="14.25" thickTop="1" thickBot="1">
      <c r="B141" s="126" t="s">
        <v>45</v>
      </c>
      <c r="C141" s="141" t="s">
        <v>2627</v>
      </c>
    </row>
    <row r="142" spans="2:3" ht="14.25" thickTop="1" thickBot="1">
      <c r="B142" s="116" t="s">
        <v>45</v>
      </c>
      <c r="C142" s="129" t="s">
        <v>2791</v>
      </c>
    </row>
    <row r="143" spans="2:3" ht="14.25" thickTop="1" thickBot="1">
      <c r="B143" s="116" t="s">
        <v>834</v>
      </c>
      <c r="C143" s="131" t="s">
        <v>2718</v>
      </c>
    </row>
    <row r="144" spans="2:3" ht="14.25" thickTop="1" thickBot="1">
      <c r="B144" s="116" t="s">
        <v>834</v>
      </c>
      <c r="C144" s="129" t="s">
        <v>2787</v>
      </c>
    </row>
    <row r="145" spans="2:3" ht="14.25" thickTop="1" thickBot="1">
      <c r="B145" s="116" t="s">
        <v>834</v>
      </c>
      <c r="C145" s="129" t="s">
        <v>2788</v>
      </c>
    </row>
    <row r="146" spans="2:3" ht="14.25" thickTop="1" thickBot="1">
      <c r="B146" s="116" t="s">
        <v>834</v>
      </c>
      <c r="C146" s="131" t="s">
        <v>2719</v>
      </c>
    </row>
    <row r="147" spans="2:3" ht="14.25" thickTop="1" thickBot="1">
      <c r="B147" s="116" t="s">
        <v>834</v>
      </c>
      <c r="C147" s="129" t="s">
        <v>2789</v>
      </c>
    </row>
    <row r="148" spans="2:3" ht="14.25" thickTop="1" thickBot="1">
      <c r="B148" s="118" t="s">
        <v>834</v>
      </c>
      <c r="C148" s="130" t="s">
        <v>2736</v>
      </c>
    </row>
    <row r="149" spans="2:3" ht="14.25" thickTop="1" thickBot="1">
      <c r="B149" s="139" t="s">
        <v>2431</v>
      </c>
      <c r="C149" s="252" t="s">
        <v>2837</v>
      </c>
    </row>
    <row r="150" spans="2:3" ht="14.25" thickTop="1" thickBot="1">
      <c r="B150" s="251" t="s">
        <v>2431</v>
      </c>
      <c r="C150" s="164" t="s">
        <v>2824</v>
      </c>
    </row>
    <row r="151" spans="2:3" ht="14.25" thickTop="1" thickBot="1">
      <c r="B151" s="251" t="s">
        <v>2431</v>
      </c>
      <c r="C151" s="164" t="s">
        <v>2825</v>
      </c>
    </row>
    <row r="152" spans="2:3" ht="14.25" thickTop="1" thickBot="1">
      <c r="B152" s="251" t="s">
        <v>2431</v>
      </c>
      <c r="C152" s="164" t="s">
        <v>2828</v>
      </c>
    </row>
    <row r="153" spans="2:3" ht="14.25" thickTop="1" thickBot="1">
      <c r="B153" s="251" t="s">
        <v>2431</v>
      </c>
      <c r="C153" s="164" t="s">
        <v>1579</v>
      </c>
    </row>
    <row r="154" spans="2:3" ht="14.25" thickTop="1" thickBot="1">
      <c r="B154" s="116" t="s">
        <v>2343</v>
      </c>
      <c r="C154" s="130" t="s">
        <v>2458</v>
      </c>
    </row>
    <row r="155" spans="2:3" ht="14.25" thickTop="1" thickBot="1">
      <c r="B155" s="116" t="s">
        <v>2343</v>
      </c>
      <c r="C155" s="130" t="s">
        <v>2436</v>
      </c>
    </row>
    <row r="156" spans="2:3" ht="14.25" thickTop="1" thickBot="1">
      <c r="B156" s="116" t="s">
        <v>2343</v>
      </c>
      <c r="C156" s="122" t="s">
        <v>1796</v>
      </c>
    </row>
    <row r="157" spans="2:3" ht="14.25" thickTop="1" thickBot="1">
      <c r="B157" s="116" t="s">
        <v>2343</v>
      </c>
      <c r="C157" s="130" t="s">
        <v>2669</v>
      </c>
    </row>
    <row r="158" spans="2:3" ht="14.25" thickTop="1" thickBot="1">
      <c r="B158" s="116" t="s">
        <v>2430</v>
      </c>
      <c r="C158" s="129" t="s">
        <v>2420</v>
      </c>
    </row>
    <row r="159" spans="2:3" ht="14.25" thickTop="1" thickBot="1">
      <c r="B159" s="116" t="s">
        <v>2430</v>
      </c>
      <c r="C159" s="129" t="s">
        <v>2817</v>
      </c>
    </row>
    <row r="160" spans="2:3" ht="14.25" thickTop="1" thickBot="1">
      <c r="B160" s="116" t="s">
        <v>2430</v>
      </c>
      <c r="C160" s="130" t="s">
        <v>2783</v>
      </c>
    </row>
    <row r="161" spans="2:3" ht="14.25" thickTop="1" thickBot="1">
      <c r="B161" s="116" t="s">
        <v>2430</v>
      </c>
      <c r="C161" s="122" t="s">
        <v>2779</v>
      </c>
    </row>
    <row r="162" spans="2:3" ht="14.25" thickTop="1" thickBot="1">
      <c r="B162" s="116" t="s">
        <v>2457</v>
      </c>
      <c r="C162" s="130" t="s">
        <v>2466</v>
      </c>
    </row>
    <row r="163" spans="2:3" ht="14.25" thickTop="1" thickBot="1">
      <c r="B163" s="118" t="s">
        <v>2457</v>
      </c>
      <c r="C163" s="122" t="s">
        <v>2739</v>
      </c>
    </row>
    <row r="164" spans="2:3" ht="14.25" thickTop="1" thickBot="1">
      <c r="B164" s="118" t="s">
        <v>2457</v>
      </c>
      <c r="C164" s="122" t="s">
        <v>2745</v>
      </c>
    </row>
    <row r="165" spans="2:3" ht="14.25" thickTop="1" thickBot="1">
      <c r="B165" s="118" t="s">
        <v>2457</v>
      </c>
      <c r="C165" s="122" t="s">
        <v>2422</v>
      </c>
    </row>
    <row r="166" spans="2:3" ht="14.25" thickTop="1" thickBot="1">
      <c r="B166" s="118" t="s">
        <v>2457</v>
      </c>
      <c r="C166" s="122" t="s">
        <v>2744</v>
      </c>
    </row>
    <row r="167" spans="2:3" ht="14.25" thickTop="1" thickBot="1">
      <c r="B167" s="118" t="s">
        <v>2457</v>
      </c>
      <c r="C167" s="122" t="s">
        <v>2428</v>
      </c>
    </row>
    <row r="168" spans="2:3" ht="14.25" thickTop="1" thickBot="1">
      <c r="B168" s="118" t="s">
        <v>2456</v>
      </c>
      <c r="C168" s="122" t="s">
        <v>2742</v>
      </c>
    </row>
    <row r="169" spans="2:3" ht="14.25" thickTop="1" thickBot="1">
      <c r="B169" s="118" t="s">
        <v>2456</v>
      </c>
      <c r="C169" s="159" t="s">
        <v>2533</v>
      </c>
    </row>
    <row r="170" spans="2:3" ht="14.25" thickTop="1" thickBot="1">
      <c r="B170" s="116" t="s">
        <v>2456</v>
      </c>
      <c r="C170" s="122" t="s">
        <v>1515</v>
      </c>
    </row>
    <row r="171" spans="2:3" ht="14.25" thickTop="1" thickBot="1">
      <c r="B171" s="118" t="s">
        <v>2456</v>
      </c>
      <c r="C171" s="130" t="s">
        <v>2469</v>
      </c>
    </row>
    <row r="172" spans="2:3" ht="14.25" thickTop="1" thickBot="1">
      <c r="B172" s="116" t="s">
        <v>2456</v>
      </c>
      <c r="C172" s="131" t="s">
        <v>2534</v>
      </c>
    </row>
    <row r="173" spans="2:3" ht="14.25" thickTop="1" thickBot="1">
      <c r="B173" s="118" t="s">
        <v>1521</v>
      </c>
      <c r="C173" s="130" t="s">
        <v>2460</v>
      </c>
    </row>
    <row r="174" spans="2:3" ht="14.25" thickTop="1" thickBot="1">
      <c r="B174" s="116" t="s">
        <v>1521</v>
      </c>
      <c r="C174" s="130" t="s">
        <v>1071</v>
      </c>
    </row>
    <row r="175" spans="2:3" ht="14.25" thickTop="1" thickBot="1">
      <c r="B175" s="116" t="s">
        <v>1521</v>
      </c>
      <c r="C175" s="130" t="s">
        <v>1020</v>
      </c>
    </row>
    <row r="176" spans="2:3" ht="14.25" thickTop="1" thickBot="1">
      <c r="B176" s="118" t="s">
        <v>1521</v>
      </c>
      <c r="C176" s="130" t="s">
        <v>2465</v>
      </c>
    </row>
    <row r="177" spans="2:3" ht="14.25" thickTop="1" thickBot="1">
      <c r="B177" s="118" t="s">
        <v>2710</v>
      </c>
      <c r="C177" s="122" t="s">
        <v>304</v>
      </c>
    </row>
    <row r="178" spans="2:3" ht="14.25" thickTop="1" thickBot="1">
      <c r="B178" s="118" t="s">
        <v>2710</v>
      </c>
      <c r="C178" s="122" t="s">
        <v>2417</v>
      </c>
    </row>
    <row r="179" spans="2:3" ht="14.25" thickTop="1" thickBot="1">
      <c r="B179" s="118" t="s">
        <v>2710</v>
      </c>
      <c r="C179" s="122" t="s">
        <v>2418</v>
      </c>
    </row>
    <row r="180" spans="2:3" ht="14.25" thickTop="1" thickBot="1">
      <c r="B180" s="118" t="s">
        <v>2710</v>
      </c>
      <c r="C180" s="122" t="s">
        <v>2419</v>
      </c>
    </row>
    <row r="181" spans="2:3" ht="14.25" thickTop="1" thickBot="1">
      <c r="B181" s="116" t="s">
        <v>2710</v>
      </c>
      <c r="C181" s="128" t="s">
        <v>2667</v>
      </c>
    </row>
    <row r="182" spans="2:3" ht="14.25" thickTop="1" thickBot="1">
      <c r="B182" s="118" t="s">
        <v>2710</v>
      </c>
      <c r="C182" s="130" t="s">
        <v>2668</v>
      </c>
    </row>
    <row r="183" spans="2:3" ht="14.25" thickTop="1" thickBot="1">
      <c r="B183" s="116" t="s">
        <v>2714</v>
      </c>
      <c r="C183" s="129" t="s">
        <v>2786</v>
      </c>
    </row>
    <row r="184" spans="2:3" ht="14.25" thickTop="1" thickBot="1">
      <c r="B184" s="118" t="s">
        <v>2714</v>
      </c>
      <c r="C184" s="122" t="s">
        <v>2644</v>
      </c>
    </row>
    <row r="185" spans="2:3" ht="14.25" thickTop="1" thickBot="1">
      <c r="B185" s="118" t="s">
        <v>2714</v>
      </c>
      <c r="C185" s="130" t="s">
        <v>2184</v>
      </c>
    </row>
    <row r="186" spans="2:3" ht="14.25" thickTop="1" thickBot="1">
      <c r="B186" s="118" t="s">
        <v>2714</v>
      </c>
      <c r="C186" s="122" t="s">
        <v>1359</v>
      </c>
    </row>
    <row r="187" spans="2:3" ht="14.25" thickTop="1" thickBot="1">
      <c r="B187" s="118" t="s">
        <v>2714</v>
      </c>
      <c r="C187" s="122" t="s">
        <v>2656</v>
      </c>
    </row>
    <row r="188" spans="2:3" ht="14.25" thickTop="1" thickBot="1">
      <c r="B188" s="118" t="s">
        <v>2714</v>
      </c>
      <c r="C188" s="122" t="s">
        <v>2345</v>
      </c>
    </row>
    <row r="189" spans="2:3" ht="14.25" thickTop="1" thickBot="1">
      <c r="B189" s="118" t="s">
        <v>878</v>
      </c>
      <c r="C189" s="130" t="s">
        <v>2331</v>
      </c>
    </row>
    <row r="190" spans="2:3" ht="14.25" thickTop="1" thickBot="1">
      <c r="B190" s="116" t="s">
        <v>878</v>
      </c>
      <c r="C190" s="130" t="s">
        <v>2108</v>
      </c>
    </row>
    <row r="191" spans="2:3" ht="14.25" thickTop="1" thickBot="1">
      <c r="B191" s="118" t="s">
        <v>878</v>
      </c>
      <c r="C191" s="122" t="s">
        <v>2784</v>
      </c>
    </row>
    <row r="192" spans="2:3" ht="14.25" thickTop="1" thickBot="1">
      <c r="B192" s="116" t="s">
        <v>878</v>
      </c>
      <c r="C192" s="131" t="s">
        <v>924</v>
      </c>
    </row>
    <row r="193" spans="2:3" ht="14.25" thickTop="1" thickBot="1">
      <c r="B193" s="116" t="s">
        <v>1060</v>
      </c>
      <c r="C193" s="131" t="s">
        <v>2499</v>
      </c>
    </row>
    <row r="194" spans="2:3" ht="14.25" thickTop="1" thickBot="1">
      <c r="B194" s="116" t="s">
        <v>1060</v>
      </c>
      <c r="C194" s="130" t="s">
        <v>2476</v>
      </c>
    </row>
    <row r="195" spans="2:3" ht="14.25" thickTop="1" thickBot="1">
      <c r="B195" s="116" t="s">
        <v>1060</v>
      </c>
      <c r="C195" s="131" t="s">
        <v>2600</v>
      </c>
    </row>
    <row r="196" spans="2:3" ht="14.25" thickTop="1" thickBot="1">
      <c r="B196" s="116" t="s">
        <v>1060</v>
      </c>
      <c r="C196" s="130" t="s">
        <v>2709</v>
      </c>
    </row>
    <row r="197" spans="2:3" ht="14.25" thickTop="1" thickBot="1">
      <c r="B197" s="116" t="s">
        <v>1060</v>
      </c>
      <c r="C197" s="130" t="s">
        <v>2442</v>
      </c>
    </row>
    <row r="198" spans="2:3" ht="14.25" thickTop="1" thickBot="1">
      <c r="B198" s="118" t="s">
        <v>870</v>
      </c>
      <c r="C198" s="131" t="s">
        <v>2595</v>
      </c>
    </row>
    <row r="199" spans="2:3" ht="14.25" thickTop="1" thickBot="1">
      <c r="B199" s="116" t="s">
        <v>870</v>
      </c>
      <c r="C199" s="122" t="s">
        <v>2584</v>
      </c>
    </row>
    <row r="200" spans="2:3" ht="14.25" thickTop="1" thickBot="1">
      <c r="B200" s="116" t="s">
        <v>870</v>
      </c>
      <c r="C200" s="130" t="s">
        <v>1126</v>
      </c>
    </row>
    <row r="201" spans="2:3" ht="14.25" thickTop="1" thickBot="1">
      <c r="B201" s="116" t="s">
        <v>870</v>
      </c>
      <c r="C201" s="131" t="s">
        <v>2227</v>
      </c>
    </row>
    <row r="202" spans="2:3" ht="14.25" thickTop="1" thickBot="1">
      <c r="B202" s="116" t="s">
        <v>870</v>
      </c>
      <c r="C202" s="158" t="s">
        <v>2546</v>
      </c>
    </row>
    <row r="203" spans="2:3" ht="14.25" thickTop="1" thickBot="1">
      <c r="B203" s="116" t="s">
        <v>870</v>
      </c>
      <c r="C203" s="130" t="s">
        <v>2373</v>
      </c>
    </row>
    <row r="204" spans="2:3" ht="14.25" thickTop="1" thickBot="1">
      <c r="B204" s="125" t="s">
        <v>2284</v>
      </c>
      <c r="C204" s="129" t="s">
        <v>1025</v>
      </c>
    </row>
    <row r="205" spans="2:3" ht="14.25" thickTop="1" thickBot="1">
      <c r="B205" s="118" t="s">
        <v>2284</v>
      </c>
      <c r="C205" s="129" t="s">
        <v>2253</v>
      </c>
    </row>
    <row r="206" spans="2:3" ht="14.25" thickTop="1" thickBot="1">
      <c r="B206" s="116" t="s">
        <v>2284</v>
      </c>
      <c r="C206" s="130" t="s">
        <v>2444</v>
      </c>
    </row>
    <row r="207" spans="2:3" ht="14.25" thickTop="1" thickBot="1">
      <c r="B207" s="116" t="s">
        <v>2284</v>
      </c>
      <c r="C207" s="131" t="s">
        <v>2838</v>
      </c>
    </row>
    <row r="208" spans="2:3" ht="14.25" thickTop="1" thickBot="1">
      <c r="B208" s="116" t="s">
        <v>2284</v>
      </c>
      <c r="C208" s="130" t="s">
        <v>2492</v>
      </c>
    </row>
    <row r="209" spans="2:3" ht="14.25" thickTop="1" thickBot="1">
      <c r="B209" s="116" t="s">
        <v>2759</v>
      </c>
      <c r="C209" s="131" t="s">
        <v>2537</v>
      </c>
    </row>
    <row r="210" spans="2:3" ht="14.25" thickTop="1" thickBot="1">
      <c r="B210" s="116" t="s">
        <v>2759</v>
      </c>
      <c r="C210" s="130" t="s">
        <v>2829</v>
      </c>
    </row>
    <row r="211" spans="2:3" ht="14.25" thickTop="1" thickBot="1">
      <c r="B211" s="116" t="s">
        <v>2759</v>
      </c>
      <c r="C211" s="130" t="s">
        <v>2830</v>
      </c>
    </row>
    <row r="212" spans="2:3" ht="14.25" thickTop="1" thickBot="1">
      <c r="B212" s="116" t="s">
        <v>2759</v>
      </c>
      <c r="C212" s="130" t="s">
        <v>2831</v>
      </c>
    </row>
    <row r="213" spans="2:3" ht="14.25" thickTop="1" thickBot="1">
      <c r="B213" s="116" t="s">
        <v>2269</v>
      </c>
      <c r="C213" s="131" t="s">
        <v>996</v>
      </c>
    </row>
    <row r="214" spans="2:3" ht="14.25" thickTop="1" thickBot="1">
      <c r="B214" s="116" t="s">
        <v>2269</v>
      </c>
      <c r="C214" s="131" t="s">
        <v>964</v>
      </c>
    </row>
    <row r="215" spans="2:3" ht="14.25" thickTop="1" thickBot="1">
      <c r="B215" s="116" t="s">
        <v>2269</v>
      </c>
      <c r="C215" s="131" t="s">
        <v>811</v>
      </c>
    </row>
    <row r="216" spans="2:3" ht="14.25" thickTop="1" thickBot="1">
      <c r="B216" s="116" t="s">
        <v>2269</v>
      </c>
      <c r="C216" s="131" t="s">
        <v>2445</v>
      </c>
    </row>
    <row r="217" spans="2:3" ht="14.25" thickTop="1" thickBot="1">
      <c r="B217" s="116" t="s">
        <v>2270</v>
      </c>
      <c r="C217" s="130" t="s">
        <v>2470</v>
      </c>
    </row>
    <row r="218" spans="2:3" ht="14.25" thickTop="1" thickBot="1">
      <c r="B218" s="116" t="s">
        <v>2270</v>
      </c>
      <c r="C218" s="130" t="s">
        <v>2471</v>
      </c>
    </row>
    <row r="219" spans="2:3" ht="14.25" thickTop="1" thickBot="1">
      <c r="B219" s="116" t="s">
        <v>2270</v>
      </c>
      <c r="C219" s="130" t="s">
        <v>2496</v>
      </c>
    </row>
    <row r="220" spans="2:3" ht="14.25" thickTop="1" thickBot="1">
      <c r="B220" s="116" t="s">
        <v>2270</v>
      </c>
      <c r="C220" s="130" t="s">
        <v>2473</v>
      </c>
    </row>
    <row r="221" spans="2:3" ht="14.25" thickTop="1" thickBot="1">
      <c r="B221" s="116" t="s">
        <v>2271</v>
      </c>
      <c r="C221" s="130" t="s">
        <v>2760</v>
      </c>
    </row>
    <row r="222" spans="2:3" ht="14.25" thickTop="1" thickBot="1">
      <c r="B222" s="214" t="s">
        <v>2271</v>
      </c>
      <c r="C222" s="130" t="s">
        <v>2481</v>
      </c>
    </row>
    <row r="223" spans="2:3" ht="14.25" thickTop="1" thickBot="1">
      <c r="B223" s="118" t="s">
        <v>2271</v>
      </c>
      <c r="C223" s="122" t="s">
        <v>2463</v>
      </c>
    </row>
    <row r="224" spans="2:3" ht="14.25" thickTop="1" thickBot="1">
      <c r="B224" s="116" t="s">
        <v>2271</v>
      </c>
      <c r="C224" s="131" t="s">
        <v>2545</v>
      </c>
    </row>
    <row r="225" spans="2:3" ht="14.25" thickTop="1" thickBot="1">
      <c r="B225" s="118" t="s">
        <v>2271</v>
      </c>
      <c r="C225" s="164" t="s">
        <v>2805</v>
      </c>
    </row>
    <row r="226" spans="2:3" ht="14.25" thickTop="1" thickBot="1">
      <c r="B226" s="116" t="s">
        <v>2283</v>
      </c>
      <c r="C226" s="130" t="s">
        <v>2050</v>
      </c>
    </row>
    <row r="227" spans="2:3" ht="14.25" thickTop="1" thickBot="1">
      <c r="B227" s="116" t="s">
        <v>2283</v>
      </c>
      <c r="C227" s="130" t="s">
        <v>2834</v>
      </c>
    </row>
    <row r="228" spans="2:3" ht="14.25" thickTop="1" thickBot="1">
      <c r="B228" s="116" t="s">
        <v>2283</v>
      </c>
      <c r="C228" s="130" t="s">
        <v>1087</v>
      </c>
    </row>
    <row r="229" spans="2:3" ht="14.25" thickTop="1" thickBot="1">
      <c r="B229" s="249" t="s">
        <v>2283</v>
      </c>
      <c r="C229" s="128" t="s">
        <v>2650</v>
      </c>
    </row>
    <row r="230" spans="2:3" ht="14.25" thickTop="1" thickBot="1">
      <c r="B230" s="116" t="s">
        <v>2283</v>
      </c>
      <c r="C230" s="130" t="s">
        <v>2210</v>
      </c>
    </row>
    <row r="231" spans="2:3" ht="14.25" thickTop="1" thickBot="1">
      <c r="B231" s="125" t="s">
        <v>2735</v>
      </c>
      <c r="C231" s="129" t="s">
        <v>2762</v>
      </c>
    </row>
    <row r="232" spans="2:3" ht="14.25" thickTop="1" thickBot="1">
      <c r="B232" s="125" t="s">
        <v>2735</v>
      </c>
      <c r="C232" s="129" t="s">
        <v>2763</v>
      </c>
    </row>
    <row r="233" spans="2:3" ht="14.25" thickTop="1" thickBot="1">
      <c r="B233" s="125" t="s">
        <v>2735</v>
      </c>
      <c r="C233" s="129" t="s">
        <v>2764</v>
      </c>
    </row>
    <row r="234" spans="2:3" ht="14.25" thickTop="1" thickBot="1">
      <c r="B234" s="125" t="s">
        <v>2735</v>
      </c>
      <c r="C234" s="129" t="s">
        <v>2765</v>
      </c>
    </row>
    <row r="235" spans="2:3" ht="14.25" thickTop="1" thickBot="1">
      <c r="B235" s="116" t="s">
        <v>2738</v>
      </c>
      <c r="C235" s="130" t="s">
        <v>2682</v>
      </c>
    </row>
    <row r="236" spans="2:3" ht="14.25" thickTop="1" thickBot="1">
      <c r="B236" s="116" t="s">
        <v>2738</v>
      </c>
      <c r="C236" s="130" t="s">
        <v>2687</v>
      </c>
    </row>
    <row r="237" spans="2:3" ht="14.25" thickTop="1" thickBot="1">
      <c r="B237" s="116" t="s">
        <v>2738</v>
      </c>
      <c r="C237" s="130" t="s">
        <v>2688</v>
      </c>
    </row>
    <row r="238" spans="2:3" ht="14.25" thickTop="1" thickBot="1">
      <c r="B238" s="145" t="s">
        <v>2738</v>
      </c>
      <c r="C238" s="142" t="s">
        <v>2510</v>
      </c>
    </row>
    <row r="239" spans="2:3" ht="14.25" thickTop="1" thickBot="1">
      <c r="B239" s="116" t="s">
        <v>2346</v>
      </c>
      <c r="C239" s="131" t="s">
        <v>2161</v>
      </c>
    </row>
    <row r="240" spans="2:3" ht="14.25" thickTop="1" thickBot="1">
      <c r="B240" s="116" t="s">
        <v>2346</v>
      </c>
      <c r="C240" s="130" t="s">
        <v>2374</v>
      </c>
    </row>
    <row r="241" spans="2:3" ht="14.25" thickTop="1" thickBot="1">
      <c r="B241" s="116" t="s">
        <v>2346</v>
      </c>
      <c r="C241" s="131" t="s">
        <v>2658</v>
      </c>
    </row>
    <row r="242" spans="2:3" ht="14.25" thickTop="1" thickBot="1">
      <c r="B242" s="116" t="s">
        <v>2346</v>
      </c>
      <c r="C242" s="130" t="s">
        <v>2832</v>
      </c>
    </row>
    <row r="243" spans="2:3" ht="14.25" thickTop="1" thickBot="1">
      <c r="B243" s="116" t="s">
        <v>2346</v>
      </c>
      <c r="C243" s="122" t="s">
        <v>2388</v>
      </c>
    </row>
    <row r="244" spans="2:3" ht="14.25" thickTop="1" thickBot="1">
      <c r="B244" s="118" t="s">
        <v>859</v>
      </c>
      <c r="C244" s="131" t="s">
        <v>1944</v>
      </c>
    </row>
    <row r="245" spans="2:3" ht="14.25" thickTop="1" thickBot="1">
      <c r="B245" s="116" t="s">
        <v>859</v>
      </c>
      <c r="C245" s="131" t="s">
        <v>2582</v>
      </c>
    </row>
    <row r="246" spans="2:3" ht="14.25" thickTop="1" thickBot="1">
      <c r="B246" s="116" t="s">
        <v>859</v>
      </c>
      <c r="C246" s="130" t="s">
        <v>2521</v>
      </c>
    </row>
    <row r="247" spans="2:3" ht="14.25" thickTop="1" thickBot="1">
      <c r="B247" s="116" t="s">
        <v>859</v>
      </c>
      <c r="C247" s="131" t="s">
        <v>850</v>
      </c>
    </row>
    <row r="248" spans="2:3" ht="14.25" thickTop="1" thickBot="1">
      <c r="B248" s="116" t="s">
        <v>859</v>
      </c>
      <c r="C248" s="131" t="s">
        <v>1</v>
      </c>
    </row>
    <row r="249" spans="2:3" ht="14.25" thickTop="1" thickBot="1">
      <c r="B249" s="116" t="s">
        <v>2313</v>
      </c>
      <c r="C249" s="122" t="s">
        <v>2732</v>
      </c>
    </row>
    <row r="250" spans="2:3" ht="14.25" thickTop="1" thickBot="1">
      <c r="B250" s="116" t="s">
        <v>2313</v>
      </c>
      <c r="C250" s="122" t="s">
        <v>2729</v>
      </c>
    </row>
    <row r="251" spans="2:3" ht="14.25" thickTop="1" thickBot="1">
      <c r="B251" s="116" t="s">
        <v>2313</v>
      </c>
      <c r="C251" s="131" t="s">
        <v>2536</v>
      </c>
    </row>
    <row r="252" spans="2:3" ht="14.25" thickTop="1" thickBot="1">
      <c r="B252" s="116" t="s">
        <v>2313</v>
      </c>
      <c r="C252" s="131" t="s">
        <v>1945</v>
      </c>
    </row>
    <row r="253" spans="2:3" ht="14.25" thickTop="1" thickBot="1">
      <c r="B253" s="116" t="s">
        <v>2313</v>
      </c>
      <c r="C253" s="122" t="s">
        <v>2730</v>
      </c>
    </row>
    <row r="254" spans="2:3" ht="14.25" thickTop="1" thickBot="1">
      <c r="B254" s="116" t="s">
        <v>2313</v>
      </c>
      <c r="C254" s="131" t="s">
        <v>2295</v>
      </c>
    </row>
    <row r="255" spans="2:3" ht="14.25" thickTop="1" thickBot="1">
      <c r="B255" s="116" t="s">
        <v>2288</v>
      </c>
      <c r="C255" s="131" t="s">
        <v>2192</v>
      </c>
    </row>
    <row r="256" spans="2:3" ht="14.25" thickTop="1" thickBot="1">
      <c r="B256" s="118" t="s">
        <v>2288</v>
      </c>
      <c r="C256" s="122" t="s">
        <v>2810</v>
      </c>
    </row>
    <row r="257" spans="2:3" ht="14.25" thickTop="1" thickBot="1">
      <c r="B257" s="116" t="s">
        <v>2288</v>
      </c>
      <c r="C257" s="131" t="s">
        <v>2179</v>
      </c>
    </row>
    <row r="258" spans="2:3" ht="14.25" thickTop="1" thickBot="1">
      <c r="B258" s="116" t="s">
        <v>2288</v>
      </c>
      <c r="C258" s="130" t="s">
        <v>2277</v>
      </c>
    </row>
    <row r="259" spans="2:3" ht="14.25" thickTop="1" thickBot="1">
      <c r="B259" s="118" t="s">
        <v>2288</v>
      </c>
      <c r="C259" s="131" t="s">
        <v>2230</v>
      </c>
    </row>
    <row r="260" spans="2:3" ht="14.25" thickTop="1" thickBot="1">
      <c r="B260" s="116" t="s">
        <v>2272</v>
      </c>
      <c r="C260" s="122" t="s">
        <v>2377</v>
      </c>
    </row>
    <row r="261" spans="2:3" ht="14.25" thickTop="1" thickBot="1">
      <c r="B261" s="116" t="s">
        <v>2272</v>
      </c>
      <c r="C261" s="131" t="s">
        <v>2170</v>
      </c>
    </row>
    <row r="262" spans="2:3" ht="14.25" thickTop="1" thickBot="1">
      <c r="B262" s="116" t="s">
        <v>2272</v>
      </c>
      <c r="C262" s="257" t="s">
        <v>1576</v>
      </c>
    </row>
    <row r="263" spans="2:3" ht="14.25" thickTop="1" thickBot="1">
      <c r="B263" s="116" t="s">
        <v>2272</v>
      </c>
      <c r="C263" s="131" t="s">
        <v>2538</v>
      </c>
    </row>
    <row r="264" spans="2:3" ht="14.25" thickTop="1" thickBot="1">
      <c r="B264" s="116" t="s">
        <v>2272</v>
      </c>
      <c r="C264" s="131" t="s">
        <v>2056</v>
      </c>
    </row>
    <row r="265" spans="2:3" ht="14.25" thickTop="1" thickBot="1">
      <c r="B265" s="116" t="s">
        <v>2348</v>
      </c>
      <c r="C265" s="131" t="s">
        <v>2320</v>
      </c>
    </row>
    <row r="266" spans="2:3" ht="14.25" thickTop="1" thickBot="1">
      <c r="B266" s="116" t="s">
        <v>2348</v>
      </c>
      <c r="C266" s="130" t="s">
        <v>2488</v>
      </c>
    </row>
    <row r="267" spans="2:3" ht="14.25" thickTop="1" thickBot="1">
      <c r="B267" s="116" t="s">
        <v>2348</v>
      </c>
      <c r="C267" s="131" t="s">
        <v>2311</v>
      </c>
    </row>
    <row r="268" spans="2:3" ht="14.25" thickTop="1" thickBot="1">
      <c r="B268" s="116" t="s">
        <v>2348</v>
      </c>
      <c r="C268" s="122" t="s">
        <v>2591</v>
      </c>
    </row>
    <row r="269" spans="2:3" ht="14.25" thickTop="1" thickBot="1">
      <c r="B269" s="116" t="s">
        <v>2348</v>
      </c>
      <c r="C269" s="130" t="s">
        <v>2539</v>
      </c>
    </row>
    <row r="270" spans="2:3" ht="14.25" thickTop="1" thickBot="1">
      <c r="B270" s="116" t="s">
        <v>2305</v>
      </c>
      <c r="C270" s="131" t="s">
        <v>2380</v>
      </c>
    </row>
    <row r="271" spans="2:3" ht="14.25" thickTop="1" thickBot="1">
      <c r="B271" s="116" t="s">
        <v>2305</v>
      </c>
      <c r="C271" s="130" t="s">
        <v>2750</v>
      </c>
    </row>
    <row r="272" spans="2:3" ht="14.25" thickTop="1" thickBot="1">
      <c r="B272" s="116" t="s">
        <v>2305</v>
      </c>
      <c r="C272" s="131" t="s">
        <v>2100</v>
      </c>
    </row>
    <row r="273" spans="2:3" ht="14.25" thickTop="1" thickBot="1">
      <c r="B273" s="123" t="s">
        <v>2305</v>
      </c>
      <c r="C273" s="131" t="s">
        <v>281</v>
      </c>
    </row>
    <row r="274" spans="2:3" ht="14.25" thickTop="1" thickBot="1">
      <c r="B274" s="116" t="s">
        <v>867</v>
      </c>
      <c r="C274" s="130" t="s">
        <v>2798</v>
      </c>
    </row>
    <row r="275" spans="2:3" ht="14.25" thickTop="1" thickBot="1">
      <c r="B275" s="116" t="s">
        <v>867</v>
      </c>
      <c r="C275" s="130" t="s">
        <v>2799</v>
      </c>
    </row>
    <row r="276" spans="2:3" ht="14.25" thickTop="1" thickBot="1">
      <c r="B276" s="116" t="s">
        <v>867</v>
      </c>
      <c r="C276" s="130" t="s">
        <v>2800</v>
      </c>
    </row>
    <row r="277" spans="2:3" ht="14.25" thickTop="1" thickBot="1">
      <c r="B277" s="116" t="s">
        <v>867</v>
      </c>
      <c r="C277" s="130" t="s">
        <v>2801</v>
      </c>
    </row>
    <row r="278" spans="2:3" ht="14.25" thickTop="1" thickBot="1">
      <c r="B278" s="116" t="s">
        <v>867</v>
      </c>
      <c r="C278" s="130" t="s">
        <v>2802</v>
      </c>
    </row>
    <row r="279" spans="2:3" ht="14.25" thickTop="1" thickBot="1">
      <c r="B279" s="116" t="s">
        <v>99</v>
      </c>
      <c r="C279" s="85" t="s">
        <v>1946</v>
      </c>
    </row>
    <row r="280" spans="2:3" ht="14.25" thickTop="1" thickBot="1">
      <c r="B280" s="123" t="s">
        <v>99</v>
      </c>
      <c r="C280" s="130" t="s">
        <v>777</v>
      </c>
    </row>
    <row r="281" spans="2:3" ht="14.25" thickTop="1" thickBot="1">
      <c r="B281" s="116" t="s">
        <v>99</v>
      </c>
      <c r="C281" s="130" t="s">
        <v>2335</v>
      </c>
    </row>
    <row r="282" spans="2:3" ht="14.25" thickTop="1" thickBot="1">
      <c r="B282" s="116" t="s">
        <v>99</v>
      </c>
      <c r="C282" s="130" t="s">
        <v>2660</v>
      </c>
    </row>
    <row r="283" spans="2:3" ht="14.25" thickTop="1" thickBot="1">
      <c r="B283" s="118" t="s">
        <v>99</v>
      </c>
      <c r="C283" s="131" t="s">
        <v>1868</v>
      </c>
    </row>
    <row r="284" spans="2:3" ht="14.25" thickTop="1" thickBot="1">
      <c r="B284" s="116" t="s">
        <v>2262</v>
      </c>
      <c r="C284" s="130" t="s">
        <v>2046</v>
      </c>
    </row>
    <row r="285" spans="2:3" ht="14.25" thickTop="1" thickBot="1">
      <c r="B285" s="125" t="s">
        <v>2262</v>
      </c>
      <c r="C285" s="130" t="s">
        <v>1028</v>
      </c>
    </row>
    <row r="286" spans="2:3" ht="14.25" thickTop="1" thickBot="1">
      <c r="B286" s="116" t="s">
        <v>2262</v>
      </c>
      <c r="C286" s="130" t="s">
        <v>2334</v>
      </c>
    </row>
    <row r="287" spans="2:3" ht="14.25" thickTop="1" thickBot="1">
      <c r="B287" s="116" t="s">
        <v>2262</v>
      </c>
      <c r="C287" s="130" t="s">
        <v>2512</v>
      </c>
    </row>
    <row r="288" spans="2:3" ht="14.25" thickTop="1" thickBot="1">
      <c r="B288" s="116" t="s">
        <v>2262</v>
      </c>
      <c r="C288" s="130" t="s">
        <v>2605</v>
      </c>
    </row>
    <row r="289" spans="2:3" ht="14.25" thickTop="1" thickBot="1">
      <c r="B289" s="116" t="s">
        <v>944</v>
      </c>
      <c r="C289" s="122" t="s">
        <v>1501</v>
      </c>
    </row>
    <row r="290" spans="2:3" ht="14.25" thickTop="1" thickBot="1">
      <c r="B290" s="116" t="s">
        <v>944</v>
      </c>
      <c r="C290" s="130" t="s">
        <v>2332</v>
      </c>
    </row>
    <row r="291" spans="2:3" ht="14.25" thickTop="1" thickBot="1">
      <c r="B291" s="116" t="s">
        <v>944</v>
      </c>
      <c r="C291" s="122" t="s">
        <v>2328</v>
      </c>
    </row>
    <row r="292" spans="2:3" ht="14.25" thickTop="1" thickBot="1">
      <c r="B292" s="116" t="s">
        <v>944</v>
      </c>
      <c r="C292" s="122" t="s">
        <v>2324</v>
      </c>
    </row>
    <row r="293" spans="2:3" ht="14.25" thickTop="1" thickBot="1">
      <c r="B293" s="116" t="s">
        <v>944</v>
      </c>
      <c r="C293" s="130" t="s">
        <v>2511</v>
      </c>
    </row>
    <row r="294" spans="2:3" ht="14.25" thickTop="1" thickBot="1">
      <c r="B294" s="116" t="s">
        <v>597</v>
      </c>
      <c r="C294" s="130" t="s">
        <v>1755</v>
      </c>
    </row>
    <row r="295" spans="2:3" ht="14.25" thickTop="1" thickBot="1">
      <c r="B295" s="116" t="s">
        <v>597</v>
      </c>
      <c r="C295" s="130" t="s">
        <v>569</v>
      </c>
    </row>
    <row r="296" spans="2:3" ht="14.25" thickTop="1" thickBot="1">
      <c r="B296" s="116" t="s">
        <v>597</v>
      </c>
      <c r="C296" s="130" t="s">
        <v>2079</v>
      </c>
    </row>
    <row r="297" spans="2:3" ht="14.25" thickTop="1" thickBot="1">
      <c r="B297" s="118" t="s">
        <v>597</v>
      </c>
      <c r="C297" s="142" t="s">
        <v>2296</v>
      </c>
    </row>
    <row r="298" spans="2:3" ht="14.25" thickTop="1" thickBot="1">
      <c r="B298" s="125" t="s">
        <v>475</v>
      </c>
      <c r="C298" s="122" t="s">
        <v>2772</v>
      </c>
    </row>
    <row r="299" spans="2:3" ht="14.25" thickTop="1" thickBot="1">
      <c r="B299" s="116" t="s">
        <v>475</v>
      </c>
      <c r="C299" s="130" t="s">
        <v>2287</v>
      </c>
    </row>
    <row r="300" spans="2:3" ht="14.25" thickTop="1" thickBot="1">
      <c r="B300" s="123" t="s">
        <v>475</v>
      </c>
      <c r="C300" s="129" t="s">
        <v>2367</v>
      </c>
    </row>
    <row r="301" spans="2:3" ht="14.25" thickTop="1" thickBot="1">
      <c r="B301" s="116" t="s">
        <v>475</v>
      </c>
      <c r="C301" s="129" t="s">
        <v>1917</v>
      </c>
    </row>
    <row r="302" spans="2:3" ht="14.25" thickTop="1" thickBot="1">
      <c r="B302" s="116" t="s">
        <v>475</v>
      </c>
      <c r="C302" s="129" t="s">
        <v>2540</v>
      </c>
    </row>
    <row r="303" spans="2:3" ht="14.25" thickTop="1" thickBot="1">
      <c r="B303" s="116" t="s">
        <v>227</v>
      </c>
      <c r="C303" s="130" t="s">
        <v>1904</v>
      </c>
    </row>
    <row r="304" spans="2:3" ht="14.25" thickTop="1" thickBot="1">
      <c r="B304" s="116" t="s">
        <v>227</v>
      </c>
      <c r="C304" s="130" t="s">
        <v>2513</v>
      </c>
    </row>
    <row r="305" spans="2:3" ht="14.25" thickTop="1" thickBot="1">
      <c r="B305" s="116" t="s">
        <v>227</v>
      </c>
      <c r="C305" s="130" t="s">
        <v>2566</v>
      </c>
    </row>
    <row r="306" spans="2:3" ht="14.25" thickTop="1" thickBot="1">
      <c r="B306" s="116" t="s">
        <v>227</v>
      </c>
      <c r="C306" s="130" t="s">
        <v>2514</v>
      </c>
    </row>
    <row r="307" spans="2:3" ht="14.25" thickTop="1" thickBot="1">
      <c r="B307" s="116" t="s">
        <v>227</v>
      </c>
      <c r="C307" s="130" t="s">
        <v>196</v>
      </c>
    </row>
    <row r="308" spans="2:3" ht="14.25" thickTop="1" thickBot="1">
      <c r="B308" s="116" t="s">
        <v>902</v>
      </c>
      <c r="C308" s="130" t="s">
        <v>2570</v>
      </c>
    </row>
    <row r="309" spans="2:3" ht="14.25" thickTop="1" thickBot="1">
      <c r="B309" s="116" t="s">
        <v>902</v>
      </c>
      <c r="C309" s="130" t="s">
        <v>2483</v>
      </c>
    </row>
    <row r="310" spans="2:3" ht="14.25" thickTop="1" thickBot="1">
      <c r="B310" s="116" t="s">
        <v>902</v>
      </c>
      <c r="C310" s="130" t="s">
        <v>2690</v>
      </c>
    </row>
    <row r="311" spans="2:3" ht="14.25" thickTop="1" thickBot="1">
      <c r="B311" s="116" t="s">
        <v>902</v>
      </c>
      <c r="C311" s="130" t="s">
        <v>2708</v>
      </c>
    </row>
    <row r="312" spans="2:3" ht="14.25" thickTop="1" thickBot="1">
      <c r="B312" s="116" t="s">
        <v>902</v>
      </c>
      <c r="C312" s="130" t="s">
        <v>2484</v>
      </c>
    </row>
    <row r="313" spans="2:3" ht="14.25" thickTop="1" thickBot="1">
      <c r="B313" s="116" t="s">
        <v>578</v>
      </c>
      <c r="C313" s="130" t="s">
        <v>2679</v>
      </c>
    </row>
    <row r="314" spans="2:3" ht="14.25" thickTop="1" thickBot="1">
      <c r="B314" s="116" t="s">
        <v>578</v>
      </c>
      <c r="C314" s="130" t="s">
        <v>2680</v>
      </c>
    </row>
    <row r="315" spans="2:3" ht="14.25" thickTop="1" thickBot="1">
      <c r="B315" s="116" t="s">
        <v>578</v>
      </c>
      <c r="C315" s="130" t="s">
        <v>2699</v>
      </c>
    </row>
    <row r="316" spans="2:3" ht="14.25" thickTop="1" thickBot="1">
      <c r="B316" s="116" t="s">
        <v>578</v>
      </c>
      <c r="C316" s="130" t="s">
        <v>2713</v>
      </c>
    </row>
    <row r="317" spans="2:3" ht="14.25" thickTop="1" thickBot="1">
      <c r="B317" s="118" t="s">
        <v>578</v>
      </c>
      <c r="C317" s="130" t="s">
        <v>2677</v>
      </c>
    </row>
    <row r="318" spans="2:3" ht="14.25" thickTop="1" thickBot="1">
      <c r="B318" s="116" t="s">
        <v>578</v>
      </c>
      <c r="C318" s="122" t="s">
        <v>2337</v>
      </c>
    </row>
    <row r="319" spans="2:3" ht="14.25" thickTop="1" thickBot="1">
      <c r="B319" s="116" t="s">
        <v>2414</v>
      </c>
      <c r="C319" s="164" t="s">
        <v>2806</v>
      </c>
    </row>
    <row r="320" spans="2:3" ht="14.25" thickTop="1" thickBot="1">
      <c r="B320" s="116" t="s">
        <v>2414</v>
      </c>
      <c r="C320" s="164" t="s">
        <v>2807</v>
      </c>
    </row>
    <row r="321" spans="2:3" ht="14.25" thickTop="1" thickBot="1">
      <c r="B321" s="118" t="s">
        <v>2414</v>
      </c>
      <c r="C321" s="122" t="s">
        <v>2651</v>
      </c>
    </row>
    <row r="322" spans="2:3" ht="14.25" thickTop="1" thickBot="1">
      <c r="B322" s="116" t="s">
        <v>2414</v>
      </c>
      <c r="C322" s="122" t="s">
        <v>2654</v>
      </c>
    </row>
    <row r="323" spans="2:3" ht="14.25" thickTop="1" thickBot="1">
      <c r="B323" s="116" t="s">
        <v>2414</v>
      </c>
      <c r="C323" s="131" t="s">
        <v>2099</v>
      </c>
    </row>
    <row r="324" spans="2:3" ht="14.25" thickTop="1" thickBot="1">
      <c r="B324" s="139" t="s">
        <v>2715</v>
      </c>
      <c r="C324" s="164" t="s">
        <v>2827</v>
      </c>
    </row>
    <row r="325" spans="2:3" ht="14.25" thickTop="1" thickBot="1">
      <c r="B325" s="139" t="s">
        <v>2715</v>
      </c>
      <c r="C325" s="164" t="s">
        <v>2826</v>
      </c>
    </row>
    <row r="326" spans="2:3" ht="14.25" thickTop="1" thickBot="1">
      <c r="B326" s="116" t="s">
        <v>2317</v>
      </c>
      <c r="C326" s="131" t="s">
        <v>2723</v>
      </c>
    </row>
    <row r="327" spans="2:3" ht="14.25" thickTop="1" thickBot="1">
      <c r="B327" s="116" t="s">
        <v>2317</v>
      </c>
      <c r="C327" s="130" t="s">
        <v>2681</v>
      </c>
    </row>
    <row r="328" spans="2:3" ht="14.25" thickTop="1" thickBot="1">
      <c r="B328" s="116" t="s">
        <v>2317</v>
      </c>
      <c r="C328" s="131" t="s">
        <v>474</v>
      </c>
    </row>
    <row r="329" spans="2:3" ht="14.25" thickTop="1" thickBot="1">
      <c r="B329" s="116" t="s">
        <v>2317</v>
      </c>
      <c r="C329" s="130" t="s">
        <v>2811</v>
      </c>
    </row>
    <row r="330" spans="2:3" ht="14.25" thickTop="1" thickBot="1">
      <c r="B330" s="116" t="s">
        <v>2317</v>
      </c>
      <c r="C330" s="122" t="s">
        <v>2731</v>
      </c>
    </row>
    <row r="331" spans="2:3" ht="14.25" thickTop="1" thickBot="1">
      <c r="B331" s="116" t="s">
        <v>701</v>
      </c>
      <c r="C331" s="131" t="s">
        <v>2522</v>
      </c>
    </row>
    <row r="332" spans="2:3" ht="14.25" thickTop="1" thickBot="1">
      <c r="B332" s="116" t="s">
        <v>701</v>
      </c>
      <c r="C332" s="130" t="s">
        <v>2472</v>
      </c>
    </row>
    <row r="333" spans="2:3" ht="14.25" thickTop="1" thickBot="1">
      <c r="B333" s="116" t="s">
        <v>701</v>
      </c>
      <c r="C333" s="130" t="s">
        <v>2490</v>
      </c>
    </row>
    <row r="334" spans="2:3" ht="14.25" thickTop="1" thickBot="1">
      <c r="B334" s="118" t="s">
        <v>701</v>
      </c>
      <c r="C334" s="130" t="s">
        <v>2493</v>
      </c>
    </row>
    <row r="335" spans="2:3" ht="14.25" thickTop="1" thickBot="1">
      <c r="B335" s="116" t="s">
        <v>701</v>
      </c>
      <c r="C335" s="131" t="s">
        <v>2728</v>
      </c>
    </row>
    <row r="336" spans="2:3" ht="14.25" thickTop="1" thickBot="1">
      <c r="B336" s="116" t="s">
        <v>715</v>
      </c>
      <c r="C336" s="131" t="s">
        <v>1239</v>
      </c>
    </row>
    <row r="337" spans="2:3" ht="14.25" thickTop="1" thickBot="1">
      <c r="B337" s="116" t="s">
        <v>715</v>
      </c>
      <c r="C337" s="131" t="s">
        <v>2747</v>
      </c>
    </row>
    <row r="338" spans="2:3" ht="14.25" thickTop="1" thickBot="1">
      <c r="B338" s="116" t="s">
        <v>715</v>
      </c>
      <c r="C338" s="259" t="s">
        <v>2741</v>
      </c>
    </row>
    <row r="339" spans="2:3" ht="14.25" thickTop="1" thickBot="1">
      <c r="B339" s="116" t="s">
        <v>715</v>
      </c>
      <c r="C339" s="131" t="s">
        <v>2489</v>
      </c>
    </row>
    <row r="340" spans="2:3" ht="14.25" thickTop="1" thickBot="1">
      <c r="B340" s="116" t="s">
        <v>715</v>
      </c>
      <c r="C340" s="131" t="s">
        <v>2743</v>
      </c>
    </row>
    <row r="341" spans="2:3" ht="14.25" thickTop="1" thickBot="1">
      <c r="B341" s="116" t="s">
        <v>715</v>
      </c>
      <c r="C341" s="208" t="s">
        <v>2746</v>
      </c>
    </row>
    <row r="342" spans="2:3" ht="14.25" thickTop="1" thickBot="1">
      <c r="B342" s="116" t="s">
        <v>1324</v>
      </c>
      <c r="C342" s="130" t="s">
        <v>2248</v>
      </c>
    </row>
    <row r="343" spans="2:3" ht="14.25" thickTop="1" thickBot="1">
      <c r="B343" s="116" t="s">
        <v>1324</v>
      </c>
      <c r="C343" s="122" t="s">
        <v>756</v>
      </c>
    </row>
    <row r="344" spans="2:3" ht="14.25" thickTop="1" thickBot="1">
      <c r="B344" s="123" t="s">
        <v>1324</v>
      </c>
      <c r="C344" s="130" t="s">
        <v>2486</v>
      </c>
    </row>
    <row r="345" spans="2:3" ht="14.25" thickTop="1" thickBot="1">
      <c r="B345" s="123" t="s">
        <v>1324</v>
      </c>
      <c r="C345" s="130" t="s">
        <v>297</v>
      </c>
    </row>
    <row r="346" spans="2:3" ht="14.25" thickTop="1" thickBot="1">
      <c r="B346" s="116" t="s">
        <v>1503</v>
      </c>
      <c r="C346" s="130" t="s">
        <v>2330</v>
      </c>
    </row>
    <row r="347" spans="2:3" ht="14.25" thickTop="1" thickBot="1">
      <c r="B347" s="123" t="s">
        <v>1503</v>
      </c>
      <c r="C347" s="122" t="s">
        <v>2321</v>
      </c>
    </row>
    <row r="348" spans="2:3" ht="14.25" thickTop="1" thickBot="1">
      <c r="B348" s="118" t="s">
        <v>1503</v>
      </c>
      <c r="C348" s="131" t="s">
        <v>2835</v>
      </c>
    </row>
    <row r="349" spans="2:3" ht="14.25" thickTop="1" thickBot="1">
      <c r="B349" s="118" t="s">
        <v>1503</v>
      </c>
      <c r="C349" s="122" t="s">
        <v>912</v>
      </c>
    </row>
    <row r="350" spans="2:3" ht="14.25" thickTop="1" thickBot="1">
      <c r="B350" s="116" t="s">
        <v>716</v>
      </c>
      <c r="C350" s="130" t="s">
        <v>2439</v>
      </c>
    </row>
    <row r="351" spans="2:3" ht="14.25" thickTop="1" thickBot="1">
      <c r="B351" s="116" t="s">
        <v>716</v>
      </c>
      <c r="C351" s="122" t="s">
        <v>2520</v>
      </c>
    </row>
    <row r="352" spans="2:3" ht="14.25" thickTop="1" thickBot="1">
      <c r="B352" s="116" t="s">
        <v>716</v>
      </c>
      <c r="C352" s="130" t="s">
        <v>2336</v>
      </c>
    </row>
    <row r="353" spans="2:3" ht="14.25" thickTop="1" thickBot="1">
      <c r="B353" s="116" t="s">
        <v>716</v>
      </c>
      <c r="C353" s="122" t="s">
        <v>2387</v>
      </c>
    </row>
    <row r="354" spans="2:3" ht="14.25" thickTop="1" thickBot="1">
      <c r="B354" s="116" t="s">
        <v>716</v>
      </c>
      <c r="C354" s="131" t="s">
        <v>2105</v>
      </c>
    </row>
    <row r="355" spans="2:3" ht="14.25" thickTop="1" thickBot="1">
      <c r="B355" s="116" t="s">
        <v>2273</v>
      </c>
      <c r="C355" s="130" t="s">
        <v>2478</v>
      </c>
    </row>
    <row r="356" spans="2:3" ht="14.25" thickTop="1" thickBot="1">
      <c r="B356" s="116" t="s">
        <v>2273</v>
      </c>
      <c r="C356" s="131" t="s">
        <v>1746</v>
      </c>
    </row>
    <row r="357" spans="2:3" ht="14.25" thickTop="1" thickBot="1">
      <c r="B357" s="116" t="s">
        <v>2273</v>
      </c>
      <c r="C357" s="130" t="s">
        <v>2254</v>
      </c>
    </row>
    <row r="358" spans="2:3" ht="14.25" thickTop="1" thickBot="1">
      <c r="B358" s="116" t="s">
        <v>2273</v>
      </c>
      <c r="C358" s="130" t="s">
        <v>2329</v>
      </c>
    </row>
    <row r="359" spans="2:3" ht="14.25" thickTop="1" thickBot="1">
      <c r="B359" s="116" t="s">
        <v>2273</v>
      </c>
      <c r="C359" s="130" t="s">
        <v>1883</v>
      </c>
    </row>
    <row r="360" spans="2:3" ht="14.25" thickTop="1" thickBot="1">
      <c r="B360" s="116" t="s">
        <v>2543</v>
      </c>
      <c r="C360" s="130" t="s">
        <v>2216</v>
      </c>
    </row>
    <row r="361" spans="2:3" ht="14.25" thickTop="1" thickBot="1">
      <c r="B361" s="116" t="s">
        <v>2543</v>
      </c>
      <c r="C361" s="131" t="s">
        <v>2796</v>
      </c>
    </row>
    <row r="362" spans="2:3" ht="14.25" thickTop="1" thickBot="1">
      <c r="B362" s="116" t="s">
        <v>2543</v>
      </c>
      <c r="C362" s="130" t="s">
        <v>2468</v>
      </c>
    </row>
    <row r="363" spans="2:3" ht="14.25" thickTop="1" thickBot="1">
      <c r="B363" s="116" t="s">
        <v>2543</v>
      </c>
      <c r="C363" s="122" t="s">
        <v>2836</v>
      </c>
    </row>
    <row r="364" spans="2:3" ht="14.25" thickTop="1" thickBot="1">
      <c r="B364" s="118" t="s">
        <v>2543</v>
      </c>
      <c r="C364" s="131" t="s">
        <v>2666</v>
      </c>
    </row>
    <row r="365" spans="2:3" ht="14.25" thickTop="1" thickBot="1">
      <c r="B365" s="118" t="s">
        <v>2689</v>
      </c>
      <c r="C365" s="122" t="s">
        <v>2572</v>
      </c>
    </row>
    <row r="366" spans="2:3" ht="14.25" thickTop="1" thickBot="1">
      <c r="B366" s="126" t="s">
        <v>2689</v>
      </c>
      <c r="C366" s="122" t="s">
        <v>2578</v>
      </c>
    </row>
    <row r="367" spans="2:3" ht="14.25" thickTop="1" thickBot="1">
      <c r="B367" s="116" t="s">
        <v>2689</v>
      </c>
      <c r="C367" s="130" t="s">
        <v>2815</v>
      </c>
    </row>
    <row r="368" spans="2:3" ht="14.25" thickTop="1" thickBot="1">
      <c r="B368" s="116" t="s">
        <v>2689</v>
      </c>
      <c r="C368" s="158" t="s">
        <v>493</v>
      </c>
    </row>
    <row r="369" spans="2:3" ht="14.25" thickTop="1" thickBot="1">
      <c r="B369" s="116" t="s">
        <v>2689</v>
      </c>
      <c r="C369" s="131" t="s">
        <v>2379</v>
      </c>
    </row>
    <row r="370" spans="2:3" ht="14.25" thickTop="1" thickBot="1">
      <c r="B370" s="116" t="s">
        <v>2454</v>
      </c>
      <c r="C370" s="131" t="s">
        <v>1966</v>
      </c>
    </row>
    <row r="371" spans="2:3" ht="14.25" thickTop="1" thickBot="1">
      <c r="B371" s="116" t="s">
        <v>2454</v>
      </c>
      <c r="C371" s="130" t="s">
        <v>323</v>
      </c>
    </row>
    <row r="372" spans="2:3" ht="14.25" thickTop="1" thickBot="1">
      <c r="B372" s="116" t="s">
        <v>2454</v>
      </c>
      <c r="C372" s="130" t="s">
        <v>2467</v>
      </c>
    </row>
    <row r="373" spans="2:3" ht="14.25" thickTop="1" thickBot="1">
      <c r="B373" s="116" t="s">
        <v>2454</v>
      </c>
      <c r="C373" s="122" t="s">
        <v>2785</v>
      </c>
    </row>
    <row r="374" spans="2:3" ht="14.25" thickTop="1" thickBot="1">
      <c r="B374" s="126" t="s">
        <v>2454</v>
      </c>
      <c r="C374" s="130" t="s">
        <v>2303</v>
      </c>
    </row>
    <row r="375" spans="2:3" ht="14.25" thickTop="1" thickBot="1">
      <c r="B375" s="126" t="s">
        <v>1226</v>
      </c>
      <c r="C375" s="122" t="s">
        <v>1112</v>
      </c>
    </row>
    <row r="376" spans="2:3" ht="14.25" thickTop="1" thickBot="1">
      <c r="B376" s="118" t="s">
        <v>1226</v>
      </c>
      <c r="C376" s="122" t="s">
        <v>2548</v>
      </c>
    </row>
    <row r="377" spans="2:3" ht="14.25" thickTop="1" thickBot="1">
      <c r="B377" s="126" t="s">
        <v>1226</v>
      </c>
      <c r="C377" s="131" t="s">
        <v>1968</v>
      </c>
    </row>
    <row r="378" spans="2:3" ht="14.25" thickTop="1" thickBot="1">
      <c r="B378" s="118" t="s">
        <v>1226</v>
      </c>
      <c r="C378" s="122" t="s">
        <v>1995</v>
      </c>
    </row>
    <row r="379" spans="2:3" ht="14.25" thickTop="1" thickBot="1">
      <c r="B379" s="116" t="s">
        <v>2453</v>
      </c>
      <c r="C379" s="131" t="s">
        <v>2557</v>
      </c>
    </row>
    <row r="380" spans="2:3" ht="14.25" thickTop="1" thickBot="1">
      <c r="B380" s="118" t="s">
        <v>2453</v>
      </c>
      <c r="C380" s="130" t="s">
        <v>311</v>
      </c>
    </row>
    <row r="381" spans="2:3" ht="14.25" thickTop="1" thickBot="1">
      <c r="B381" s="116" t="s">
        <v>2453</v>
      </c>
      <c r="C381" s="122" t="s">
        <v>1971</v>
      </c>
    </row>
    <row r="382" spans="2:3" ht="14.25" thickTop="1" thickBot="1">
      <c r="B382" s="118" t="s">
        <v>2453</v>
      </c>
      <c r="C382" s="130" t="s">
        <v>1390</v>
      </c>
    </row>
    <row r="383" spans="2:3" ht="14.25" thickTop="1" thickBot="1">
      <c r="B383" s="116" t="s">
        <v>2453</v>
      </c>
      <c r="C383" s="122" t="s">
        <v>1951</v>
      </c>
    </row>
    <row r="384" spans="2:3" ht="14.25" thickTop="1" thickBot="1">
      <c r="B384" s="116" t="s">
        <v>2455</v>
      </c>
      <c r="C384" s="130" t="s">
        <v>2147</v>
      </c>
    </row>
    <row r="385" spans="2:3" ht="14.25" thickTop="1" thickBot="1">
      <c r="B385" s="116" t="s">
        <v>2455</v>
      </c>
      <c r="C385" s="129" t="s">
        <v>1662</v>
      </c>
    </row>
    <row r="386" spans="2:3" ht="14.25" thickTop="1" thickBot="1">
      <c r="B386" s="116" t="s">
        <v>2455</v>
      </c>
      <c r="C386" s="130" t="s">
        <v>1827</v>
      </c>
    </row>
    <row r="387" spans="2:3" ht="14.25" thickTop="1" thickBot="1">
      <c r="B387" s="123" t="s">
        <v>2455</v>
      </c>
      <c r="C387" s="129" t="s">
        <v>2087</v>
      </c>
    </row>
    <row r="388" spans="2:3" ht="14.25" thickTop="1" thickBot="1">
      <c r="B388" s="126" t="s">
        <v>2451</v>
      </c>
      <c r="C388" s="129" t="s">
        <v>2541</v>
      </c>
    </row>
    <row r="389" spans="2:3" ht="14.25" thickTop="1" thickBot="1">
      <c r="B389" s="116" t="s">
        <v>2451</v>
      </c>
      <c r="C389" s="141" t="s">
        <v>2086</v>
      </c>
    </row>
    <row r="390" spans="2:3" ht="14.25" thickTop="1" thickBot="1">
      <c r="B390" s="118" t="s">
        <v>2451</v>
      </c>
      <c r="C390" s="146" t="s">
        <v>2085</v>
      </c>
    </row>
    <row r="391" spans="2:3" ht="14.25" thickTop="1" thickBot="1">
      <c r="B391" s="116" t="s">
        <v>2451</v>
      </c>
      <c r="C391" s="130" t="s">
        <v>2550</v>
      </c>
    </row>
    <row r="392" spans="2:3" ht="14.25" thickTop="1" thickBot="1">
      <c r="B392" s="116" t="s">
        <v>2451</v>
      </c>
      <c r="C392" s="237" t="s">
        <v>1956</v>
      </c>
    </row>
    <row r="393" spans="2:3" ht="14.25" thickTop="1" thickBot="1">
      <c r="B393" s="116" t="s">
        <v>2505</v>
      </c>
      <c r="C393" s="130" t="s">
        <v>2571</v>
      </c>
    </row>
    <row r="394" spans="2:3" ht="14.25" thickTop="1" thickBot="1">
      <c r="B394" s="116" t="s">
        <v>2505</v>
      </c>
      <c r="C394" s="130" t="s">
        <v>2574</v>
      </c>
    </row>
    <row r="395" spans="2:3" ht="14.25" thickTop="1" thickBot="1">
      <c r="B395" s="116" t="s">
        <v>2505</v>
      </c>
      <c r="C395" s="130" t="s">
        <v>2575</v>
      </c>
    </row>
    <row r="396" spans="2:3" ht="14.25" thickTop="1" thickBot="1">
      <c r="B396" s="118" t="s">
        <v>2505</v>
      </c>
      <c r="C396" s="130" t="s">
        <v>2580</v>
      </c>
    </row>
    <row r="397" spans="2:3" ht="14.25" thickTop="1" thickBot="1">
      <c r="B397" s="118" t="s">
        <v>2505</v>
      </c>
      <c r="C397" s="122" t="s">
        <v>2590</v>
      </c>
    </row>
    <row r="398" spans="2:3" ht="14.25" thickTop="1" thickBot="1">
      <c r="B398" s="118" t="s">
        <v>2551</v>
      </c>
      <c r="C398" s="122" t="s">
        <v>2695</v>
      </c>
    </row>
    <row r="399" spans="2:3" ht="14.25" thickTop="1" thickBot="1">
      <c r="B399" s="116" t="s">
        <v>2551</v>
      </c>
      <c r="C399" s="122" t="s">
        <v>2501</v>
      </c>
    </row>
    <row r="400" spans="2:3" ht="14.25" thickTop="1" thickBot="1">
      <c r="B400" s="116" t="s">
        <v>2551</v>
      </c>
      <c r="C400" s="130" t="s">
        <v>2601</v>
      </c>
    </row>
    <row r="401" spans="2:3" ht="14.25" thickTop="1" thickBot="1">
      <c r="B401" s="116" t="s">
        <v>2551</v>
      </c>
      <c r="C401" s="130" t="s">
        <v>255</v>
      </c>
    </row>
    <row r="402" spans="2:3" ht="14.25" thickTop="1" thickBot="1">
      <c r="B402" s="118" t="s">
        <v>2551</v>
      </c>
      <c r="C402" s="131" t="s">
        <v>2544</v>
      </c>
    </row>
    <row r="403" spans="2:3" ht="14.25" thickTop="1" thickBot="1">
      <c r="B403" s="125" t="s">
        <v>2567</v>
      </c>
      <c r="C403" s="129" t="s">
        <v>2766</v>
      </c>
    </row>
    <row r="404" spans="2:3" ht="14.25" thickTop="1" thickBot="1">
      <c r="B404" s="118" t="s">
        <v>2567</v>
      </c>
      <c r="C404" s="122" t="s">
        <v>1234</v>
      </c>
    </row>
    <row r="405" spans="2:3" ht="14.25" thickTop="1" thickBot="1">
      <c r="B405" s="214" t="s">
        <v>2567</v>
      </c>
      <c r="C405" s="248" t="s">
        <v>2751</v>
      </c>
    </row>
    <row r="406" spans="2:3" ht="14.25" thickTop="1" thickBot="1">
      <c r="B406" s="125" t="s">
        <v>2567</v>
      </c>
      <c r="C406" s="256" t="s">
        <v>2767</v>
      </c>
    </row>
    <row r="407" spans="2:3" ht="14.25" thickTop="1" thickBot="1">
      <c r="B407" s="125" t="s">
        <v>2567</v>
      </c>
      <c r="C407" s="129" t="s">
        <v>2769</v>
      </c>
    </row>
    <row r="408" spans="2:3" ht="14.25" thickTop="1" thickBot="1">
      <c r="B408" s="116" t="s">
        <v>2567</v>
      </c>
      <c r="C408" s="258" t="s">
        <v>2768</v>
      </c>
    </row>
    <row r="409" spans="2:3" ht="14.25" thickTop="1" thickBot="1">
      <c r="B409" s="134" t="s">
        <v>2754</v>
      </c>
      <c r="C409" s="130" t="s">
        <v>2659</v>
      </c>
    </row>
    <row r="410" spans="2:3" ht="14.25" thickTop="1" thickBot="1">
      <c r="B410" s="116" t="s">
        <v>2754</v>
      </c>
      <c r="C410" s="130" t="s">
        <v>2672</v>
      </c>
    </row>
    <row r="411" spans="2:3" ht="14.25" thickTop="1" thickBot="1">
      <c r="B411" s="116" t="s">
        <v>2754</v>
      </c>
      <c r="C411" s="130" t="s">
        <v>2673</v>
      </c>
    </row>
    <row r="412" spans="2:3" ht="14.25" thickTop="1" thickBot="1">
      <c r="B412" s="116" t="s">
        <v>2754</v>
      </c>
      <c r="C412" s="130" t="s">
        <v>2676</v>
      </c>
    </row>
    <row r="413" spans="2:3" ht="14.25" thickTop="1" thickBot="1">
      <c r="B413" s="116" t="s">
        <v>2754</v>
      </c>
      <c r="C413" s="131" t="s">
        <v>2793</v>
      </c>
    </row>
    <row r="414" spans="2:3" ht="14.25" thickTop="1" thickBot="1">
      <c r="B414" s="116" t="s">
        <v>2753</v>
      </c>
      <c r="C414" s="122" t="s">
        <v>1834</v>
      </c>
    </row>
    <row r="415" spans="2:3" ht="14.25" thickTop="1" thickBot="1">
      <c r="B415" s="116" t="s">
        <v>2753</v>
      </c>
      <c r="C415" s="122" t="s">
        <v>1745</v>
      </c>
    </row>
    <row r="416" spans="2:3" ht="14.25" thickTop="1" thickBot="1">
      <c r="B416" s="116" t="s">
        <v>2753</v>
      </c>
      <c r="C416" s="122" t="s">
        <v>2726</v>
      </c>
    </row>
    <row r="417" spans="2:3" ht="14.25" thickTop="1" thickBot="1">
      <c r="B417" s="116" t="s">
        <v>2753</v>
      </c>
      <c r="C417" s="122" t="s">
        <v>1386</v>
      </c>
    </row>
    <row r="418" spans="2:3" ht="14.25" thickTop="1" thickBot="1">
      <c r="B418" s="116" t="s">
        <v>2753</v>
      </c>
      <c r="C418" s="131" t="s">
        <v>1465</v>
      </c>
    </row>
    <row r="419" spans="2:3" ht="14.25" thickTop="1" thickBot="1">
      <c r="B419" s="116" t="s">
        <v>2748</v>
      </c>
      <c r="C419" s="130" t="s">
        <v>2819</v>
      </c>
    </row>
    <row r="420" spans="2:3" ht="14.25" thickTop="1" thickBot="1">
      <c r="B420" s="116" t="s">
        <v>2748</v>
      </c>
      <c r="C420" s="131" t="s">
        <v>1840</v>
      </c>
    </row>
    <row r="421" spans="2:3" ht="14.25" thickTop="1" thickBot="1">
      <c r="B421" s="118" t="s">
        <v>2748</v>
      </c>
      <c r="C421" s="130" t="s">
        <v>2577</v>
      </c>
    </row>
    <row r="422" spans="2:3" ht="14.25" thickTop="1" thickBot="1">
      <c r="B422" s="116" t="s">
        <v>2748</v>
      </c>
      <c r="C422" s="131" t="s">
        <v>2579</v>
      </c>
    </row>
    <row r="423" spans="2:3" ht="14.25" thickTop="1" thickBot="1">
      <c r="B423" s="116" t="s">
        <v>2748</v>
      </c>
      <c r="C423" s="130" t="s">
        <v>2585</v>
      </c>
    </row>
    <row r="424" spans="2:3" ht="14.25" thickTop="1" thickBot="1">
      <c r="B424" s="116" t="s">
        <v>2553</v>
      </c>
      <c r="C424" s="131" t="s">
        <v>2039</v>
      </c>
    </row>
    <row r="425" spans="2:3" ht="14.25" thickTop="1" thickBot="1">
      <c r="B425" s="116" t="s">
        <v>2553</v>
      </c>
      <c r="C425" s="130" t="s">
        <v>1705</v>
      </c>
    </row>
    <row r="426" spans="2:3" ht="14.25" thickTop="1" thickBot="1">
      <c r="B426" s="118" t="s">
        <v>2553</v>
      </c>
      <c r="C426" s="129" t="s">
        <v>563</v>
      </c>
    </row>
    <row r="427" spans="2:3" ht="14.25" thickTop="1" thickBot="1">
      <c r="B427" s="125" t="s">
        <v>2553</v>
      </c>
      <c r="C427" s="122" t="s">
        <v>1768</v>
      </c>
    </row>
    <row r="428" spans="2:3" ht="14.25" thickTop="1" thickBot="1">
      <c r="B428" s="116" t="s">
        <v>2553</v>
      </c>
      <c r="C428" s="122" t="s">
        <v>1974</v>
      </c>
    </row>
    <row r="429" spans="2:3" ht="14.25" thickTop="1" thickBot="1">
      <c r="B429" s="116" t="s">
        <v>1227</v>
      </c>
      <c r="C429" s="130" t="s">
        <v>2833</v>
      </c>
    </row>
    <row r="430" spans="2:3" ht="14.25" thickTop="1" thickBot="1">
      <c r="B430" s="116" t="s">
        <v>1227</v>
      </c>
      <c r="C430" s="130" t="s">
        <v>2014</v>
      </c>
    </row>
    <row r="431" spans="2:3" ht="14.25" thickTop="1" thickBot="1">
      <c r="B431" s="116" t="s">
        <v>1227</v>
      </c>
      <c r="C431" s="122" t="s">
        <v>2091</v>
      </c>
    </row>
    <row r="432" spans="2:3" ht="14.25" thickTop="1" thickBot="1">
      <c r="B432" s="126" t="s">
        <v>1227</v>
      </c>
      <c r="C432" s="130" t="s">
        <v>144</v>
      </c>
    </row>
    <row r="433" spans="2:3" ht="14.25" thickTop="1" thickBot="1">
      <c r="B433" s="125" t="s">
        <v>1227</v>
      </c>
      <c r="C433" s="131" t="s">
        <v>2172</v>
      </c>
    </row>
    <row r="434" spans="2:3" ht="14.25" thickTop="1" thickBot="1">
      <c r="B434" s="116" t="s">
        <v>2392</v>
      </c>
      <c r="C434" s="129" t="s">
        <v>2252</v>
      </c>
    </row>
    <row r="435" spans="2:3" ht="14.25" thickTop="1" thickBot="1">
      <c r="B435" s="116" t="s">
        <v>2392</v>
      </c>
      <c r="C435" s="122" t="s">
        <v>1911</v>
      </c>
    </row>
    <row r="436" spans="2:3" ht="14.25" thickTop="1" thickBot="1">
      <c r="B436" s="116" t="s">
        <v>2392</v>
      </c>
      <c r="C436" s="122" t="s">
        <v>2162</v>
      </c>
    </row>
    <row r="437" spans="2:3" ht="14.25" thickTop="1" thickBot="1">
      <c r="B437" s="116" t="s">
        <v>2392</v>
      </c>
      <c r="C437" s="130" t="s">
        <v>631</v>
      </c>
    </row>
    <row r="438" spans="2:3" ht="14.25" thickTop="1" thickBot="1">
      <c r="B438" s="116" t="s">
        <v>2392</v>
      </c>
      <c r="C438" s="131" t="s">
        <v>2132</v>
      </c>
    </row>
    <row r="439" spans="2:3" ht="14.25" thickTop="1" thickBot="1">
      <c r="B439" s="116" t="s">
        <v>2450</v>
      </c>
      <c r="C439" s="122" t="s">
        <v>1715</v>
      </c>
    </row>
    <row r="440" spans="2:3" ht="14.25" thickTop="1" thickBot="1">
      <c r="B440" s="116" t="s">
        <v>2450</v>
      </c>
      <c r="C440" s="129" t="s">
        <v>797</v>
      </c>
    </row>
    <row r="441" spans="2:3" ht="14.25" thickTop="1" thickBot="1">
      <c r="B441" s="116" t="s">
        <v>2450</v>
      </c>
      <c r="C441" s="131" t="s">
        <v>1867</v>
      </c>
    </row>
    <row r="442" spans="2:3" ht="14.25" thickTop="1" thickBot="1">
      <c r="B442" s="118" t="s">
        <v>2450</v>
      </c>
      <c r="C442" s="129" t="s">
        <v>1916</v>
      </c>
    </row>
    <row r="443" spans="2:3" ht="14.25" thickTop="1" thickBot="1">
      <c r="B443" s="116" t="s">
        <v>2749</v>
      </c>
      <c r="C443" s="129" t="s">
        <v>685</v>
      </c>
    </row>
    <row r="444" spans="2:3" ht="14.25" thickTop="1" thickBot="1">
      <c r="B444" s="125" t="s">
        <v>2749</v>
      </c>
      <c r="C444" s="146" t="s">
        <v>1986</v>
      </c>
    </row>
    <row r="445" spans="2:3" ht="14.25" thickTop="1" thickBot="1">
      <c r="B445" s="116" t="s">
        <v>2749</v>
      </c>
      <c r="C445" s="130" t="s">
        <v>1470</v>
      </c>
    </row>
    <row r="446" spans="2:3" ht="14.25" thickTop="1" thickBot="1">
      <c r="B446" s="118" t="s">
        <v>2749</v>
      </c>
      <c r="C446" s="131" t="s">
        <v>2257</v>
      </c>
    </row>
    <row r="447" spans="2:3" ht="14.25" thickTop="1" thickBot="1">
      <c r="B447" s="116" t="s">
        <v>103</v>
      </c>
      <c r="C447" s="227" t="s">
        <v>2691</v>
      </c>
    </row>
    <row r="448" spans="2:3" ht="14.25" thickTop="1" thickBot="1">
      <c r="B448" s="214" t="s">
        <v>103</v>
      </c>
      <c r="C448" s="131" t="s">
        <v>2167</v>
      </c>
    </row>
    <row r="449" spans="2:3" ht="14.25" thickTop="1" thickBot="1">
      <c r="B449" s="116" t="s">
        <v>103</v>
      </c>
      <c r="C449" s="130" t="s">
        <v>2103</v>
      </c>
    </row>
    <row r="450" spans="2:3" ht="14.25" thickTop="1" thickBot="1">
      <c r="B450" s="116" t="s">
        <v>103</v>
      </c>
      <c r="C450" s="158" t="s">
        <v>2597</v>
      </c>
    </row>
    <row r="451" spans="2:3" ht="14.25" thickTop="1" thickBot="1">
      <c r="B451" s="116" t="s">
        <v>103</v>
      </c>
      <c r="C451" s="149" t="s">
        <v>2038</v>
      </c>
    </row>
    <row r="452" spans="2:3" ht="14.25" thickTop="1" thickBot="1">
      <c r="B452" s="116" t="s">
        <v>2448</v>
      </c>
      <c r="C452" s="131" t="s">
        <v>512</v>
      </c>
    </row>
    <row r="453" spans="2:3" ht="14.25" thickTop="1" thickBot="1">
      <c r="B453" s="118" t="s">
        <v>2448</v>
      </c>
      <c r="C453" s="131" t="s">
        <v>1625</v>
      </c>
    </row>
    <row r="454" spans="2:3" ht="14.25" thickTop="1" thickBot="1">
      <c r="B454" s="116" t="s">
        <v>2448</v>
      </c>
      <c r="C454" s="122" t="s">
        <v>2139</v>
      </c>
    </row>
    <row r="455" spans="2:3" ht="14.25" thickTop="1" thickBot="1">
      <c r="B455" s="140" t="s">
        <v>2448</v>
      </c>
      <c r="C455" s="130" t="s">
        <v>1667</v>
      </c>
    </row>
    <row r="456" spans="2:3" ht="14.25" thickTop="1" thickBot="1">
      <c r="B456" s="118" t="s">
        <v>2448</v>
      </c>
      <c r="C456" s="122" t="s">
        <v>1910</v>
      </c>
    </row>
    <row r="457" spans="2:3" ht="14.25" thickTop="1" thickBot="1">
      <c r="B457" s="116" t="s">
        <v>2449</v>
      </c>
      <c r="C457" s="129" t="s">
        <v>1629</v>
      </c>
    </row>
    <row r="458" spans="2:3" ht="14.25" thickTop="1" thickBot="1">
      <c r="B458" s="116" t="s">
        <v>2449</v>
      </c>
      <c r="C458" s="129" t="s">
        <v>1720</v>
      </c>
    </row>
    <row r="459" spans="2:3" ht="14.25" thickTop="1" thickBot="1">
      <c r="B459" s="125" t="s">
        <v>2449</v>
      </c>
      <c r="C459" s="122" t="s">
        <v>2315</v>
      </c>
    </row>
    <row r="460" spans="2:3" ht="14.25" thickTop="1" thickBot="1">
      <c r="B460" s="134" t="s">
        <v>2449</v>
      </c>
      <c r="C460" s="131" t="s">
        <v>2175</v>
      </c>
    </row>
    <row r="461" spans="2:3" ht="14.25" thickTop="1" thickBot="1">
      <c r="B461" s="116" t="s">
        <v>2394</v>
      </c>
      <c r="C461" s="130" t="s">
        <v>527</v>
      </c>
    </row>
    <row r="462" spans="2:3" ht="14.25" thickTop="1" thickBot="1">
      <c r="B462" s="116" t="s">
        <v>2394</v>
      </c>
      <c r="C462" s="130" t="s">
        <v>2084</v>
      </c>
    </row>
    <row r="463" spans="2:3" ht="14.25" thickTop="1" thickBot="1">
      <c r="B463" s="125" t="s">
        <v>2394</v>
      </c>
      <c r="C463" s="122" t="s">
        <v>2131</v>
      </c>
    </row>
    <row r="464" spans="2:3" ht="14.25" thickTop="1" thickBot="1">
      <c r="B464" s="116" t="s">
        <v>2394</v>
      </c>
      <c r="C464" s="142" t="s">
        <v>2554</v>
      </c>
    </row>
    <row r="465" spans="2:3" ht="14.25" thickTop="1" thickBot="1">
      <c r="B465" s="125" t="s">
        <v>2405</v>
      </c>
      <c r="C465" s="129" t="s">
        <v>2163</v>
      </c>
    </row>
    <row r="466" spans="2:3" ht="14.25" thickTop="1" thickBot="1">
      <c r="B466" s="116" t="s">
        <v>2405</v>
      </c>
      <c r="C466" s="122" t="s">
        <v>2028</v>
      </c>
    </row>
    <row r="467" spans="2:3" ht="14.25" thickTop="1" thickBot="1">
      <c r="B467" s="116" t="s">
        <v>2405</v>
      </c>
      <c r="C467" s="131" t="s">
        <v>2535</v>
      </c>
    </row>
    <row r="468" spans="2:3" ht="14.25" thickTop="1" thickBot="1">
      <c r="B468" s="118" t="s">
        <v>2405</v>
      </c>
      <c r="C468" s="122" t="s">
        <v>2176</v>
      </c>
    </row>
    <row r="469" spans="2:3" ht="14.25" thickTop="1" thickBot="1">
      <c r="B469" s="116" t="s">
        <v>48</v>
      </c>
      <c r="C469" s="129" t="s">
        <v>2555</v>
      </c>
    </row>
    <row r="470" spans="2:3" ht="14.25" thickTop="1" thickBot="1">
      <c r="B470" s="116" t="s">
        <v>48</v>
      </c>
      <c r="C470" s="121" t="s">
        <v>2292</v>
      </c>
    </row>
    <row r="471" spans="2:3" ht="14.25" thickTop="1" thickBot="1">
      <c r="B471" s="125" t="s">
        <v>48</v>
      </c>
      <c r="C471" s="131" t="s">
        <v>1975</v>
      </c>
    </row>
    <row r="472" spans="2:3" ht="14.25" thickTop="1" thickBot="1">
      <c r="B472" s="125" t="s">
        <v>48</v>
      </c>
      <c r="C472" s="131" t="s">
        <v>2145</v>
      </c>
    </row>
    <row r="473" spans="2:3" ht="14.25" thickTop="1" thickBot="1">
      <c r="B473" s="118" t="s">
        <v>48</v>
      </c>
      <c r="C473" s="122" t="s">
        <v>1250</v>
      </c>
    </row>
    <row r="474" spans="2:3" ht="14.25" thickTop="1" thickBot="1">
      <c r="B474" s="116" t="s">
        <v>892</v>
      </c>
      <c r="C474" s="247" t="s">
        <v>1953</v>
      </c>
    </row>
    <row r="475" spans="2:3" ht="14.25" thickTop="1" thickBot="1">
      <c r="B475" s="118" t="s">
        <v>892</v>
      </c>
      <c r="C475" s="237" t="s">
        <v>2756</v>
      </c>
    </row>
    <row r="476" spans="2:3" ht="14.25" thickTop="1" thickBot="1">
      <c r="B476" s="118" t="s">
        <v>892</v>
      </c>
      <c r="C476" s="129" t="s">
        <v>2033</v>
      </c>
    </row>
    <row r="477" spans="2:3" ht="14.25" thickTop="1" thickBot="1">
      <c r="B477" s="118" t="s">
        <v>892</v>
      </c>
      <c r="C477" s="129" t="s">
        <v>1044</v>
      </c>
    </row>
    <row r="478" spans="2:3" ht="14.25" thickTop="1" thickBot="1">
      <c r="B478" s="116" t="s">
        <v>2556</v>
      </c>
      <c r="C478" s="131" t="s">
        <v>2657</v>
      </c>
    </row>
    <row r="479" spans="2:3" ht="14.25" thickTop="1" thickBot="1">
      <c r="B479" s="116" t="s">
        <v>2556</v>
      </c>
      <c r="C479" s="130" t="s">
        <v>2504</v>
      </c>
    </row>
    <row r="480" spans="2:3" ht="14.25" thickTop="1" thickBot="1">
      <c r="B480" s="118" t="s">
        <v>2556</v>
      </c>
      <c r="C480" s="122" t="s">
        <v>2839</v>
      </c>
    </row>
    <row r="481" spans="2:3" ht="14.25" thickTop="1" thickBot="1">
      <c r="B481" s="118" t="s">
        <v>2556</v>
      </c>
      <c r="C481" s="130" t="s">
        <v>2701</v>
      </c>
    </row>
    <row r="482" spans="2:3" ht="14.25" thickTop="1" thickBot="1">
      <c r="B482" s="116" t="s">
        <v>2556</v>
      </c>
      <c r="C482" s="122" t="s">
        <v>2325</v>
      </c>
    </row>
    <row r="483" spans="2:3" ht="14.25" thickTop="1" thickBot="1">
      <c r="B483" s="118" t="s">
        <v>2581</v>
      </c>
      <c r="C483" s="122" t="s">
        <v>2678</v>
      </c>
    </row>
    <row r="484" spans="2:3" ht="14.25" thickTop="1" thickBot="1">
      <c r="B484" s="118" t="s">
        <v>2581</v>
      </c>
      <c r="C484" s="122" t="s">
        <v>2683</v>
      </c>
    </row>
    <row r="485" spans="2:3" ht="14.25" thickTop="1" thickBot="1">
      <c r="B485" s="118" t="s">
        <v>2581</v>
      </c>
      <c r="C485" s="122" t="s">
        <v>822</v>
      </c>
    </row>
    <row r="486" spans="2:3" ht="14.25" thickTop="1" thickBot="1">
      <c r="B486" s="118" t="s">
        <v>2581</v>
      </c>
      <c r="C486" s="122" t="s">
        <v>2700</v>
      </c>
    </row>
    <row r="487" spans="2:3" ht="14.25" thickTop="1" thickBot="1">
      <c r="B487" s="251" t="s">
        <v>2734</v>
      </c>
      <c r="C487" s="159" t="s">
        <v>1798</v>
      </c>
    </row>
    <row r="488" spans="2:3" ht="14.25" thickTop="1" thickBot="1">
      <c r="B488" s="251" t="s">
        <v>2734</v>
      </c>
      <c r="C488" s="159" t="s">
        <v>649</v>
      </c>
    </row>
    <row r="489" spans="2:3" ht="14.25" thickTop="1" thickBot="1">
      <c r="B489" s="251" t="s">
        <v>2734</v>
      </c>
      <c r="C489" s="252" t="s">
        <v>2821</v>
      </c>
    </row>
    <row r="490" spans="2:3" ht="14.25" thickTop="1" thickBot="1">
      <c r="B490" s="251" t="s">
        <v>2734</v>
      </c>
      <c r="C490" s="159" t="s">
        <v>2410</v>
      </c>
    </row>
    <row r="491" spans="2:3" ht="14.25" thickTop="1" thickBot="1">
      <c r="B491" s="251" t="s">
        <v>2734</v>
      </c>
      <c r="C491" s="253" t="s">
        <v>2822</v>
      </c>
    </row>
    <row r="492" spans="2:3" ht="14.25" thickTop="1" thickBot="1">
      <c r="B492" s="116" t="s">
        <v>2717</v>
      </c>
      <c r="C492" s="129" t="s">
        <v>1795</v>
      </c>
    </row>
    <row r="493" spans="2:3" ht="14.25" thickTop="1" thickBot="1">
      <c r="B493" s="118" t="s">
        <v>2717</v>
      </c>
      <c r="C493" s="122" t="s">
        <v>2389</v>
      </c>
    </row>
    <row r="494" spans="2:3" ht="14.25" thickTop="1" thickBot="1">
      <c r="B494" s="118" t="s">
        <v>2717</v>
      </c>
      <c r="C494" s="122" t="s">
        <v>2587</v>
      </c>
    </row>
    <row r="495" spans="2:3" ht="14.25" thickTop="1" thickBot="1">
      <c r="B495" s="118" t="s">
        <v>2717</v>
      </c>
      <c r="C495" s="122" t="s">
        <v>2390</v>
      </c>
    </row>
    <row r="496" spans="2:3" ht="14.25" thickTop="1" thickBot="1">
      <c r="B496" s="116" t="s">
        <v>2717</v>
      </c>
      <c r="C496" s="122" t="s">
        <v>2391</v>
      </c>
    </row>
    <row r="497" spans="2:3" ht="14.25" thickTop="1" thickBot="1">
      <c r="B497" s="116" t="s">
        <v>2716</v>
      </c>
      <c r="C497" s="130" t="s">
        <v>2804</v>
      </c>
    </row>
    <row r="498" spans="2:3" ht="14.25" thickTop="1" thickBot="1">
      <c r="B498" s="116" t="s">
        <v>2716</v>
      </c>
      <c r="C498" s="130" t="s">
        <v>2516</v>
      </c>
    </row>
    <row r="499" spans="2:3" ht="14.25" thickTop="1" thickBot="1">
      <c r="B499" s="118" t="s">
        <v>2716</v>
      </c>
      <c r="C499" s="130" t="s">
        <v>2517</v>
      </c>
    </row>
    <row r="500" spans="2:3" ht="14.25" thickTop="1" thickBot="1">
      <c r="B500" s="116" t="s">
        <v>2716</v>
      </c>
      <c r="C500" s="122" t="s">
        <v>2707</v>
      </c>
    </row>
    <row r="501" spans="2:3" ht="14.25" thickTop="1" thickBot="1">
      <c r="B501" s="118" t="s">
        <v>2716</v>
      </c>
      <c r="C501" s="130" t="s">
        <v>2781</v>
      </c>
    </row>
    <row r="502" spans="2:3" ht="14.25" thickTop="1" thickBot="1">
      <c r="B502" s="118" t="s">
        <v>2716</v>
      </c>
      <c r="C502" s="131" t="s">
        <v>2552</v>
      </c>
    </row>
    <row r="503" spans="2:3" ht="14.25" thickTop="1" thickBot="1">
      <c r="B503" s="118" t="s">
        <v>2725</v>
      </c>
      <c r="C503" s="122" t="s">
        <v>848</v>
      </c>
    </row>
    <row r="504" spans="2:3" ht="14.25" thickTop="1" thickBot="1">
      <c r="B504" s="116" t="s">
        <v>2725</v>
      </c>
      <c r="C504" s="122" t="s">
        <v>889</v>
      </c>
    </row>
    <row r="505" spans="2:3" ht="14.25" thickTop="1" thickBot="1">
      <c r="B505" s="118" t="s">
        <v>2725</v>
      </c>
      <c r="C505" s="130" t="s">
        <v>2487</v>
      </c>
    </row>
    <row r="506" spans="2:3" ht="14.25" thickTop="1" thickBot="1">
      <c r="B506" s="116" t="s">
        <v>2725</v>
      </c>
      <c r="C506" s="131" t="s">
        <v>2795</v>
      </c>
    </row>
    <row r="507" spans="2:3" ht="14.25" thickTop="1" thickBot="1">
      <c r="B507" s="125" t="s">
        <v>2725</v>
      </c>
      <c r="C507" s="122" t="s">
        <v>497</v>
      </c>
    </row>
    <row r="508" spans="2:3" ht="14.25" thickTop="1" thickBot="1">
      <c r="B508" s="118" t="s">
        <v>2558</v>
      </c>
      <c r="C508" s="122" t="s">
        <v>2152</v>
      </c>
    </row>
    <row r="509" spans="2:3" ht="14.25" thickTop="1" thickBot="1">
      <c r="B509" s="116" t="s">
        <v>2558</v>
      </c>
      <c r="C509" s="130" t="s">
        <v>2300</v>
      </c>
    </row>
    <row r="510" spans="2:3" ht="14.25" thickTop="1" thickBot="1">
      <c r="B510" s="118" t="s">
        <v>2558</v>
      </c>
      <c r="C510" s="130" t="s">
        <v>1738</v>
      </c>
    </row>
    <row r="511" spans="2:3" ht="14.25" thickTop="1" thickBot="1">
      <c r="B511" s="116" t="s">
        <v>2558</v>
      </c>
      <c r="C511" s="122" t="s">
        <v>1203</v>
      </c>
    </row>
    <row r="512" spans="2:3" ht="14.25" thickTop="1" thickBot="1">
      <c r="B512" s="126" t="s">
        <v>2558</v>
      </c>
      <c r="C512" s="129" t="s">
        <v>2188</v>
      </c>
    </row>
    <row r="513" spans="2:3" ht="14.25" thickTop="1" thickBot="1">
      <c r="B513" s="116" t="s">
        <v>2411</v>
      </c>
      <c r="C513" s="158" t="s">
        <v>2159</v>
      </c>
    </row>
    <row r="514" spans="2:3" ht="14.25" thickTop="1" thickBot="1">
      <c r="B514" s="116" t="s">
        <v>2411</v>
      </c>
      <c r="C514" s="131" t="s">
        <v>1578</v>
      </c>
    </row>
    <row r="515" spans="2:3" ht="14.25" thickTop="1" thickBot="1">
      <c r="B515" s="116" t="s">
        <v>2411</v>
      </c>
      <c r="C515" s="131" t="s">
        <v>2531</v>
      </c>
    </row>
    <row r="516" spans="2:3" ht="14.25" thickTop="1" thickBot="1">
      <c r="B516" s="126" t="s">
        <v>2411</v>
      </c>
      <c r="C516" s="131" t="s">
        <v>264</v>
      </c>
    </row>
    <row r="517" spans="2:3" ht="14.25" thickTop="1" thickBot="1">
      <c r="B517" s="116" t="s">
        <v>2411</v>
      </c>
      <c r="C517" s="131" t="s">
        <v>2547</v>
      </c>
    </row>
    <row r="518" spans="2:3" ht="14.25" thickTop="1" thickBot="1">
      <c r="B518" s="116" t="s">
        <v>2415</v>
      </c>
      <c r="C518" s="131" t="s">
        <v>2245</v>
      </c>
    </row>
    <row r="519" spans="2:3" ht="14.25" thickTop="1" thickBot="1">
      <c r="B519" s="118" t="s">
        <v>2415</v>
      </c>
      <c r="C519" s="130" t="s">
        <v>999</v>
      </c>
    </row>
    <row r="520" spans="2:3" ht="14.25" thickTop="1" thickBot="1">
      <c r="B520" s="116" t="s">
        <v>2415</v>
      </c>
      <c r="C520" s="130" t="s">
        <v>2093</v>
      </c>
    </row>
    <row r="521" spans="2:3" ht="14.25" thickTop="1" thickBot="1">
      <c r="B521" s="125" t="s">
        <v>2415</v>
      </c>
      <c r="C521" s="129" t="s">
        <v>2137</v>
      </c>
    </row>
    <row r="522" spans="2:3" ht="14.25" thickTop="1" thickBot="1">
      <c r="B522" s="126" t="s">
        <v>2393</v>
      </c>
      <c r="C522" s="149" t="s">
        <v>2229</v>
      </c>
    </row>
    <row r="523" spans="2:3" ht="14.25" thickTop="1" thickBot="1">
      <c r="B523" s="123" t="s">
        <v>2393</v>
      </c>
      <c r="C523" s="122" t="s">
        <v>1631</v>
      </c>
    </row>
    <row r="524" spans="2:3" ht="14.25" thickTop="1" thickBot="1">
      <c r="B524" s="116" t="s">
        <v>2393</v>
      </c>
      <c r="C524" s="129" t="s">
        <v>2542</v>
      </c>
    </row>
    <row r="525" spans="2:3" ht="14.25" thickTop="1" thickBot="1">
      <c r="B525" s="125" t="s">
        <v>2393</v>
      </c>
      <c r="C525" s="129" t="s">
        <v>2201</v>
      </c>
    </row>
    <row r="526" spans="2:3" ht="14.25" thickTop="1" thickBot="1">
      <c r="B526" s="118" t="s">
        <v>2393</v>
      </c>
      <c r="C526" s="131" t="s">
        <v>2122</v>
      </c>
    </row>
    <row r="527" spans="2:3" ht="14.25" thickTop="1" thickBot="1">
      <c r="B527" s="118" t="s">
        <v>2452</v>
      </c>
      <c r="C527" s="130" t="s">
        <v>2217</v>
      </c>
    </row>
    <row r="528" spans="2:3" ht="14.25" thickTop="1" thickBot="1">
      <c r="B528" s="118" t="s">
        <v>2452</v>
      </c>
      <c r="C528" s="130" t="s">
        <v>2047</v>
      </c>
    </row>
    <row r="529" spans="2:3" ht="14.25" thickTop="1" thickBot="1">
      <c r="B529" s="125" t="s">
        <v>2452</v>
      </c>
      <c r="C529" s="129" t="s">
        <v>866</v>
      </c>
    </row>
    <row r="530" spans="2:3" ht="14.25" thickTop="1" thickBot="1">
      <c r="B530" s="116" t="s">
        <v>2452</v>
      </c>
      <c r="C530" s="129" t="s">
        <v>2101</v>
      </c>
    </row>
    <row r="531" spans="2:3" ht="13.5" thickTop="1"/>
  </sheetData>
  <conditionalFormatting sqref="B399:B402 C400:C401 C10">
    <cfRule type="containsText" dxfId="18" priority="40" operator="containsText" text="TRIAGEM/SANÇÃO">
      <formula>NOT(ISERROR(SEARCH("TRIAGEM/SANÇÃO",B10)))</formula>
    </cfRule>
    <cfRule type="containsText" dxfId="17" priority="41" operator="containsText" text="TRIAGEM">
      <formula>NOT(ISERROR(SEARCH("TRIAGEM",B10)))</formula>
    </cfRule>
    <cfRule type="containsText" dxfId="16" priority="42" operator="containsText" text="SANÇÃO">
      <formula>NOT(ISERROR(SEARCH("SANÇÃO",B10)))</formula>
    </cfRule>
    <cfRule type="containsText" dxfId="15" priority="43" operator="containsText" text="LAVANDERIA">
      <formula>NOT(ISERROR(SEARCH("LAVANDERIA",B10)))</formula>
    </cfRule>
    <cfRule type="containsText" dxfId="14" priority="44" operator="containsText" text="KADESH">
      <formula>NOT(ISERROR(SEARCH("KADESH",B10)))</formula>
    </cfRule>
    <cfRule type="containsText" dxfId="13" priority="45" operator="containsText" text="FAXINA">
      <formula>NOT(ISERROR(SEARCH("FAXINA",B10)))</formula>
    </cfRule>
    <cfRule type="containsText" dxfId="12" priority="46" operator="containsText" text="COZINHA">
      <formula>NOT(ISERROR(SEARCH("COZINHA",B10)))</formula>
    </cfRule>
    <cfRule type="containsText" dxfId="11" priority="47" operator="containsText" text="COSTURA">
      <formula>NOT(ISERROR(SEARCH("COSTURA",B10)))</formula>
    </cfRule>
    <cfRule type="containsText" dxfId="10" priority="48" operator="containsText" text="BIBLIOTECA">
      <formula>NOT(ISERROR(SEARCH("BIBLIOTECA",B10)))</formula>
    </cfRule>
    <cfRule type="containsText" dxfId="9" priority="49" operator="containsText" text="ARTESANATO">
      <formula>NOT(ISERROR(SEARCH("ARTESANATO",B10)))</formula>
    </cfRule>
  </conditionalFormatting>
  <conditionalFormatting sqref="B399:B402 C400:C401 C10">
    <cfRule type="cellIs" dxfId="8" priority="39" stopIfTrue="1" operator="equal">
      <formula>"CD"</formula>
    </cfRule>
  </conditionalFormatting>
  <conditionalFormatting sqref="C146">
    <cfRule type="duplicateValues" dxfId="7" priority="38" stopIfTrue="1"/>
  </conditionalFormatting>
  <conditionalFormatting sqref="C19">
    <cfRule type="duplicateValues" dxfId="6" priority="37" stopIfTrue="1"/>
  </conditionalFormatting>
  <conditionalFormatting sqref="B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1">
    <cfRule type="duplicateValues" dxfId="5" priority="33" stopIfTrue="1"/>
  </conditionalFormatting>
  <conditionalFormatting sqref="B244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3">
    <cfRule type="duplicateValues" dxfId="4" priority="31" stopIfTrue="1"/>
  </conditionalFormatting>
  <conditionalFormatting sqref="B320:B326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7:C408">
    <cfRule type="duplicateValues" dxfId="3" priority="29" stopIfTrue="1"/>
  </conditionalFormatting>
  <conditionalFormatting sqref="B403:B407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6:B367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59 C247 B209:B220 B184:B204 B245:B299 B301:B326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58:B35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7:B32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8:B50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5:B208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7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4:B24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2:B36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1:B223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8:B398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8">
    <cfRule type="duplicateValues" dxfId="2" priority="14" stopIfTrue="1"/>
  </conditionalFormatting>
  <conditionalFormatting sqref="B489:B497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0:B357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6:B46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">
    <cfRule type="duplicateValues" dxfId="1" priority="10" stopIfTrue="1"/>
  </conditionalFormatting>
  <conditionalFormatting sqref="B7:B1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">
    <cfRule type="duplicateValues" dxfId="0" priority="8" stopIfTrue="1"/>
  </conditionalFormatting>
  <conditionalFormatting sqref="B360:B36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8:B488 B432:B445 B464:B47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4:B32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5:B53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1:B51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8:B43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5:B18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32"/>
  <sheetViews>
    <sheetView workbookViewId="0">
      <selection activeCell="H24" sqref="H24"/>
    </sheetView>
  </sheetViews>
  <sheetFormatPr defaultRowHeight="12.75"/>
  <cols>
    <col min="3" max="3" width="2.85546875" customWidth="1"/>
    <col min="6" max="6" width="3" customWidth="1"/>
    <col min="9" max="9" width="2.85546875" customWidth="1"/>
    <col min="12" max="12" width="2.42578125" customWidth="1"/>
    <col min="15" max="15" width="2.28515625" customWidth="1"/>
  </cols>
  <sheetData>
    <row r="1" spans="1:17" ht="13.5" thickBot="1">
      <c r="A1" s="715"/>
      <c r="B1" s="716"/>
      <c r="C1" s="716"/>
      <c r="D1" s="716"/>
      <c r="E1" s="717"/>
      <c r="F1" s="496"/>
      <c r="G1" s="715" t="s">
        <v>1156</v>
      </c>
      <c r="H1" s="716"/>
      <c r="I1" s="716"/>
      <c r="J1" s="716"/>
      <c r="K1" s="717"/>
      <c r="L1" s="497"/>
      <c r="M1" s="715" t="s">
        <v>1157</v>
      </c>
      <c r="N1" s="716"/>
      <c r="O1" s="716"/>
      <c r="P1" s="716"/>
      <c r="Q1" s="717"/>
    </row>
    <row r="2" spans="1:17" ht="13.5" thickBot="1">
      <c r="A2" s="718" t="s">
        <v>9</v>
      </c>
      <c r="B2" s="719"/>
      <c r="C2" s="719"/>
      <c r="D2" s="719"/>
      <c r="E2" s="720"/>
      <c r="F2" s="498"/>
      <c r="G2" s="721"/>
      <c r="H2" s="722"/>
      <c r="I2" s="722"/>
      <c r="J2" s="722"/>
      <c r="K2" s="723"/>
      <c r="L2" s="498"/>
      <c r="M2" s="718"/>
      <c r="N2" s="719"/>
      <c r="O2" s="719"/>
      <c r="P2" s="719"/>
      <c r="Q2" s="720"/>
    </row>
    <row r="3" spans="1:17">
      <c r="A3" s="499">
        <v>101</v>
      </c>
      <c r="B3" s="504">
        <v>5</v>
      </c>
      <c r="C3" s="722"/>
      <c r="D3" s="500">
        <v>201</v>
      </c>
      <c r="E3" s="501">
        <v>4</v>
      </c>
      <c r="F3" s="502"/>
      <c r="G3" s="503">
        <v>101</v>
      </c>
      <c r="H3" s="504">
        <v>5</v>
      </c>
      <c r="I3" s="722"/>
      <c r="J3" s="500">
        <v>201</v>
      </c>
      <c r="K3" s="505">
        <v>5</v>
      </c>
      <c r="L3" s="498"/>
      <c r="M3" s="503">
        <v>101</v>
      </c>
      <c r="N3" s="504">
        <v>5</v>
      </c>
      <c r="O3" s="722"/>
      <c r="P3" s="500" t="s">
        <v>3664</v>
      </c>
      <c r="Q3" s="501">
        <v>5</v>
      </c>
    </row>
    <row r="4" spans="1:17">
      <c r="A4" s="506">
        <v>102</v>
      </c>
      <c r="B4" s="507">
        <v>5</v>
      </c>
      <c r="C4" s="726"/>
      <c r="D4" s="508">
        <v>202</v>
      </c>
      <c r="E4" s="509">
        <v>4</v>
      </c>
      <c r="F4" s="498"/>
      <c r="G4" s="506">
        <v>102</v>
      </c>
      <c r="H4" s="507">
        <v>5</v>
      </c>
      <c r="I4" s="726"/>
      <c r="J4" s="508">
        <v>202</v>
      </c>
      <c r="K4" s="509">
        <v>5</v>
      </c>
      <c r="L4" s="498"/>
      <c r="M4" s="506">
        <v>102</v>
      </c>
      <c r="N4" s="507">
        <v>4</v>
      </c>
      <c r="O4" s="726"/>
      <c r="P4" s="508" t="s">
        <v>3665</v>
      </c>
      <c r="Q4" s="509">
        <v>5</v>
      </c>
    </row>
    <row r="5" spans="1:17">
      <c r="A5" s="506">
        <v>103</v>
      </c>
      <c r="B5" s="507">
        <v>5</v>
      </c>
      <c r="C5" s="726"/>
      <c r="D5" s="508">
        <v>203</v>
      </c>
      <c r="E5" s="509">
        <v>3</v>
      </c>
      <c r="F5" s="498"/>
      <c r="G5" s="506">
        <v>103</v>
      </c>
      <c r="H5" s="510">
        <v>5</v>
      </c>
      <c r="I5" s="726"/>
      <c r="J5" s="508">
        <v>203</v>
      </c>
      <c r="K5" s="509">
        <v>0</v>
      </c>
      <c r="L5" s="498"/>
      <c r="M5" s="506">
        <v>103</v>
      </c>
      <c r="N5" s="507">
        <v>5</v>
      </c>
      <c r="O5" s="726"/>
      <c r="P5" s="508" t="s">
        <v>3666</v>
      </c>
      <c r="Q5" s="509">
        <v>5</v>
      </c>
    </row>
    <row r="6" spans="1:17">
      <c r="A6" s="506">
        <v>104</v>
      </c>
      <c r="B6" s="511">
        <v>5</v>
      </c>
      <c r="C6" s="726"/>
      <c r="D6" s="508">
        <v>204</v>
      </c>
      <c r="E6" s="509">
        <v>4</v>
      </c>
      <c r="F6" s="498" t="s">
        <v>9</v>
      </c>
      <c r="G6" s="506">
        <v>104</v>
      </c>
      <c r="H6" s="507">
        <v>5</v>
      </c>
      <c r="I6" s="726"/>
      <c r="J6" s="508">
        <v>204</v>
      </c>
      <c r="K6" s="509">
        <v>4</v>
      </c>
      <c r="L6" s="498"/>
      <c r="M6" s="506" t="s">
        <v>3667</v>
      </c>
      <c r="N6" s="507">
        <v>5</v>
      </c>
      <c r="O6" s="726"/>
      <c r="P6" s="508" t="s">
        <v>3668</v>
      </c>
      <c r="Q6" s="509">
        <v>5</v>
      </c>
    </row>
    <row r="7" spans="1:17">
      <c r="A7" s="506">
        <v>105</v>
      </c>
      <c r="B7" s="507">
        <v>4</v>
      </c>
      <c r="C7" s="726"/>
      <c r="D7" s="508">
        <v>205</v>
      </c>
      <c r="E7" s="509">
        <v>5</v>
      </c>
      <c r="F7" s="512"/>
      <c r="G7" s="506">
        <v>105</v>
      </c>
      <c r="H7" s="507">
        <v>5</v>
      </c>
      <c r="I7" s="726"/>
      <c r="J7" s="508">
        <v>205</v>
      </c>
      <c r="K7" s="509">
        <v>4</v>
      </c>
      <c r="L7" s="498"/>
      <c r="M7" s="506" t="s">
        <v>3669</v>
      </c>
      <c r="N7" s="507">
        <v>5</v>
      </c>
      <c r="O7" s="726"/>
      <c r="P7" s="508" t="s">
        <v>3670</v>
      </c>
      <c r="Q7" s="509">
        <v>5</v>
      </c>
    </row>
    <row r="8" spans="1:17">
      <c r="A8" s="506">
        <v>106</v>
      </c>
      <c r="B8" s="507">
        <v>4</v>
      </c>
      <c r="C8" s="726"/>
      <c r="D8" s="508">
        <v>206</v>
      </c>
      <c r="E8" s="513">
        <v>5</v>
      </c>
      <c r="F8" s="498"/>
      <c r="G8" s="506">
        <v>106</v>
      </c>
      <c r="H8" s="507">
        <v>5</v>
      </c>
      <c r="I8" s="726"/>
      <c r="J8" s="508">
        <v>206</v>
      </c>
      <c r="K8" s="514">
        <v>5</v>
      </c>
      <c r="L8" s="498"/>
      <c r="M8" s="506" t="s">
        <v>3671</v>
      </c>
      <c r="N8" s="507">
        <v>5</v>
      </c>
      <c r="O8" s="726"/>
      <c r="P8" s="508" t="s">
        <v>3672</v>
      </c>
      <c r="Q8" s="577">
        <v>5</v>
      </c>
    </row>
    <row r="9" spans="1:17">
      <c r="A9" s="506">
        <v>107</v>
      </c>
      <c r="B9" s="507">
        <v>5</v>
      </c>
      <c r="C9" s="726"/>
      <c r="D9" s="508">
        <v>207</v>
      </c>
      <c r="E9" s="509">
        <v>5</v>
      </c>
      <c r="F9" s="498"/>
      <c r="G9" s="506">
        <v>107</v>
      </c>
      <c r="H9" s="507">
        <v>5</v>
      </c>
      <c r="I9" s="726"/>
      <c r="J9" s="508">
        <v>207</v>
      </c>
      <c r="K9" s="509">
        <v>4</v>
      </c>
      <c r="L9" s="498"/>
      <c r="M9" s="506">
        <v>107</v>
      </c>
      <c r="N9" s="507">
        <v>4</v>
      </c>
      <c r="O9" s="726"/>
      <c r="P9" s="508" t="s">
        <v>3673</v>
      </c>
      <c r="Q9" s="509">
        <v>5</v>
      </c>
    </row>
    <row r="10" spans="1:17">
      <c r="A10" s="506">
        <v>108</v>
      </c>
      <c r="B10" s="515">
        <v>4</v>
      </c>
      <c r="C10" s="726"/>
      <c r="D10" s="508">
        <v>208</v>
      </c>
      <c r="E10" s="509">
        <v>5</v>
      </c>
      <c r="F10" s="516"/>
      <c r="G10" s="506">
        <v>108</v>
      </c>
      <c r="H10" s="507">
        <v>5</v>
      </c>
      <c r="I10" s="726"/>
      <c r="J10" s="508">
        <v>208</v>
      </c>
      <c r="K10" s="509">
        <v>4</v>
      </c>
      <c r="L10" s="498"/>
      <c r="M10" s="506">
        <v>108</v>
      </c>
      <c r="N10" s="507">
        <v>4</v>
      </c>
      <c r="O10" s="726"/>
      <c r="P10" s="508" t="s">
        <v>3674</v>
      </c>
      <c r="Q10" s="509">
        <v>5</v>
      </c>
    </row>
    <row r="11" spans="1:17">
      <c r="A11" s="506">
        <v>109</v>
      </c>
      <c r="B11" s="507">
        <v>4</v>
      </c>
      <c r="C11" s="726"/>
      <c r="D11" s="508">
        <v>209</v>
      </c>
      <c r="E11" s="509">
        <v>5</v>
      </c>
      <c r="F11" s="516"/>
      <c r="G11" s="506">
        <v>109</v>
      </c>
      <c r="H11" s="507">
        <v>4</v>
      </c>
      <c r="I11" s="726"/>
      <c r="J11" s="508">
        <v>209</v>
      </c>
      <c r="K11" s="518">
        <v>4</v>
      </c>
      <c r="L11" s="498"/>
      <c r="M11" s="506">
        <v>109</v>
      </c>
      <c r="N11" s="507">
        <v>4</v>
      </c>
      <c r="O11" s="726"/>
      <c r="P11" s="508">
        <v>209</v>
      </c>
      <c r="Q11" s="509">
        <v>3</v>
      </c>
    </row>
    <row r="12" spans="1:17">
      <c r="A12" s="506">
        <v>110</v>
      </c>
      <c r="B12" s="507">
        <v>4</v>
      </c>
      <c r="C12" s="726"/>
      <c r="D12" s="508">
        <v>210</v>
      </c>
      <c r="E12" s="509">
        <v>5</v>
      </c>
      <c r="F12" s="516"/>
      <c r="G12" s="506">
        <v>110</v>
      </c>
      <c r="H12" s="507">
        <v>4</v>
      </c>
      <c r="I12" s="726"/>
      <c r="J12" s="508">
        <v>210</v>
      </c>
      <c r="K12" s="509">
        <v>4</v>
      </c>
      <c r="L12" s="498"/>
      <c r="M12" s="506">
        <v>110</v>
      </c>
      <c r="N12" s="507">
        <v>6</v>
      </c>
      <c r="O12" s="726"/>
      <c r="P12" s="508">
        <v>210</v>
      </c>
      <c r="Q12" s="509">
        <v>6</v>
      </c>
    </row>
    <row r="13" spans="1:17">
      <c r="A13" s="506">
        <v>111</v>
      </c>
      <c r="B13" s="507">
        <v>6</v>
      </c>
      <c r="C13" s="726"/>
      <c r="D13" s="508">
        <v>211</v>
      </c>
      <c r="E13" s="509">
        <v>5</v>
      </c>
      <c r="F13" s="516"/>
      <c r="G13" s="506">
        <v>111</v>
      </c>
      <c r="H13" s="507">
        <v>6</v>
      </c>
      <c r="I13" s="726"/>
      <c r="J13" s="508">
        <v>211</v>
      </c>
      <c r="K13" s="509">
        <v>5</v>
      </c>
      <c r="L13" s="498"/>
      <c r="M13" s="506">
        <v>111</v>
      </c>
      <c r="N13" s="507">
        <v>5</v>
      </c>
      <c r="O13" s="726"/>
      <c r="P13" s="508">
        <v>211</v>
      </c>
      <c r="Q13" s="509">
        <v>5</v>
      </c>
    </row>
    <row r="14" spans="1:17">
      <c r="A14" s="506">
        <v>112</v>
      </c>
      <c r="B14" s="507">
        <v>6</v>
      </c>
      <c r="C14" s="726"/>
      <c r="D14" s="508">
        <v>212</v>
      </c>
      <c r="E14" s="519">
        <v>5</v>
      </c>
      <c r="F14" s="516"/>
      <c r="G14" s="506">
        <v>112</v>
      </c>
      <c r="H14" s="507">
        <v>4</v>
      </c>
      <c r="I14" s="726"/>
      <c r="J14" s="508">
        <v>212</v>
      </c>
      <c r="K14" s="513">
        <v>5</v>
      </c>
      <c r="L14" s="498" t="s">
        <v>9</v>
      </c>
      <c r="M14" s="506">
        <v>112</v>
      </c>
      <c r="N14" s="517">
        <v>6</v>
      </c>
      <c r="O14" s="726"/>
      <c r="P14" s="508">
        <v>212</v>
      </c>
      <c r="Q14" s="509">
        <v>4</v>
      </c>
    </row>
    <row r="15" spans="1:17">
      <c r="A15" s="506">
        <v>113</v>
      </c>
      <c r="B15" s="507">
        <v>4</v>
      </c>
      <c r="C15" s="726"/>
      <c r="D15" s="508">
        <v>213</v>
      </c>
      <c r="E15" s="519">
        <v>4</v>
      </c>
      <c r="F15" s="516"/>
      <c r="G15" s="506">
        <v>113</v>
      </c>
      <c r="H15" s="507">
        <v>5</v>
      </c>
      <c r="I15" s="726"/>
      <c r="J15" s="508">
        <v>213</v>
      </c>
      <c r="K15" s="509">
        <v>4</v>
      </c>
      <c r="L15" s="498"/>
      <c r="M15" s="506">
        <v>113</v>
      </c>
      <c r="N15" s="507">
        <v>4</v>
      </c>
      <c r="O15" s="726"/>
      <c r="P15" s="508">
        <v>213</v>
      </c>
      <c r="Q15" s="509">
        <v>5</v>
      </c>
    </row>
    <row r="16" spans="1:17">
      <c r="A16" s="506">
        <v>114</v>
      </c>
      <c r="B16" s="507">
        <v>4</v>
      </c>
      <c r="C16" s="726"/>
      <c r="D16" s="508">
        <v>214</v>
      </c>
      <c r="E16" s="509">
        <v>6</v>
      </c>
      <c r="F16" s="498"/>
      <c r="G16" s="506">
        <v>114</v>
      </c>
      <c r="H16" s="507">
        <v>5</v>
      </c>
      <c r="I16" s="726"/>
      <c r="J16" s="508">
        <v>214</v>
      </c>
      <c r="K16" s="509">
        <v>5</v>
      </c>
      <c r="L16" s="498"/>
      <c r="M16" s="506">
        <v>114</v>
      </c>
      <c r="N16" s="507">
        <v>5</v>
      </c>
      <c r="O16" s="726"/>
      <c r="P16" s="508">
        <v>214</v>
      </c>
      <c r="Q16" s="509">
        <v>5</v>
      </c>
    </row>
    <row r="17" spans="1:17">
      <c r="A17" s="506">
        <v>115</v>
      </c>
      <c r="B17" s="507">
        <v>5</v>
      </c>
      <c r="C17" s="726"/>
      <c r="D17" s="508">
        <v>215</v>
      </c>
      <c r="E17" s="509">
        <v>5</v>
      </c>
      <c r="F17" s="498"/>
      <c r="G17" s="506">
        <v>115</v>
      </c>
      <c r="H17" s="507">
        <v>5</v>
      </c>
      <c r="I17" s="726"/>
      <c r="J17" s="508">
        <v>215</v>
      </c>
      <c r="K17" s="509">
        <v>4</v>
      </c>
      <c r="L17" s="498"/>
      <c r="M17" s="506" t="s">
        <v>3675</v>
      </c>
      <c r="N17" s="507">
        <v>5</v>
      </c>
      <c r="O17" s="726"/>
      <c r="P17" s="508" t="s">
        <v>3676</v>
      </c>
      <c r="Q17" s="520">
        <v>5</v>
      </c>
    </row>
    <row r="18" spans="1:17">
      <c r="A18" s="506">
        <v>116</v>
      </c>
      <c r="B18" s="507">
        <v>5</v>
      </c>
      <c r="C18" s="726"/>
      <c r="D18" s="508">
        <v>216</v>
      </c>
      <c r="E18" s="509">
        <v>3</v>
      </c>
      <c r="F18" s="498"/>
      <c r="G18" s="506">
        <v>116</v>
      </c>
      <c r="H18" s="507">
        <v>5</v>
      </c>
      <c r="I18" s="726"/>
      <c r="J18" s="508">
        <v>216</v>
      </c>
      <c r="K18" s="509">
        <v>5</v>
      </c>
      <c r="L18" s="498"/>
      <c r="M18" s="506" t="s">
        <v>3677</v>
      </c>
      <c r="N18" s="507">
        <v>5</v>
      </c>
      <c r="O18" s="726"/>
      <c r="P18" s="508" t="s">
        <v>3678</v>
      </c>
      <c r="Q18" s="521">
        <v>5</v>
      </c>
    </row>
    <row r="19" spans="1:17">
      <c r="A19" s="506">
        <v>117</v>
      </c>
      <c r="B19" s="507">
        <v>5</v>
      </c>
      <c r="C19" s="726"/>
      <c r="D19" s="508">
        <v>217</v>
      </c>
      <c r="E19" s="509">
        <v>5</v>
      </c>
      <c r="F19" s="498"/>
      <c r="G19" s="506">
        <v>117</v>
      </c>
      <c r="H19" s="507">
        <v>5</v>
      </c>
      <c r="I19" s="726"/>
      <c r="J19" s="508">
        <v>217</v>
      </c>
      <c r="K19" s="509">
        <v>5</v>
      </c>
      <c r="L19" s="498"/>
      <c r="M19" s="506" t="s">
        <v>3679</v>
      </c>
      <c r="N19" s="507">
        <v>5</v>
      </c>
      <c r="O19" s="726"/>
      <c r="P19" s="508" t="s">
        <v>3680</v>
      </c>
      <c r="Q19" s="521">
        <v>5</v>
      </c>
    </row>
    <row r="20" spans="1:17" ht="13.5" thickBot="1">
      <c r="A20" s="522">
        <v>118</v>
      </c>
      <c r="B20" s="523">
        <v>4</v>
      </c>
      <c r="C20" s="726"/>
      <c r="D20" s="524">
        <v>218</v>
      </c>
      <c r="E20" s="525">
        <v>6</v>
      </c>
      <c r="F20" s="526"/>
      <c r="G20" s="527">
        <v>118</v>
      </c>
      <c r="H20" s="528">
        <v>5</v>
      </c>
      <c r="I20" s="726"/>
      <c r="J20" s="529">
        <v>218</v>
      </c>
      <c r="K20" s="530">
        <v>5</v>
      </c>
      <c r="L20" s="498"/>
      <c r="M20" s="522">
        <v>118</v>
      </c>
      <c r="N20" s="523">
        <v>5</v>
      </c>
      <c r="O20" s="726"/>
      <c r="P20" s="524" t="s">
        <v>3681</v>
      </c>
      <c r="Q20" s="521">
        <v>5</v>
      </c>
    </row>
    <row r="21" spans="1:17" ht="13.5" thickBot="1">
      <c r="A21" s="531" t="s">
        <v>1158</v>
      </c>
      <c r="B21" s="532">
        <f>SUM(B3:B20)</f>
        <v>84</v>
      </c>
      <c r="C21" s="727"/>
      <c r="D21" s="531" t="s">
        <v>1158</v>
      </c>
      <c r="E21" s="532">
        <f>SUM(E3:E20)</f>
        <v>84</v>
      </c>
      <c r="F21" s="497"/>
      <c r="G21" s="531" t="s">
        <v>1158</v>
      </c>
      <c r="H21" s="533">
        <f>SUM(H3:H20)</f>
        <v>88</v>
      </c>
      <c r="I21" s="727"/>
      <c r="J21" s="534" t="s">
        <v>1158</v>
      </c>
      <c r="K21" s="533">
        <f>SUM(K3:K20)</f>
        <v>77</v>
      </c>
      <c r="L21" s="497"/>
      <c r="M21" s="531" t="s">
        <v>1158</v>
      </c>
      <c r="N21" s="532">
        <f>SUM(N3:N20)</f>
        <v>87</v>
      </c>
      <c r="O21" s="727"/>
      <c r="P21" s="531" t="s">
        <v>1158</v>
      </c>
      <c r="Q21" s="532">
        <f>SUM(Q3:Q20)</f>
        <v>88</v>
      </c>
    </row>
    <row r="22" spans="1:17" ht="13.5" thickBot="1">
      <c r="A22" s="715" t="s">
        <v>1159</v>
      </c>
      <c r="B22" s="716"/>
      <c r="C22" s="716"/>
      <c r="D22" s="717"/>
      <c r="E22" s="535">
        <f>B21+E21</f>
        <v>168</v>
      </c>
      <c r="F22" s="498"/>
      <c r="G22" s="715" t="s">
        <v>1160</v>
      </c>
      <c r="H22" s="716"/>
      <c r="I22" s="716"/>
      <c r="J22" s="717"/>
      <c r="K22" s="535">
        <f>H21+K21</f>
        <v>165</v>
      </c>
      <c r="L22" s="498"/>
      <c r="M22" s="715" t="s">
        <v>1161</v>
      </c>
      <c r="N22" s="716"/>
      <c r="O22" s="716"/>
      <c r="P22" s="717"/>
      <c r="Q22" s="535">
        <f>N21+Q21</f>
        <v>175</v>
      </c>
    </row>
    <row r="23" spans="1:17" ht="13.5" thickBot="1">
      <c r="A23" s="722" t="s">
        <v>9</v>
      </c>
      <c r="B23" s="722"/>
      <c r="C23" s="722"/>
      <c r="D23" s="722"/>
      <c r="E23" s="722"/>
      <c r="F23" s="498"/>
      <c r="G23" s="728"/>
      <c r="H23" s="728"/>
      <c r="I23" s="728"/>
      <c r="J23" s="728"/>
      <c r="K23" s="728"/>
      <c r="L23" s="498"/>
      <c r="M23" s="719"/>
      <c r="N23" s="719"/>
      <c r="O23" s="719"/>
      <c r="P23" s="719"/>
      <c r="Q23" s="719"/>
    </row>
    <row r="24" spans="1:17" ht="13.5" thickBot="1">
      <c r="A24" s="729"/>
      <c r="B24" s="729"/>
      <c r="C24" s="729"/>
      <c r="D24" s="729"/>
      <c r="E24" s="729"/>
      <c r="F24" s="536"/>
      <c r="G24" s="537"/>
      <c r="H24" s="537"/>
      <c r="I24" s="537"/>
      <c r="J24" s="537" t="s">
        <v>9</v>
      </c>
      <c r="K24" s="537" t="s">
        <v>9</v>
      </c>
      <c r="L24" s="538"/>
      <c r="M24" s="725" t="s">
        <v>3682</v>
      </c>
      <c r="N24" s="725"/>
      <c r="O24" s="725"/>
      <c r="P24" s="725"/>
      <c r="Q24" s="539">
        <f>E22</f>
        <v>168</v>
      </c>
    </row>
    <row r="25" spans="1:17" ht="13.5" thickBot="1">
      <c r="A25" s="724"/>
      <c r="B25" s="724"/>
      <c r="C25" s="724"/>
      <c r="D25" s="724"/>
      <c r="E25" s="724"/>
      <c r="F25" s="724"/>
      <c r="G25" s="538"/>
      <c r="H25" s="538"/>
      <c r="I25" s="538" t="s">
        <v>9</v>
      </c>
      <c r="J25" s="538"/>
      <c r="K25" s="538" t="s">
        <v>9</v>
      </c>
      <c r="L25" s="538"/>
      <c r="M25" s="725" t="s">
        <v>3683</v>
      </c>
      <c r="N25" s="725"/>
      <c r="O25" s="725"/>
      <c r="P25" s="725"/>
      <c r="Q25" s="539">
        <f>K22</f>
        <v>165</v>
      </c>
    </row>
    <row r="26" spans="1:17" ht="13.5" thickBot="1">
      <c r="A26" s="736">
        <f ca="1">NOW()</f>
        <v>44159.804182870372</v>
      </c>
      <c r="B26" s="737"/>
      <c r="C26" s="540"/>
      <c r="D26" s="540"/>
      <c r="E26" s="540"/>
      <c r="F26" s="541"/>
      <c r="G26" s="542" t="s">
        <v>9</v>
      </c>
      <c r="H26" s="538" t="s">
        <v>9</v>
      </c>
      <c r="I26" s="543"/>
      <c r="J26" s="538"/>
      <c r="K26" s="538"/>
      <c r="L26" s="538"/>
      <c r="M26" s="725" t="s">
        <v>3684</v>
      </c>
      <c r="N26" s="725"/>
      <c r="O26" s="725"/>
      <c r="P26" s="725"/>
      <c r="Q26" s="539">
        <f>Q22</f>
        <v>175</v>
      </c>
    </row>
    <row r="27" spans="1:17" ht="13.5" thickBot="1">
      <c r="A27" s="738"/>
      <c r="B27" s="739"/>
      <c r="C27" s="544"/>
      <c r="D27" s="544" t="s">
        <v>9</v>
      </c>
      <c r="E27" s="544"/>
      <c r="F27" s="545"/>
      <c r="G27" s="546"/>
      <c r="H27" s="547"/>
      <c r="I27" s="546"/>
      <c r="J27" s="546"/>
      <c r="K27" s="546"/>
      <c r="L27" s="546"/>
      <c r="M27" s="740" t="s">
        <v>1176</v>
      </c>
      <c r="N27" s="740"/>
      <c r="O27" s="740"/>
      <c r="P27" s="740"/>
      <c r="Q27" s="548">
        <f>Q24+Q25+Q26</f>
        <v>508</v>
      </c>
    </row>
    <row r="28" spans="1:17" ht="14.25" thickBot="1">
      <c r="A28" s="549"/>
      <c r="B28" s="538"/>
      <c r="C28" s="538"/>
      <c r="D28" s="549"/>
      <c r="E28" s="538"/>
      <c r="F28" s="538"/>
      <c r="G28" s="550"/>
      <c r="H28" s="741" t="s">
        <v>3685</v>
      </c>
      <c r="I28" s="741"/>
      <c r="J28" s="741"/>
      <c r="K28" s="741"/>
      <c r="L28" s="546"/>
      <c r="M28" s="742" t="s">
        <v>3686</v>
      </c>
      <c r="N28" s="743"/>
      <c r="O28" s="743"/>
      <c r="P28" s="744"/>
      <c r="Q28" s="551">
        <v>3</v>
      </c>
    </row>
    <row r="29" spans="1:17" ht="13.5" thickBot="1">
      <c r="A29" s="552"/>
      <c r="B29" s="538" t="s">
        <v>3687</v>
      </c>
      <c r="C29" s="538"/>
      <c r="D29" s="549"/>
      <c r="E29" s="538"/>
      <c r="F29" s="538"/>
      <c r="G29" s="553"/>
      <c r="H29" s="741" t="s">
        <v>3688</v>
      </c>
      <c r="I29" s="741"/>
      <c r="J29" s="741"/>
      <c r="K29" s="741"/>
      <c r="L29" s="538"/>
      <c r="M29" s="742" t="s">
        <v>3502</v>
      </c>
      <c r="N29" s="743"/>
      <c r="O29" s="743"/>
      <c r="P29" s="744"/>
      <c r="Q29" s="551">
        <v>7</v>
      </c>
    </row>
    <row r="30" spans="1:17" ht="13.5" thickBot="1">
      <c r="A30" s="554"/>
      <c r="B30" s="555" t="s">
        <v>3689</v>
      </c>
      <c r="C30" s="555"/>
      <c r="D30" s="549"/>
      <c r="E30" s="549"/>
      <c r="F30" s="538"/>
      <c r="G30" s="538"/>
      <c r="H30" s="538" t="s">
        <v>9</v>
      </c>
      <c r="I30" s="538"/>
      <c r="J30" s="538"/>
      <c r="K30" s="538"/>
      <c r="L30" s="538"/>
      <c r="M30" s="730" t="s">
        <v>253</v>
      </c>
      <c r="N30" s="731"/>
      <c r="O30" s="731"/>
      <c r="P30" s="732"/>
      <c r="Q30" s="551">
        <v>0</v>
      </c>
    </row>
    <row r="31" spans="1:17" ht="13.5" thickBot="1">
      <c r="A31" s="556"/>
      <c r="B31" s="536" t="s">
        <v>3690</v>
      </c>
      <c r="C31" s="536"/>
      <c r="D31" s="536"/>
      <c r="E31" s="536"/>
      <c r="F31" s="536"/>
      <c r="G31" s="538" t="s">
        <v>9</v>
      </c>
      <c r="H31" s="538" t="s">
        <v>9</v>
      </c>
      <c r="I31" s="538"/>
      <c r="J31" s="538"/>
      <c r="K31" s="538"/>
      <c r="L31" s="538"/>
      <c r="M31" s="730" t="s">
        <v>3691</v>
      </c>
      <c r="N31" s="731"/>
      <c r="O31" s="731"/>
      <c r="P31" s="731"/>
      <c r="Q31" s="551">
        <v>0</v>
      </c>
    </row>
    <row r="32" spans="1:17" ht="13.5" thickBot="1">
      <c r="A32" s="557"/>
      <c r="B32" s="558" t="s">
        <v>3692</v>
      </c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733" t="s">
        <v>3693</v>
      </c>
      <c r="N32" s="734"/>
      <c r="O32" s="734"/>
      <c r="P32" s="735"/>
      <c r="Q32" s="560">
        <f>SUM(Q27:Q31)</f>
        <v>518</v>
      </c>
    </row>
  </sheetData>
  <mergeCells count="29">
    <mergeCell ref="M30:P30"/>
    <mergeCell ref="M31:P31"/>
    <mergeCell ref="M32:P32"/>
    <mergeCell ref="A26:B27"/>
    <mergeCell ref="M26:P26"/>
    <mergeCell ref="M27:P27"/>
    <mergeCell ref="H28:K28"/>
    <mergeCell ref="M28:P28"/>
    <mergeCell ref="H29:K29"/>
    <mergeCell ref="M29:P29"/>
    <mergeCell ref="A25:F25"/>
    <mergeCell ref="M25:P25"/>
    <mergeCell ref="C3:C21"/>
    <mergeCell ref="I3:I21"/>
    <mergeCell ref="O3:O21"/>
    <mergeCell ref="A22:D22"/>
    <mergeCell ref="G22:J22"/>
    <mergeCell ref="M22:P22"/>
    <mergeCell ref="A23:E23"/>
    <mergeCell ref="G23:K23"/>
    <mergeCell ref="M23:Q23"/>
    <mergeCell ref="A24:E24"/>
    <mergeCell ref="M24:P24"/>
    <mergeCell ref="A1:E1"/>
    <mergeCell ref="G1:K1"/>
    <mergeCell ref="M1:Q1"/>
    <mergeCell ref="A2:E2"/>
    <mergeCell ref="G2:K2"/>
    <mergeCell ref="M2:Q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zoomScale="85" zoomScaleNormal="85" workbookViewId="0">
      <selection activeCell="E14" sqref="E14"/>
    </sheetView>
  </sheetViews>
  <sheetFormatPr defaultRowHeight="12.75"/>
  <cols>
    <col min="1" max="1" width="3" customWidth="1"/>
    <col min="6" max="6" width="4.7109375" customWidth="1"/>
    <col min="11" max="11" width="4.7109375" customWidth="1"/>
    <col min="16" max="16" width="3.7109375" customWidth="1"/>
  </cols>
  <sheetData>
    <row r="1" spans="1:20" ht="7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thickTop="1">
      <c r="A2" s="1"/>
      <c r="B2" s="688" t="s">
        <v>252</v>
      </c>
      <c r="C2" s="689"/>
      <c r="D2" s="689"/>
      <c r="E2" s="689"/>
      <c r="F2" s="689"/>
      <c r="G2" s="689"/>
      <c r="H2" s="689"/>
      <c r="I2" s="689"/>
      <c r="J2" s="689"/>
      <c r="K2" s="689"/>
      <c r="L2" s="689"/>
      <c r="M2" s="689"/>
      <c r="N2" s="689"/>
      <c r="O2" s="689"/>
      <c r="P2" s="689"/>
      <c r="Q2" s="689"/>
      <c r="R2" s="689"/>
      <c r="S2" s="689"/>
      <c r="T2" s="690"/>
    </row>
    <row r="3" spans="1:20" ht="9.75" customHeight="1" thickBot="1">
      <c r="A3" s="1"/>
      <c r="B3" s="691"/>
      <c r="C3" s="692"/>
      <c r="D3" s="692"/>
      <c r="E3" s="692"/>
      <c r="F3" s="692"/>
      <c r="G3" s="692"/>
      <c r="H3" s="692"/>
      <c r="I3" s="692"/>
      <c r="J3" s="692"/>
      <c r="K3" s="692"/>
      <c r="L3" s="692"/>
      <c r="M3" s="692"/>
      <c r="N3" s="692"/>
      <c r="O3" s="692"/>
      <c r="P3" s="692"/>
      <c r="Q3" s="692"/>
      <c r="R3" s="692"/>
      <c r="S3" s="692"/>
      <c r="T3" s="693"/>
    </row>
    <row r="4" spans="1:20" ht="9.75" customHeight="1" thickTop="1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7.25" thickTop="1" thickBot="1">
      <c r="A5" s="1"/>
      <c r="B5" s="694" t="s">
        <v>1155</v>
      </c>
      <c r="C5" s="695"/>
      <c r="D5" s="695"/>
      <c r="E5" s="696"/>
      <c r="F5" s="2"/>
      <c r="G5" s="694" t="s">
        <v>1156</v>
      </c>
      <c r="H5" s="695"/>
      <c r="I5" s="695"/>
      <c r="J5" s="696"/>
      <c r="K5" s="2"/>
      <c r="L5" s="694" t="s">
        <v>1157</v>
      </c>
      <c r="M5" s="695"/>
      <c r="N5" s="695"/>
      <c r="O5" s="696"/>
      <c r="P5" s="1"/>
      <c r="Q5" s="661" t="s">
        <v>215</v>
      </c>
      <c r="R5" s="662"/>
      <c r="S5" s="663"/>
      <c r="T5" s="5">
        <f>E27</f>
        <v>171</v>
      </c>
    </row>
    <row r="6" spans="1:20" ht="16.5" thickTop="1">
      <c r="A6" s="1"/>
      <c r="B6" s="42">
        <v>101</v>
      </c>
      <c r="C6" s="44">
        <f>COUNTIF('GAL-CUB'!$C$2:'GAL-CUB'!$C$598,"=A 101")</f>
        <v>4</v>
      </c>
      <c r="D6" s="43">
        <v>201</v>
      </c>
      <c r="E6" s="44">
        <f>COUNTIF('GAL-CUB'!$C$2:'GAL-CUB'!$C$598,"=A 201")</f>
        <v>5</v>
      </c>
      <c r="F6" s="2"/>
      <c r="G6" s="42">
        <v>101</v>
      </c>
      <c r="H6" s="44">
        <f>COUNTIF('GAL-CUB'!$C$2:'GAL-CUB'!$C$598,"=B 101")</f>
        <v>4</v>
      </c>
      <c r="I6" s="42">
        <v>201</v>
      </c>
      <c r="J6" s="44">
        <f>COUNTIF('GAL-CUB'!$C$2:'GAL-CUB'!$C$598,"=B 201")</f>
        <v>0</v>
      </c>
      <c r="K6" s="2"/>
      <c r="L6" s="42">
        <v>101</v>
      </c>
      <c r="M6" s="44">
        <f>COUNTIF('GAL-CUB'!$C$2:'GAL-CUB'!$C$598,"=C 101")</f>
        <v>5</v>
      </c>
      <c r="N6" s="42">
        <v>201</v>
      </c>
      <c r="O6" s="44">
        <f>COUNTIF('GAL-CUB'!$C$2:'GAL-CUB'!$C$598,"=C 201")</f>
        <v>5</v>
      </c>
      <c r="P6" s="1"/>
      <c r="Q6" s="664" t="s">
        <v>216</v>
      </c>
      <c r="R6" s="665"/>
      <c r="S6" s="666"/>
      <c r="T6" s="6">
        <f>J27</f>
        <v>165</v>
      </c>
    </row>
    <row r="7" spans="1:20" ht="16.5" thickBot="1">
      <c r="A7" s="1"/>
      <c r="B7" s="43">
        <v>102</v>
      </c>
      <c r="C7" s="44">
        <f>COUNTIF('GAL-CUB'!$C$2:'GAL-CUB'!$C$598,"=A 102")</f>
        <v>5</v>
      </c>
      <c r="D7" s="43">
        <v>202</v>
      </c>
      <c r="E7" s="44">
        <f>COUNTIF('GAL-CUB'!$C$2:'GAL-CUB'!$C$598,"=A 202")</f>
        <v>5</v>
      </c>
      <c r="F7" s="2"/>
      <c r="G7" s="43">
        <v>102</v>
      </c>
      <c r="H7" s="44">
        <f>COUNTIF('GAL-CUB'!$C$2:'GAL-CUB'!$C$598,"=B 102")</f>
        <v>5</v>
      </c>
      <c r="I7" s="43">
        <v>202</v>
      </c>
      <c r="J7" s="44">
        <f>COUNTIF('GAL-CUB'!$C$2:'GAL-CUB'!$C$598,"=B 202")</f>
        <v>5</v>
      </c>
      <c r="K7" s="2"/>
      <c r="L7" s="43">
        <v>102</v>
      </c>
      <c r="M7" s="44">
        <f>COUNTIF('GAL-CUB'!$C$2:'GAL-CUB'!$C$598,"=C 102")</f>
        <v>4</v>
      </c>
      <c r="N7" s="43">
        <v>202</v>
      </c>
      <c r="O7" s="44">
        <f>COUNTIF('GAL-CUB'!$C$2:'GAL-CUB'!$C$598,"=C 202")</f>
        <v>5</v>
      </c>
      <c r="P7" s="1"/>
      <c r="Q7" s="685" t="s">
        <v>217</v>
      </c>
      <c r="R7" s="686"/>
      <c r="S7" s="687"/>
      <c r="T7" s="7">
        <f>O27</f>
        <v>172</v>
      </c>
    </row>
    <row r="8" spans="1:20" ht="17.25" thickTop="1" thickBot="1">
      <c r="A8" s="1"/>
      <c r="B8" s="43">
        <v>103</v>
      </c>
      <c r="C8" s="44">
        <f>COUNTIF('GAL-CUB'!$C$2:'GAL-CUB'!$C$598,"=A 103")</f>
        <v>5</v>
      </c>
      <c r="D8" s="43">
        <v>203</v>
      </c>
      <c r="E8" s="44">
        <f>COUNTIF('GAL-CUB'!$C$2:'GAL-CUB'!$C$598,"=A 203")</f>
        <v>5</v>
      </c>
      <c r="F8" s="2"/>
      <c r="G8" s="43">
        <v>103</v>
      </c>
      <c r="H8" s="44">
        <f>COUNTIF('GAL-CUB'!$C$2:'GAL-CUB'!$C$598,"=B 103")</f>
        <v>5</v>
      </c>
      <c r="I8" s="43">
        <v>203</v>
      </c>
      <c r="J8" s="44">
        <f>COUNTIF('GAL-CUB'!$C$2:'GAL-CUB'!$C$598,"=B 203")</f>
        <v>5</v>
      </c>
      <c r="K8" s="2"/>
      <c r="L8" s="43">
        <v>103</v>
      </c>
      <c r="M8" s="44">
        <f>COUNTIF('GAL-CUB'!$C$2:'GAL-CUB'!$C$598,"=C 103")</f>
        <v>5</v>
      </c>
      <c r="N8" s="43">
        <v>203</v>
      </c>
      <c r="O8" s="44">
        <f>COUNTIF('GAL-CUB'!$C$2:'GAL-CUB'!$C$598,"=C 203")</f>
        <v>5</v>
      </c>
      <c r="P8" s="1"/>
      <c r="Q8" s="658" t="s">
        <v>1176</v>
      </c>
      <c r="R8" s="659"/>
      <c r="S8" s="660"/>
      <c r="T8" s="4">
        <f>SUM(T5:T7)</f>
        <v>508</v>
      </c>
    </row>
    <row r="9" spans="1:20" ht="16.5" thickTop="1">
      <c r="A9" s="1"/>
      <c r="B9" s="43">
        <v>104</v>
      </c>
      <c r="C9" s="44">
        <f>COUNTIF('GAL-CUB'!$C$2:'GAL-CUB'!$C$598,"=A 104")</f>
        <v>5</v>
      </c>
      <c r="D9" s="43">
        <v>204</v>
      </c>
      <c r="E9" s="44">
        <f>COUNTIF('GAL-CUB'!$C$2:'GAL-CUB'!$C$598,"=A 204")</f>
        <v>4</v>
      </c>
      <c r="F9" s="2"/>
      <c r="G9" s="43">
        <v>104</v>
      </c>
      <c r="H9" s="44">
        <f>COUNTIF('GAL-CUB'!$C$2:'GAL-CUB'!$C$598,"=B 104")</f>
        <v>0</v>
      </c>
      <c r="I9" s="43">
        <v>204</v>
      </c>
      <c r="J9" s="44">
        <f>COUNTIF('GAL-CUB'!$C$2:'GAL-CUB'!$C$598,"=B 204")</f>
        <v>5</v>
      </c>
      <c r="K9" s="2"/>
      <c r="L9" s="43">
        <v>104</v>
      </c>
      <c r="M9" s="44">
        <f>COUNTIF('GAL-CUB'!$C$2:'GAL-CUB'!$C$598,"=C 104")</f>
        <v>5</v>
      </c>
      <c r="N9" s="43">
        <v>204</v>
      </c>
      <c r="O9" s="44">
        <f>COUNTIF('GAL-CUB'!$C$2:'GAL-CUB'!$C$598,"=C 204")</f>
        <v>5</v>
      </c>
      <c r="P9" s="1"/>
      <c r="Q9" s="661" t="s">
        <v>603</v>
      </c>
      <c r="R9" s="662"/>
      <c r="S9" s="663"/>
      <c r="T9" s="8">
        <f>COUNTIF(ESCOLTAS!F3:F3,"=CMP")</f>
        <v>1</v>
      </c>
    </row>
    <row r="10" spans="1:20" ht="15.75">
      <c r="A10" s="1"/>
      <c r="B10" s="43">
        <v>105</v>
      </c>
      <c r="C10" s="44">
        <f>COUNTIF('GAL-CUB'!$C$2:'GAL-CUB'!$C$598,"=A 105")</f>
        <v>4</v>
      </c>
      <c r="D10" s="43">
        <v>205</v>
      </c>
      <c r="E10" s="44">
        <f>COUNTIF('GAL-CUB'!$C$2:'GAL-CUB'!$C$598,"=A 205")</f>
        <v>5</v>
      </c>
      <c r="F10" s="2"/>
      <c r="G10" s="43">
        <v>105</v>
      </c>
      <c r="H10" s="44">
        <f>COUNTIF('GAL-CUB'!$C$2:'GAL-CUB'!$C$598,"=B 105")</f>
        <v>0</v>
      </c>
      <c r="I10" s="43">
        <v>205</v>
      </c>
      <c r="J10" s="44">
        <f>COUNTIF('GAL-CUB'!$C$2:'GAL-CUB'!$C$598,"=B 205")</f>
        <v>4</v>
      </c>
      <c r="K10" s="2"/>
      <c r="L10" s="43">
        <v>105</v>
      </c>
      <c r="M10" s="44">
        <f>COUNTIF('GAL-CUB'!$C$2:'GAL-CUB'!$C$598,"=C 105")</f>
        <v>5</v>
      </c>
      <c r="N10" s="43">
        <v>205</v>
      </c>
      <c r="O10" s="44">
        <f>COUNTIF('GAL-CUB'!$C$2:'GAL-CUB'!$C$598,"=C 205")</f>
        <v>5</v>
      </c>
      <c r="P10" s="1"/>
      <c r="Q10" s="664" t="s">
        <v>1473</v>
      </c>
      <c r="R10" s="665"/>
      <c r="S10" s="666"/>
      <c r="T10" s="8">
        <f>COUNTIF(ESCOLTAS!F3:F3,"=ESCOLTAS")</f>
        <v>0</v>
      </c>
    </row>
    <row r="11" spans="1:20" ht="15.75">
      <c r="A11" s="1"/>
      <c r="B11" s="43">
        <v>106</v>
      </c>
      <c r="C11" s="44">
        <f>COUNTIF('GAL-CUB'!$C$2:'GAL-CUB'!$C$598,"=A 106")</f>
        <v>5</v>
      </c>
      <c r="D11" s="43">
        <v>206</v>
      </c>
      <c r="E11" s="44">
        <f>COUNTIF('GAL-CUB'!$C$2:'GAL-CUB'!$C$598,"=A 206")</f>
        <v>5</v>
      </c>
      <c r="F11" s="2"/>
      <c r="G11" s="43">
        <v>106</v>
      </c>
      <c r="H11" s="44">
        <f>COUNTIF('GAL-CUB'!$C$2:'GAL-CUB'!$C$598,"=B 106")</f>
        <v>5</v>
      </c>
      <c r="I11" s="43">
        <v>206</v>
      </c>
      <c r="J11" s="44">
        <f>COUNTIF('GAL-CUB'!$C$2:'GAL-CUB'!$C$598,"=B 206")</f>
        <v>5</v>
      </c>
      <c r="K11" s="2"/>
      <c r="L11" s="43">
        <v>106</v>
      </c>
      <c r="M11" s="44">
        <f>COUNTIF('GAL-CUB'!$C$2:'GAL-CUB'!$C$598,"=C 106")</f>
        <v>5</v>
      </c>
      <c r="N11" s="43">
        <v>206</v>
      </c>
      <c r="O11" s="44">
        <f>COUNTIF('GAL-CUB'!$C$2:'GAL-CUB'!$C$598,"=C 206")</f>
        <v>5</v>
      </c>
      <c r="P11" s="1"/>
      <c r="Q11" s="667" t="s">
        <v>253</v>
      </c>
      <c r="R11" s="668"/>
      <c r="S11" s="669"/>
      <c r="T11" s="8">
        <f>COUNTIF(ESCOLTAS!F3:F3,"=HOSPITAL")</f>
        <v>0</v>
      </c>
    </row>
    <row r="12" spans="1:20" ht="16.5" thickBot="1">
      <c r="A12" s="1"/>
      <c r="B12" s="43">
        <v>107</v>
      </c>
      <c r="C12" s="44">
        <f>COUNTIF('GAL-CUB'!$C$2:'GAL-CUB'!$C$598,"=A 107")</f>
        <v>5</v>
      </c>
      <c r="D12" s="43">
        <v>207</v>
      </c>
      <c r="E12" s="44">
        <f>COUNTIF('GAL-CUB'!$C$2:'GAL-CUB'!$C$598,"=A 207")</f>
        <v>5</v>
      </c>
      <c r="F12" s="2"/>
      <c r="G12" s="43">
        <v>107</v>
      </c>
      <c r="H12" s="44">
        <f>COUNTIF('GAL-CUB'!$C$2:'GAL-CUB'!$C$598,"=B 107")</f>
        <v>5</v>
      </c>
      <c r="I12" s="43">
        <v>207</v>
      </c>
      <c r="J12" s="44">
        <f>COUNTIF('GAL-CUB'!$C$2:'GAL-CUB'!$C$598,"=B 207")</f>
        <v>5</v>
      </c>
      <c r="K12" s="2"/>
      <c r="L12" s="43">
        <v>107</v>
      </c>
      <c r="M12" s="44">
        <f>COUNTIF('GAL-CUB'!$C$2:'GAL-CUB'!$C$598,"=C 107")</f>
        <v>4</v>
      </c>
      <c r="N12" s="43">
        <v>207</v>
      </c>
      <c r="O12" s="44">
        <f>COUNTIF('GAL-CUB'!$C$2:'GAL-CUB'!$C$598,"=C 207")</f>
        <v>5</v>
      </c>
      <c r="P12" s="1"/>
      <c r="Q12" s="674" t="s">
        <v>1581</v>
      </c>
      <c r="R12" s="675"/>
      <c r="S12" s="676"/>
      <c r="T12" s="8">
        <f>COUNTIF(ESCOLTAS!F3:F28,"=ÍNTIMA")</f>
        <v>8</v>
      </c>
    </row>
    <row r="13" spans="1:20" ht="17.25" thickTop="1" thickBot="1">
      <c r="A13" s="1"/>
      <c r="B13" s="43">
        <v>108</v>
      </c>
      <c r="C13" s="44">
        <f>COUNTIF('GAL-CUB'!$C$2:'GAL-CUB'!$C$598,"=A 108")</f>
        <v>5</v>
      </c>
      <c r="D13" s="43">
        <v>208</v>
      </c>
      <c r="E13" s="44">
        <f>COUNTIF('GAL-CUB'!$C$2:'GAL-CUB'!$C$598,"=A 208")</f>
        <v>5</v>
      </c>
      <c r="F13" s="2"/>
      <c r="G13" s="43">
        <v>108</v>
      </c>
      <c r="H13" s="44">
        <f>COUNTIF('GAL-CUB'!$C$2:'GAL-CUB'!$C$598,"=B 108")</f>
        <v>5</v>
      </c>
      <c r="I13" s="43">
        <v>208</v>
      </c>
      <c r="J13" s="44">
        <f>COUNTIF('GAL-CUB'!$C$2:'GAL-CUB'!$C$598,"=B 208")</f>
        <v>5</v>
      </c>
      <c r="K13" s="2"/>
      <c r="L13" s="43">
        <v>108</v>
      </c>
      <c r="M13" s="44">
        <f>COUNTIF('GAL-CUB'!$C$2:'GAL-CUB'!$C$598,"=C 108")</f>
        <v>4</v>
      </c>
      <c r="N13" s="43">
        <v>208</v>
      </c>
      <c r="O13" s="44">
        <f>COUNTIF('GAL-CUB'!$C$2:'GAL-CUB'!$C$598,"=C 208")</f>
        <v>5</v>
      </c>
      <c r="P13" s="1"/>
      <c r="Q13" s="680" t="s">
        <v>254</v>
      </c>
      <c r="R13" s="680"/>
      <c r="S13" s="680"/>
      <c r="T13" s="4">
        <f>SUM(T8:T12)</f>
        <v>517</v>
      </c>
    </row>
    <row r="14" spans="1:20" ht="17.25" thickTop="1" thickBot="1">
      <c r="A14" s="1"/>
      <c r="B14" s="43">
        <v>109</v>
      </c>
      <c r="C14" s="44">
        <f>COUNTIF('GAL-CUB'!$C$2:'GAL-CUB'!$C$598,"=A 109")</f>
        <v>4</v>
      </c>
      <c r="D14" s="43">
        <v>209</v>
      </c>
      <c r="E14" s="44">
        <f>COUNTIF('GAL-CUB'!$C$2:'GAL-CUB'!$C$598,"=A 209")</f>
        <v>5</v>
      </c>
      <c r="F14" s="2"/>
      <c r="G14" s="43">
        <v>109</v>
      </c>
      <c r="H14" s="44">
        <f>COUNTIF('GAL-CUB'!$C$2:'GAL-CUB'!$C$598,"=B 109")</f>
        <v>5</v>
      </c>
      <c r="I14" s="43">
        <v>209</v>
      </c>
      <c r="J14" s="44">
        <f>COUNTIF('GAL-CUB'!$C$2:'GAL-CUB'!$C$598,"=B 209")</f>
        <v>5</v>
      </c>
      <c r="K14" s="2"/>
      <c r="L14" s="43">
        <v>109</v>
      </c>
      <c r="M14" s="44">
        <f>COUNTIF('GAL-CUB'!$C$2:'GAL-CUB'!$C$598,"=C 109")</f>
        <v>4</v>
      </c>
      <c r="N14" s="43">
        <v>209</v>
      </c>
      <c r="O14" s="44">
        <f>COUNTIF('GAL-CUB'!$C$2:'GAL-CUB'!$C$598,"=C 209")</f>
        <v>4</v>
      </c>
      <c r="P14" s="1"/>
      <c r="Q14" s="1"/>
      <c r="R14" s="1"/>
      <c r="S14" s="1"/>
      <c r="T14" s="1"/>
    </row>
    <row r="15" spans="1:20" ht="17.25" thickTop="1" thickBot="1">
      <c r="A15" s="1"/>
      <c r="B15" s="43">
        <v>110</v>
      </c>
      <c r="C15" s="44">
        <f>COUNTIF('GAL-CUB'!$C$2:'GAL-CUB'!$C$598,"=A 110")</f>
        <v>4</v>
      </c>
      <c r="D15" s="43">
        <v>210</v>
      </c>
      <c r="E15" s="44">
        <f>COUNTIF('GAL-CUB'!$C$2:'GAL-CUB'!$C$598,"=A 210")</f>
        <v>5</v>
      </c>
      <c r="F15" s="2"/>
      <c r="G15" s="43">
        <v>110</v>
      </c>
      <c r="H15" s="44">
        <f>COUNTIF('GAL-CUB'!$C$2:'GAL-CUB'!$C$598,"=B 110")</f>
        <v>5</v>
      </c>
      <c r="I15" s="43">
        <v>210</v>
      </c>
      <c r="J15" s="44">
        <f>COUNTIF('GAL-CUB'!$C$2:'GAL-CUB'!$C$598,"=B 210")</f>
        <v>5</v>
      </c>
      <c r="K15" s="2"/>
      <c r="L15" s="43">
        <v>110</v>
      </c>
      <c r="M15" s="44">
        <f>COUNTIF('GAL-CUB'!$C$2:'GAL-CUB'!$C$598,"=C 110")</f>
        <v>6</v>
      </c>
      <c r="N15" s="43">
        <v>210</v>
      </c>
      <c r="O15" s="44">
        <f>COUNTIF('GAL-CUB'!$C$2:'GAL-CUB'!$C$598,"=C 210")</f>
        <v>6</v>
      </c>
      <c r="P15" s="1"/>
      <c r="Q15" s="681" t="s">
        <v>432</v>
      </c>
      <c r="R15" s="681"/>
      <c r="S15" s="681"/>
      <c r="T15" s="19">
        <f>T13-432</f>
        <v>85</v>
      </c>
    </row>
    <row r="16" spans="1:20" ht="16.5" thickTop="1">
      <c r="A16" s="1"/>
      <c r="B16" s="43">
        <v>111</v>
      </c>
      <c r="C16" s="44">
        <f>COUNTIF('GAL-CUB'!$C$2:'GAL-CUB'!$C$598,"=A 111")</f>
        <v>4</v>
      </c>
      <c r="D16" s="43">
        <v>211</v>
      </c>
      <c r="E16" s="44">
        <f>COUNTIF('GAL-CUB'!$C$2:'GAL-CUB'!$C$598,"=A 211")</f>
        <v>5</v>
      </c>
      <c r="F16" s="2"/>
      <c r="G16" s="43">
        <v>111</v>
      </c>
      <c r="H16" s="44">
        <f>COUNTIF('GAL-CUB'!$C$2:'GAL-CUB'!$C$598,"=B 111")</f>
        <v>6</v>
      </c>
      <c r="I16" s="43">
        <v>211</v>
      </c>
      <c r="J16" s="44">
        <f>COUNTIF('GAL-CUB'!$C$2:'GAL-CUB'!$C$598,"=B 211")</f>
        <v>4</v>
      </c>
      <c r="K16" s="2"/>
      <c r="L16" s="43">
        <v>111</v>
      </c>
      <c r="M16" s="44">
        <f>COUNTIF('GAL-CUB'!$C$2:'GAL-CUB'!$C$598,"=C 111")</f>
        <v>5</v>
      </c>
      <c r="N16" s="43">
        <v>211</v>
      </c>
      <c r="O16" s="44">
        <f>COUNTIF('GAL-CUB'!$C$2:'GAL-CUB'!$C$598,"=C 211")</f>
        <v>4</v>
      </c>
      <c r="P16" s="1"/>
      <c r="Q16" s="1"/>
      <c r="R16" s="1"/>
      <c r="S16" s="1"/>
      <c r="T16" s="1"/>
    </row>
    <row r="17" spans="1:20" ht="16.5" thickBot="1">
      <c r="A17" s="1"/>
      <c r="B17" s="43">
        <v>112</v>
      </c>
      <c r="C17" s="44">
        <f>COUNTIF('GAL-CUB'!$C$2:'GAL-CUB'!$C$598,"=A 112")</f>
        <v>6</v>
      </c>
      <c r="D17" s="43">
        <v>212</v>
      </c>
      <c r="E17" s="44">
        <f>COUNTIF('GAL-CUB'!$C$2:'GAL-CUB'!$C$598,"=A 212")</f>
        <v>3</v>
      </c>
      <c r="F17" s="2"/>
      <c r="G17" s="43">
        <v>112</v>
      </c>
      <c r="H17" s="44">
        <f>COUNTIF('GAL-CUB'!$C$2:'GAL-CUB'!$C$598,"=B 112")</f>
        <v>6</v>
      </c>
      <c r="I17" s="43">
        <v>212</v>
      </c>
      <c r="J17" s="44">
        <f>COUNTIF('GAL-CUB'!$C$2:'GAL-CUB'!$C$598,"=B 212")</f>
        <v>5</v>
      </c>
      <c r="K17" s="2"/>
      <c r="L17" s="43">
        <v>112</v>
      </c>
      <c r="M17" s="44">
        <f>COUNTIF('GAL-CUB'!$C$2:'GAL-CUB'!$C$598,"=C 112")</f>
        <v>6</v>
      </c>
      <c r="N17" s="43">
        <v>212</v>
      </c>
      <c r="O17" s="44">
        <f>COUNTIF('GAL-CUB'!$C$2:'GAL-CUB'!$C$598,"=C 212")</f>
        <v>4</v>
      </c>
      <c r="P17" s="1"/>
      <c r="Q17" s="1"/>
      <c r="R17" s="1"/>
      <c r="S17" s="1"/>
      <c r="T17" s="1"/>
    </row>
    <row r="18" spans="1:20" ht="17.25" thickTop="1" thickBot="1">
      <c r="A18" s="1"/>
      <c r="B18" s="43">
        <v>113</v>
      </c>
      <c r="C18" s="44">
        <f>COUNTIF('GAL-CUB'!$C$2:'GAL-CUB'!$C$598,"=A 113")</f>
        <v>5</v>
      </c>
      <c r="D18" s="43">
        <v>213</v>
      </c>
      <c r="E18" s="44">
        <f>COUNTIF('GAL-CUB'!$C$2:'GAL-CUB'!$C$598,"=A 213")</f>
        <v>4</v>
      </c>
      <c r="F18" s="2"/>
      <c r="G18" s="43">
        <v>113</v>
      </c>
      <c r="H18" s="44">
        <f>COUNTIF('GAL-CUB'!$C$2:'GAL-CUB'!$C$598,"=B 113")</f>
        <v>5</v>
      </c>
      <c r="I18" s="43">
        <v>213</v>
      </c>
      <c r="J18" s="44">
        <f>COUNTIF('GAL-CUB'!$C$2:'GAL-CUB'!$C$598,"=B 213")</f>
        <v>6</v>
      </c>
      <c r="K18" s="2"/>
      <c r="L18" s="43">
        <v>113</v>
      </c>
      <c r="M18" s="44">
        <f>COUNTIF('GAL-CUB'!$C$2:'GAL-CUB'!$C$598,"=C 113")</f>
        <v>3</v>
      </c>
      <c r="N18" s="43">
        <v>213</v>
      </c>
      <c r="O18" s="44">
        <f>COUNTIF('GAL-CUB'!$C$2:'GAL-CUB'!$C$598,"=C 213")</f>
        <v>5</v>
      </c>
      <c r="P18" s="1"/>
      <c r="Q18" s="682" t="s">
        <v>1639</v>
      </c>
      <c r="R18" s="682"/>
      <c r="S18" s="682"/>
      <c r="T18" s="25" t="e">
        <f>COUNTIF('GAL-CUB'!#REF!:'GAL-CUB'!$C$598,"=CD")</f>
        <v>#REF!</v>
      </c>
    </row>
    <row r="19" spans="1:20" ht="17.25" thickTop="1" thickBot="1">
      <c r="A19" s="1"/>
      <c r="B19" s="43">
        <v>114</v>
      </c>
      <c r="C19" s="44">
        <f>COUNTIF('GAL-CUB'!$C$2:'GAL-CUB'!$C$598,"=A 114")</f>
        <v>5</v>
      </c>
      <c r="D19" s="43">
        <v>214</v>
      </c>
      <c r="E19" s="44">
        <f>COUNTIF('GAL-CUB'!$C$2:'GAL-CUB'!$C$598,"=A 214")</f>
        <v>6</v>
      </c>
      <c r="F19" s="2"/>
      <c r="G19" s="43">
        <v>114</v>
      </c>
      <c r="H19" s="44">
        <f>COUNTIF('GAL-CUB'!$C$2:'GAL-CUB'!$C$598,"=B 114")</f>
        <v>5</v>
      </c>
      <c r="I19" s="43">
        <v>214</v>
      </c>
      <c r="J19" s="44">
        <f>COUNTIF('GAL-CUB'!$C$2:'GAL-CUB'!$C$598,"=B 214")</f>
        <v>5</v>
      </c>
      <c r="K19" s="2"/>
      <c r="L19" s="43">
        <v>114</v>
      </c>
      <c r="M19" s="44">
        <f>COUNTIF('GAL-CUB'!$C$2:'GAL-CUB'!$C$598,"=C 114")</f>
        <v>4</v>
      </c>
      <c r="N19" s="43">
        <v>214</v>
      </c>
      <c r="O19" s="44">
        <f>COUNTIF('GAL-CUB'!$C$2:'GAL-CUB'!$C$598,"=C 214")</f>
        <v>5</v>
      </c>
      <c r="P19" s="1"/>
      <c r="Q19" s="683" t="s">
        <v>1524</v>
      </c>
      <c r="R19" s="683"/>
      <c r="S19" s="683"/>
      <c r="T19" s="26" t="e">
        <f>COUNTIF('GAL-CUB'!#REF!:'GAL-CUB'!$C$598,"=TRIAGEM")+COUNTIF('GAL-CUB'!#REF!:'GAL-CUB'!$C$598,"=TRIAGEM/CD")+COUNTIF('GAL-CUB'!#REF!:'GAL-CUB'!$C$598,"=TRIAGEM/SANÇÃO")</f>
        <v>#REF!</v>
      </c>
    </row>
    <row r="20" spans="1:20" ht="17.25" thickTop="1" thickBot="1">
      <c r="A20" s="1"/>
      <c r="B20" s="43">
        <v>115</v>
      </c>
      <c r="C20" s="44">
        <f>COUNTIF('GAL-CUB'!$C$2:'GAL-CUB'!$C$598,"=A 115")</f>
        <v>4</v>
      </c>
      <c r="D20" s="43">
        <v>215</v>
      </c>
      <c r="E20" s="44">
        <f>COUNTIF('GAL-CUB'!$C$2:'GAL-CUB'!$C$598,"=A 215")</f>
        <v>5</v>
      </c>
      <c r="F20" s="2"/>
      <c r="G20" s="43">
        <v>115</v>
      </c>
      <c r="H20" s="44">
        <f>COUNTIF('GAL-CUB'!$C$2:'GAL-CUB'!$C$598,"=B 115")</f>
        <v>5</v>
      </c>
      <c r="I20" s="43">
        <v>215</v>
      </c>
      <c r="J20" s="44">
        <f>COUNTIF('GAL-CUB'!$C$2:'GAL-CUB'!$C$598,"=B 215")</f>
        <v>5</v>
      </c>
      <c r="K20" s="2"/>
      <c r="L20" s="43">
        <v>115</v>
      </c>
      <c r="M20" s="44">
        <f>COUNTIF('GAL-CUB'!$C$2:'GAL-CUB'!$C$598,"=C 115")</f>
        <v>5</v>
      </c>
      <c r="N20" s="43">
        <v>215</v>
      </c>
      <c r="O20" s="44">
        <f>COUNTIF('GAL-CUB'!$C$2:'GAL-CUB'!$C$598,"=C 215")</f>
        <v>5</v>
      </c>
      <c r="P20" s="1"/>
      <c r="Q20" s="684" t="s">
        <v>263</v>
      </c>
      <c r="R20" s="684"/>
      <c r="S20" s="684"/>
      <c r="T20" s="19" t="e">
        <f>COUNTIF('GAL-CUB'!#REF!:'GAL-CUB'!$C$598,"=SANÇÃO")+COUNTIF('GAL-CUB'!#REF!:'GAL-CUB'!$C$598,"=TRIAGEM/SANÇÃO")+COUNTIF('GAL-CUB'!A$1:$A$250,"=SANÇÃO/CRAPG")+COUNTIF('GAL-CUB'!A$1:$A$250,"=SANÇÃO/ISOLADO")</f>
        <v>#REF!</v>
      </c>
    </row>
    <row r="21" spans="1:20" ht="17.25" thickTop="1" thickBot="1">
      <c r="A21" s="1"/>
      <c r="B21" s="43">
        <v>116</v>
      </c>
      <c r="C21" s="44">
        <f>COUNTIF('GAL-CUB'!$C$2:'GAL-CUB'!$C$598,"=A 116")</f>
        <v>4</v>
      </c>
      <c r="D21" s="43">
        <v>216</v>
      </c>
      <c r="E21" s="44">
        <f>COUNTIF('GAL-CUB'!$C$2:'GAL-CUB'!$C$598,"=A 216")</f>
        <v>5</v>
      </c>
      <c r="F21" s="2"/>
      <c r="G21" s="43">
        <v>116</v>
      </c>
      <c r="H21" s="44">
        <f>COUNTIF('GAL-CUB'!$C$2:'GAL-CUB'!$C$598,"=B 116")</f>
        <v>5</v>
      </c>
      <c r="I21" s="43">
        <v>216</v>
      </c>
      <c r="J21" s="44">
        <f>COUNTIF('GAL-CUB'!$C$2:'GAL-CUB'!$C$598,"=B 216")</f>
        <v>5</v>
      </c>
      <c r="K21" s="2"/>
      <c r="L21" s="43">
        <v>116</v>
      </c>
      <c r="M21" s="44">
        <f>COUNTIF('GAL-CUB'!$C$2:'GAL-CUB'!$C$598,"=C 116")</f>
        <v>5</v>
      </c>
      <c r="N21" s="43">
        <v>216</v>
      </c>
      <c r="O21" s="44">
        <f>COUNTIF('GAL-CUB'!$C$2:'GAL-CUB'!$C$598,"=C 216")</f>
        <v>5</v>
      </c>
      <c r="P21" s="1"/>
      <c r="Q21" s="670" t="s">
        <v>1150</v>
      </c>
      <c r="R21" s="671" t="e">
        <f>COUNTIF('GAL-CUB'!#REF!:'GAL-CUB'!$C$598,"=TRIAGEM/SANÇÃO")</f>
        <v>#REF!</v>
      </c>
      <c r="S21" s="672" t="s">
        <v>1149</v>
      </c>
      <c r="T21" s="672"/>
    </row>
    <row r="22" spans="1:20" ht="17.25" thickTop="1" thickBot="1">
      <c r="A22" s="1"/>
      <c r="B22" s="43">
        <v>117</v>
      </c>
      <c r="C22" s="44">
        <f>COUNTIF('GAL-CUB'!$C$2:'GAL-CUB'!$C$598,"=A 117")</f>
        <v>5</v>
      </c>
      <c r="D22" s="43">
        <v>217</v>
      </c>
      <c r="E22" s="44">
        <f>COUNTIF('GAL-CUB'!$C$2:'GAL-CUB'!$C$598,"=A 217")</f>
        <v>5</v>
      </c>
      <c r="F22" s="2"/>
      <c r="G22" s="43">
        <v>117</v>
      </c>
      <c r="H22" s="44">
        <f>COUNTIF('GAL-CUB'!$C$2:'GAL-CUB'!$C$598,"=B 117")</f>
        <v>5</v>
      </c>
      <c r="I22" s="43">
        <v>217</v>
      </c>
      <c r="J22" s="44">
        <f>COUNTIF('GAL-CUB'!$C$2:'GAL-CUB'!$C$598,"=B 217")</f>
        <v>5</v>
      </c>
      <c r="K22" s="2"/>
      <c r="L22" s="43">
        <v>117</v>
      </c>
      <c r="M22" s="44">
        <f>COUNTIF('GAL-CUB'!$C$2:'GAL-CUB'!$C$598,"=C 117")</f>
        <v>5</v>
      </c>
      <c r="N22" s="43">
        <v>217</v>
      </c>
      <c r="O22" s="44">
        <f>COUNTIF('GAL-CUB'!$C$2:'GAL-CUB'!$C$598,"=C 217")</f>
        <v>5</v>
      </c>
      <c r="P22" s="1"/>
      <c r="Q22" s="670"/>
      <c r="R22" s="671"/>
      <c r="S22" s="673" t="s">
        <v>1151</v>
      </c>
      <c r="T22" s="673"/>
    </row>
    <row r="23" spans="1:20" ht="17.25" thickTop="1" thickBot="1">
      <c r="A23" s="1"/>
      <c r="B23" s="45">
        <v>118</v>
      </c>
      <c r="C23" s="44">
        <f>COUNTIF('GAL-CUB'!$C$2:'GAL-CUB'!$C$598,"=A 118")</f>
        <v>5</v>
      </c>
      <c r="D23" s="45">
        <v>218</v>
      </c>
      <c r="E23" s="44">
        <f>COUNTIF('GAL-CUB'!$C$2:'GAL-CUB'!$C$598,"=A 218")</f>
        <v>5</v>
      </c>
      <c r="F23" s="2"/>
      <c r="G23" s="45">
        <v>118</v>
      </c>
      <c r="H23" s="44">
        <f>COUNTIF('GAL-CUB'!$C$2:'GAL-CUB'!$C$598,"=B 118")</f>
        <v>5</v>
      </c>
      <c r="I23" s="45">
        <v>218</v>
      </c>
      <c r="J23" s="44">
        <f>COUNTIF('GAL-CUB'!$C$2:'GAL-CUB'!$C$598,"=B 218")</f>
        <v>5</v>
      </c>
      <c r="K23" s="2"/>
      <c r="L23" s="45">
        <v>118</v>
      </c>
      <c r="M23" s="44">
        <f>COUNTIF('GAL-CUB'!$C$2:'GAL-CUB'!$C$598,"=C 118")</f>
        <v>4</v>
      </c>
      <c r="N23" s="45">
        <v>218</v>
      </c>
      <c r="O23" s="44">
        <f>COUNTIF('GAL-CUB'!$C$2:'GAL-CUB'!$C$598,"=C 218")</f>
        <v>5</v>
      </c>
      <c r="P23" s="1"/>
      <c r="Q23" s="677" t="s">
        <v>1640</v>
      </c>
      <c r="R23" s="678"/>
      <c r="S23" s="679"/>
      <c r="T23" s="52" t="e">
        <f>T18+T20</f>
        <v>#REF!</v>
      </c>
    </row>
    <row r="24" spans="1:20" ht="17.25" thickTop="1" thickBot="1">
      <c r="A24" s="1"/>
      <c r="B24" s="9" t="s">
        <v>1158</v>
      </c>
      <c r="C24" s="10">
        <f>SUM(C6:C23)</f>
        <v>84</v>
      </c>
      <c r="D24" s="9" t="s">
        <v>1158</v>
      </c>
      <c r="E24" s="92">
        <f>SUM(E6:E23)</f>
        <v>87</v>
      </c>
      <c r="F24" s="2"/>
      <c r="G24" s="9" t="s">
        <v>1158</v>
      </c>
      <c r="H24" s="10">
        <f>SUM(H6:H23)</f>
        <v>81</v>
      </c>
      <c r="I24" s="9" t="s">
        <v>1158</v>
      </c>
      <c r="J24" s="92">
        <f>SUM(J6:J23)</f>
        <v>84</v>
      </c>
      <c r="K24" s="2"/>
      <c r="L24" s="9" t="s">
        <v>1158</v>
      </c>
      <c r="M24" s="10">
        <f>SUM(M6:M23)</f>
        <v>84</v>
      </c>
      <c r="N24" s="9" t="s">
        <v>1158</v>
      </c>
      <c r="O24" s="92">
        <f>SUM(O6:O23)</f>
        <v>88</v>
      </c>
      <c r="P24" s="1"/>
      <c r="Q24" s="657" t="s">
        <v>161</v>
      </c>
      <c r="R24" s="657"/>
      <c r="S24" s="657"/>
      <c r="T24" s="51">
        <f>COUNTIF('GAL-CUB'!A$1:$A$535,"=KADESH")+COUNTIF('GAL-CUB'!A$1:$A$535,"=KADESH/CD")</f>
        <v>89</v>
      </c>
    </row>
    <row r="25" spans="1:20" ht="17.25" thickTop="1" thickBot="1">
      <c r="A25" s="1"/>
      <c r="B25" s="648" t="s">
        <v>1844</v>
      </c>
      <c r="C25" s="649"/>
      <c r="D25" s="649"/>
      <c r="E25" s="94">
        <f>C24</f>
        <v>84</v>
      </c>
      <c r="F25" s="2"/>
      <c r="G25" s="648" t="s">
        <v>1844</v>
      </c>
      <c r="H25" s="649"/>
      <c r="I25" s="649"/>
      <c r="J25" s="94">
        <f>H24</f>
        <v>81</v>
      </c>
      <c r="K25" s="2"/>
      <c r="L25" s="648" t="s">
        <v>1844</v>
      </c>
      <c r="M25" s="649"/>
      <c r="N25" s="649"/>
      <c r="O25" s="94">
        <f>M24</f>
        <v>84</v>
      </c>
      <c r="P25" s="1"/>
      <c r="Q25" s="1"/>
      <c r="R25" s="1"/>
      <c r="S25" s="1"/>
      <c r="T25" s="1"/>
    </row>
    <row r="26" spans="1:20" ht="17.25" thickTop="1" thickBot="1">
      <c r="A26" s="1"/>
      <c r="B26" s="648" t="s">
        <v>1845</v>
      </c>
      <c r="C26" s="649"/>
      <c r="D26" s="649"/>
      <c r="E26" s="95">
        <f>E24</f>
        <v>87</v>
      </c>
      <c r="F26" s="2"/>
      <c r="G26" s="648" t="s">
        <v>1845</v>
      </c>
      <c r="H26" s="649"/>
      <c r="I26" s="649"/>
      <c r="J26" s="95">
        <f>J24</f>
        <v>84</v>
      </c>
      <c r="K26" s="2"/>
      <c r="L26" s="648" t="s">
        <v>1845</v>
      </c>
      <c r="M26" s="649"/>
      <c r="N26" s="649"/>
      <c r="O26" s="95">
        <f>O24</f>
        <v>88</v>
      </c>
      <c r="P26" s="1"/>
      <c r="Q26" s="1"/>
      <c r="R26" s="1"/>
      <c r="S26" s="1"/>
      <c r="T26" s="1"/>
    </row>
    <row r="27" spans="1:20" ht="17.25" thickTop="1" thickBot="1">
      <c r="A27" s="1"/>
      <c r="B27" s="654" t="s">
        <v>1159</v>
      </c>
      <c r="C27" s="655"/>
      <c r="D27" s="656"/>
      <c r="E27" s="93">
        <f>C24+E24</f>
        <v>171</v>
      </c>
      <c r="F27" s="2"/>
      <c r="G27" s="654" t="s">
        <v>1160</v>
      </c>
      <c r="H27" s="655"/>
      <c r="I27" s="656"/>
      <c r="J27" s="93">
        <f>H24+J24</f>
        <v>165</v>
      </c>
      <c r="K27" s="2"/>
      <c r="L27" s="654" t="s">
        <v>1161</v>
      </c>
      <c r="M27" s="655"/>
      <c r="N27" s="656"/>
      <c r="O27" s="93">
        <f>M24+O24</f>
        <v>172</v>
      </c>
      <c r="P27" s="1"/>
      <c r="Q27" s="1"/>
      <c r="R27" s="1"/>
      <c r="S27" s="1"/>
      <c r="T27" s="1"/>
    </row>
    <row r="28" spans="1:20" ht="17.25" thickTop="1" thickBot="1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1"/>
      <c r="Q28" s="1"/>
      <c r="R28" s="1"/>
      <c r="S28" s="1"/>
      <c r="T28" s="1"/>
    </row>
    <row r="29" spans="1:20" ht="17.25" thickTop="1" thickBot="1">
      <c r="A29" s="1"/>
      <c r="B29" s="219" t="e">
        <f>COUNTIF('GAL-CUB'!#REF!:'GAL-CUB'!$C$598,"=ARTESANATO")+COUNTIF('GAL-CUB'!#REF!:'GAL-CUB'!$C$598,"=BIBLIOTECA")+COUNTIF('GAL-CUB'!#REF!:'GAL-CUB'!$C$598,"=COSTURA")+COUNTIF('GAL-CUB'!#REF!:'GAL-CUB'!$C$598,"=COZINHA")+COUNTIF('GAL-CUB'!#REF!:'GAL-CUB'!$C$598,"=ESTOFARIA")+COUNTIF('GAL-CUB'!#REF!:'GAL-CUB'!$C$598,"=FAX/BARBEARIA")+COUNTIF('GAL-CUB'!#REF!:'GAL-CUB'!$C$598,"=FAXINA")+COUNTIF('GAL-CUB'!#REF!:'GAL-CUB'!$C$598,"=KADESH")+COUNTIF('GAL-CUB'!#REF!:'GAL-CUB'!$C$598,"=ISOLADO/COZINHA")+COUNTIF('GAL-CUB'!#REF!:'GAL-CUB'!$C$598,"=JARDINAGEM")+COUNTIF('GAL-CUB'!#REF!:'GAL-CUB'!$C$598,"=JARDINAGEM II")+COUNTIF('GAL-CUB'!#REF!:'GAL-CUB'!$C$598,"=LAVANDERIA")+COUNTIF('GAL-CUB'!#REF!:'GAL-CUB'!$C$598,"=MANUT./ESTOFARIA")+COUNTIF('GAL-CUB'!#REF!:'GAL-CUB'!$C$598,"=MANUTENÇÃO I")+COUNTIF('GAL-CUB'!#REF!:'GAL-CUB'!$C$598,"=MANUTENÇÃO II")</f>
        <v>#REF!</v>
      </c>
      <c r="C29" s="650" t="s">
        <v>1582</v>
      </c>
      <c r="D29" s="651"/>
      <c r="E29" s="651"/>
      <c r="F29" s="651"/>
      <c r="G29" s="651"/>
      <c r="H29" s="651"/>
      <c r="I29" s="651"/>
      <c r="J29" s="651"/>
      <c r="K29" s="652"/>
      <c r="L29" s="48" t="e">
        <f>B29/T8</f>
        <v>#REF!</v>
      </c>
      <c r="M29" s="653" t="s">
        <v>1583</v>
      </c>
      <c r="N29" s="653"/>
      <c r="O29" s="653"/>
      <c r="P29" s="653"/>
      <c r="Q29" s="653"/>
      <c r="R29" s="653"/>
      <c r="S29" s="653"/>
      <c r="T29" s="653"/>
    </row>
    <row r="30" spans="1:20" ht="17.25" thickTop="1" thickBot="1">
      <c r="A30" s="1"/>
      <c r="B30" s="219" t="e">
        <f>COUNTIF('GAL-CUB'!#REF!:'GAL-CUB'!$C$598,"=MCI")+COUNTIF('GAL-CUB'!#REF!:'GAL-CUB'!$C$598,"=MER1")+COUNTIF('GAL-CUB'!#REF!:'GAL-CUB'!$C$598,"=MSO1")+COUNTIF('GAL-CUB'!#REF!:'GAL-CUB'!$C$598,"=TAN")+COUNTIF('GAL-CUB'!#REF!:'GAL-CUB'!$C$598,"=TCL")+COUNTIF('GAL-CUB'!#REF!:'GAL-CUB'!$C$598,"=TRO")+COUNTIF('GAL-CUB'!#REF!:'GAL-CUB'!$C$598,"=TNE")+COUNTIF('GAL-CUB'!$C$598:'GAL-CUB'!$C$598,"=MLU1")+COUNTIF('GAL-CUB'!$C$598:'GAL-CUB'!$C$598,"=MMA")+COUNTIF('GAL-CUB'!$C$598:'GAL-CUB'!$C$598,"=MVA1")+COUNTIF('GAL-CUB'!$C$598:'GAL-CUB'!$C$598,"=TMT3")+COUNTIF('GAL-CUB'!$C$598:'GAL-CUB'!$C$598,"=MVA2")+COUNTIF('GAL-CUB'!$C$598:'GAL-CUB'!$C$598,"=TAN")+COUNTIF('GAL-CUB'!$C$598:'GAL-CUB'!$C$598,"=TED")+COUNTIF('GAL-CUB'!$C$598:'GAL-CUB'!$C$598,"=MSI1")+COUNTIF('GAL-CUB'!$C$598:'GAL-CUB'!$C$598,"=MSI3")+COUNTIF('GAL-CUB'!$C$598:'GAL-CUB'!$C$598,"=MLU1/MSI3")+COUNTIF('GAL-CUB'!$C$598:'GAL-CUB'!$C$598,"=MSI1/TNE")+COUNTIF('GAL-CUB'!$C$598:'GAL-CUB'!$C$598,"=MSI3/TED")+COUNTIF('GAL-CUB'!$C$598:'GAL-CUB'!$C$598,"=TSI2")</f>
        <v>#REF!</v>
      </c>
      <c r="C30" s="650" t="s">
        <v>1584</v>
      </c>
      <c r="D30" s="651"/>
      <c r="E30" s="651"/>
      <c r="F30" s="651"/>
      <c r="G30" s="651"/>
      <c r="H30" s="651"/>
      <c r="I30" s="651"/>
      <c r="J30" s="651"/>
      <c r="K30" s="652"/>
      <c r="L30" s="48" t="e">
        <f>B30/T8</f>
        <v>#REF!</v>
      </c>
      <c r="M30" s="653" t="s">
        <v>1583</v>
      </c>
      <c r="N30" s="653"/>
      <c r="O30" s="653"/>
      <c r="P30" s="653"/>
      <c r="Q30" s="653"/>
      <c r="R30" s="653"/>
      <c r="S30" s="653"/>
      <c r="T30" s="653"/>
    </row>
    <row r="31" spans="1:20" ht="17.25" thickTop="1" thickBot="1">
      <c r="A31" s="1"/>
      <c r="B31" s="219" t="e">
        <f>(B29+B30)</f>
        <v>#REF!</v>
      </c>
      <c r="C31" s="650" t="s">
        <v>1585</v>
      </c>
      <c r="D31" s="651"/>
      <c r="E31" s="651"/>
      <c r="F31" s="651"/>
      <c r="G31" s="651"/>
      <c r="H31" s="651"/>
      <c r="I31" s="651"/>
      <c r="J31" s="651"/>
      <c r="K31" s="652"/>
      <c r="L31" s="48" t="e">
        <f>B31/T8</f>
        <v>#REF!</v>
      </c>
      <c r="M31" s="653" t="s">
        <v>1583</v>
      </c>
      <c r="N31" s="653"/>
      <c r="O31" s="653"/>
      <c r="P31" s="653"/>
      <c r="Q31" s="653"/>
      <c r="R31" s="653"/>
      <c r="S31" s="653"/>
      <c r="T31" s="653"/>
    </row>
    <row r="32" spans="1:20" ht="13.5" thickTop="1"/>
  </sheetData>
  <sheetProtection password="EE42" sheet="1" objects="1" scenarios="1" selectLockedCells="1" selectUnlockedCells="1"/>
  <mergeCells count="38">
    <mergeCell ref="Q6:S6"/>
    <mergeCell ref="Q7:S7"/>
    <mergeCell ref="B2:T3"/>
    <mergeCell ref="B5:E5"/>
    <mergeCell ref="G5:J5"/>
    <mergeCell ref="L5:O5"/>
    <mergeCell ref="Q5:S5"/>
    <mergeCell ref="Q24:S24"/>
    <mergeCell ref="Q8:S8"/>
    <mergeCell ref="Q9:S9"/>
    <mergeCell ref="Q10:S10"/>
    <mergeCell ref="Q11:S11"/>
    <mergeCell ref="Q21:Q22"/>
    <mergeCell ref="R21:R22"/>
    <mergeCell ref="S21:T21"/>
    <mergeCell ref="S22:T22"/>
    <mergeCell ref="Q12:S12"/>
    <mergeCell ref="Q23:S23"/>
    <mergeCell ref="Q13:S13"/>
    <mergeCell ref="Q15:S15"/>
    <mergeCell ref="Q18:S18"/>
    <mergeCell ref="Q19:S19"/>
    <mergeCell ref="Q20:S20"/>
    <mergeCell ref="B26:D26"/>
    <mergeCell ref="G26:I26"/>
    <mergeCell ref="L26:N26"/>
    <mergeCell ref="L25:N25"/>
    <mergeCell ref="C31:K31"/>
    <mergeCell ref="M31:T31"/>
    <mergeCell ref="B27:D27"/>
    <mergeCell ref="G27:I27"/>
    <mergeCell ref="L27:N27"/>
    <mergeCell ref="C29:K29"/>
    <mergeCell ref="M29:T29"/>
    <mergeCell ref="C30:K30"/>
    <mergeCell ref="M30:T30"/>
    <mergeCell ref="B25:D25"/>
    <mergeCell ref="G25:I25"/>
  </mergeCells>
  <conditionalFormatting sqref="T15">
    <cfRule type="cellIs" dxfId="1268" priority="2" stopIfTrue="1" operator="lessThan">
      <formula>0</formula>
    </cfRule>
  </conditionalFormatting>
  <conditionalFormatting sqref="C6:C23 E6:E23 H6:H23 J6:J23 M6:M23 O6:O23">
    <cfRule type="cellIs" dxfId="1267" priority="1" stopIfTrue="1" operator="between">
      <formula>0</formula>
      <formula>3</formula>
    </cfRule>
    <cfRule type="cellIs" dxfId="1266" priority="4" stopIfTrue="1" operator="equal">
      <formula>5</formula>
    </cfRule>
    <cfRule type="cellIs" dxfId="1265" priority="5" stopIfTrue="1" operator="greaterThan">
      <formula>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B1:T46"/>
  <sheetViews>
    <sheetView zoomScale="90" zoomScaleNormal="90" workbookViewId="0">
      <selection activeCell="C9" sqref="C9"/>
    </sheetView>
  </sheetViews>
  <sheetFormatPr defaultRowHeight="15"/>
  <cols>
    <col min="1" max="1" width="2.28515625" style="1" customWidth="1"/>
    <col min="2" max="2" width="9.28515625" style="1" customWidth="1"/>
    <col min="3" max="3" width="7.85546875" style="1" bestFit="1" customWidth="1"/>
    <col min="4" max="4" width="9.28515625" style="1" customWidth="1"/>
    <col min="5" max="5" width="7.85546875" style="1" bestFit="1" customWidth="1"/>
    <col min="6" max="6" width="6.7109375" style="1" customWidth="1"/>
    <col min="7" max="7" width="9.28515625" style="1" customWidth="1"/>
    <col min="8" max="8" width="6.7109375" style="1" customWidth="1"/>
    <col min="9" max="9" width="9.28515625" style="1" customWidth="1"/>
    <col min="10" max="11" width="6.7109375" style="1" customWidth="1"/>
    <col min="12" max="12" width="9.28515625" style="1" customWidth="1"/>
    <col min="13" max="13" width="6.7109375" style="1" customWidth="1"/>
    <col min="14" max="14" width="9.28515625" style="1" customWidth="1"/>
    <col min="15" max="15" width="6.7109375" style="1" customWidth="1"/>
    <col min="16" max="16" width="1.5703125" style="1" customWidth="1"/>
    <col min="17" max="18" width="9.140625" style="1"/>
    <col min="19" max="19" width="7.42578125" style="1" customWidth="1"/>
    <col min="20" max="20" width="11.140625" style="1" bestFit="1" customWidth="1"/>
    <col min="21" max="16384" width="9.140625" style="1"/>
  </cols>
  <sheetData>
    <row r="1" spans="2:20" ht="8.25" customHeight="1" thickBot="1"/>
    <row r="2" spans="2:20" ht="15" customHeight="1" thickTop="1">
      <c r="B2" s="688" t="s">
        <v>252</v>
      </c>
      <c r="C2" s="689"/>
      <c r="D2" s="689"/>
      <c r="E2" s="689"/>
      <c r="F2" s="689"/>
      <c r="G2" s="689"/>
      <c r="H2" s="689"/>
      <c r="I2" s="689"/>
      <c r="J2" s="689"/>
      <c r="K2" s="689"/>
      <c r="L2" s="689"/>
      <c r="M2" s="689"/>
      <c r="N2" s="689"/>
      <c r="O2" s="689"/>
      <c r="P2" s="689"/>
      <c r="Q2" s="689"/>
      <c r="R2" s="689"/>
      <c r="S2" s="689"/>
      <c r="T2" s="690"/>
    </row>
    <row r="3" spans="2:20" ht="15.75" thickBot="1">
      <c r="B3" s="691"/>
      <c r="C3" s="692"/>
      <c r="D3" s="692"/>
      <c r="E3" s="692"/>
      <c r="F3" s="692"/>
      <c r="G3" s="692"/>
      <c r="H3" s="692"/>
      <c r="I3" s="692"/>
      <c r="J3" s="692"/>
      <c r="K3" s="692"/>
      <c r="L3" s="692"/>
      <c r="M3" s="692"/>
      <c r="N3" s="692"/>
      <c r="O3" s="692"/>
      <c r="P3" s="692"/>
      <c r="Q3" s="692"/>
      <c r="R3" s="692"/>
      <c r="S3" s="692"/>
      <c r="T3" s="693"/>
    </row>
    <row r="4" spans="2:20" ht="6.75" customHeight="1" thickTop="1" thickBot="1"/>
    <row r="5" spans="2:20" ht="17.25" thickTop="1" thickBot="1">
      <c r="B5" s="694" t="s">
        <v>1155</v>
      </c>
      <c r="C5" s="695"/>
      <c r="D5" s="695"/>
      <c r="E5" s="696"/>
      <c r="F5" s="2"/>
      <c r="G5" s="694" t="s">
        <v>1156</v>
      </c>
      <c r="H5" s="695"/>
      <c r="I5" s="695"/>
      <c r="J5" s="696"/>
      <c r="K5" s="2"/>
      <c r="L5" s="694" t="s">
        <v>1157</v>
      </c>
      <c r="M5" s="695"/>
      <c r="N5" s="695"/>
      <c r="O5" s="696"/>
      <c r="Q5" s="661" t="s">
        <v>215</v>
      </c>
      <c r="R5" s="662"/>
      <c r="S5" s="663"/>
      <c r="T5" s="5" t="e">
        <f>E27</f>
        <v>#REF!</v>
      </c>
    </row>
    <row r="6" spans="2:20" ht="16.5" thickTop="1">
      <c r="B6" s="42">
        <v>101</v>
      </c>
      <c r="C6" s="44" t="e">
        <f>COUNTIF('GAL-CUB'!#REF!:'GAL-CUB'!$C$534,"=A 101")</f>
        <v>#REF!</v>
      </c>
      <c r="D6" s="43">
        <v>201</v>
      </c>
      <c r="E6" s="44" t="e">
        <f>COUNTIF('GAL-CUB'!#REF!:'GAL-CUB'!$C$534,"=A 201")</f>
        <v>#REF!</v>
      </c>
      <c r="F6" s="2"/>
      <c r="G6" s="42">
        <v>101</v>
      </c>
      <c r="H6" s="44" t="e">
        <f>COUNTIF('GAL-CUB'!#REF!:'GAL-CUB'!$C$534,"=B 101")</f>
        <v>#REF!</v>
      </c>
      <c r="I6" s="42">
        <v>201</v>
      </c>
      <c r="J6" s="44" t="e">
        <f>COUNTIF('GAL-CUB'!#REF!:'GAL-CUB'!$C$534,"=B 201")</f>
        <v>#REF!</v>
      </c>
      <c r="K6" s="2"/>
      <c r="L6" s="42">
        <v>101</v>
      </c>
      <c r="M6" s="44" t="e">
        <f>COUNTIF('GAL-CUB'!#REF!:'GAL-CUB'!$C$534,"=C 101")</f>
        <v>#REF!</v>
      </c>
      <c r="N6" s="42">
        <v>201</v>
      </c>
      <c r="O6" s="44" t="e">
        <f>COUNTIF('GAL-CUB'!#REF!:'GAL-CUB'!$C$534,"=C 201")</f>
        <v>#REF!</v>
      </c>
      <c r="Q6" s="664" t="s">
        <v>216</v>
      </c>
      <c r="R6" s="665"/>
      <c r="S6" s="666"/>
      <c r="T6" s="6" t="e">
        <f>J27</f>
        <v>#REF!</v>
      </c>
    </row>
    <row r="7" spans="2:20" ht="16.5" thickBot="1">
      <c r="B7" s="43">
        <v>102</v>
      </c>
      <c r="C7" s="44" t="e">
        <f>COUNTIF('GAL-CUB'!#REF!:'GAL-CUB'!$C$534,"=A 102")</f>
        <v>#REF!</v>
      </c>
      <c r="D7" s="43">
        <v>202</v>
      </c>
      <c r="E7" s="44" t="e">
        <f>COUNTIF('GAL-CUB'!#REF!:'GAL-CUB'!$C$534,"=A 202")</f>
        <v>#REF!</v>
      </c>
      <c r="F7" s="2"/>
      <c r="G7" s="43">
        <v>102</v>
      </c>
      <c r="H7" s="44" t="e">
        <f>COUNTIF('GAL-CUB'!#REF!:'GAL-CUB'!$C$534,"=B 102")</f>
        <v>#REF!</v>
      </c>
      <c r="I7" s="43">
        <v>202</v>
      </c>
      <c r="J7" s="44" t="e">
        <f>COUNTIF('GAL-CUB'!#REF!:'GAL-CUB'!$C$534,"=B 202")</f>
        <v>#REF!</v>
      </c>
      <c r="K7" s="2"/>
      <c r="L7" s="43">
        <v>102</v>
      </c>
      <c r="M7" s="44" t="e">
        <f>COUNTIF('GAL-CUB'!#REF!:'GAL-CUB'!$C$534,"=C 102")</f>
        <v>#REF!</v>
      </c>
      <c r="N7" s="43">
        <v>202</v>
      </c>
      <c r="O7" s="44" t="e">
        <f>COUNTIF('GAL-CUB'!#REF!:'GAL-CUB'!$C$534,"=C 202")</f>
        <v>#REF!</v>
      </c>
      <c r="Q7" s="685" t="s">
        <v>217</v>
      </c>
      <c r="R7" s="686"/>
      <c r="S7" s="687"/>
      <c r="T7" s="7" t="e">
        <f>O27</f>
        <v>#REF!</v>
      </c>
    </row>
    <row r="8" spans="2:20" ht="17.25" thickTop="1" thickBot="1">
      <c r="B8" s="43">
        <v>103</v>
      </c>
      <c r="C8" s="44" t="e">
        <f>COUNTIF('GAL-CUB'!#REF!:'GAL-CUB'!$C$534,"=A 103")</f>
        <v>#REF!</v>
      </c>
      <c r="D8" s="43">
        <v>203</v>
      </c>
      <c r="E8" s="44" t="e">
        <f>COUNTIF('GAL-CUB'!#REF!:'GAL-CUB'!$C$534,"=A 203")</f>
        <v>#REF!</v>
      </c>
      <c r="F8" s="2"/>
      <c r="G8" s="43">
        <v>103</v>
      </c>
      <c r="H8" s="44" t="e">
        <f>COUNTIF('GAL-CUB'!#REF!:'GAL-CUB'!$C$534,"=B 103")</f>
        <v>#REF!</v>
      </c>
      <c r="I8" s="43">
        <v>203</v>
      </c>
      <c r="J8" s="44" t="e">
        <f>COUNTIF('GAL-CUB'!#REF!:'GAL-CUB'!$C$534,"=B 203")</f>
        <v>#REF!</v>
      </c>
      <c r="K8" s="2"/>
      <c r="L8" s="43">
        <v>103</v>
      </c>
      <c r="M8" s="44" t="e">
        <f>COUNTIF('GAL-CUB'!#REF!:'GAL-CUB'!$C$534,"=C 103")</f>
        <v>#REF!</v>
      </c>
      <c r="N8" s="43">
        <v>203</v>
      </c>
      <c r="O8" s="44" t="e">
        <f>COUNTIF('GAL-CUB'!#REF!:'GAL-CUB'!$C$534,"=C 203")</f>
        <v>#REF!</v>
      </c>
      <c r="Q8" s="658" t="s">
        <v>1176</v>
      </c>
      <c r="R8" s="659"/>
      <c r="S8" s="660"/>
      <c r="T8" s="4" t="e">
        <f>SUM(T5:T7)</f>
        <v>#REF!</v>
      </c>
    </row>
    <row r="9" spans="2:20" ht="16.5" thickTop="1">
      <c r="B9" s="43">
        <v>104</v>
      </c>
      <c r="C9" s="44" t="e">
        <f>COUNTIF('GAL-CUB'!#REF!:'GAL-CUB'!$C$534,"=A 104")</f>
        <v>#REF!</v>
      </c>
      <c r="D9" s="43">
        <v>204</v>
      </c>
      <c r="E9" s="44" t="e">
        <f>COUNTIF('GAL-CUB'!#REF!:'GAL-CUB'!$C$534,"=A 204")</f>
        <v>#REF!</v>
      </c>
      <c r="F9" s="2"/>
      <c r="G9" s="43">
        <v>104</v>
      </c>
      <c r="H9" s="44" t="e">
        <f>COUNTIF('GAL-CUB'!#REF!:'GAL-CUB'!$C$534,"=B 104")</f>
        <v>#REF!</v>
      </c>
      <c r="I9" s="43">
        <v>204</v>
      </c>
      <c r="J9" s="44" t="e">
        <f>COUNTIF('GAL-CUB'!#REF!:'GAL-CUB'!$C$534,"=B 204")</f>
        <v>#REF!</v>
      </c>
      <c r="K9" s="2"/>
      <c r="L9" s="43">
        <v>104</v>
      </c>
      <c r="M9" s="44" t="e">
        <f>COUNTIF('GAL-CUB'!#REF!:'GAL-CUB'!$C$534,"=C 104")</f>
        <v>#REF!</v>
      </c>
      <c r="N9" s="43">
        <v>204</v>
      </c>
      <c r="O9" s="44" t="e">
        <f>COUNTIF('GAL-CUB'!#REF!:'GAL-CUB'!$C$534,"=C 204")</f>
        <v>#REF!</v>
      </c>
      <c r="Q9" s="661" t="s">
        <v>603</v>
      </c>
      <c r="R9" s="662"/>
      <c r="S9" s="663"/>
      <c r="T9" s="8">
        <f>COUNTIF(ESCOLTAS!F3:F3,"=CMP")</f>
        <v>1</v>
      </c>
    </row>
    <row r="10" spans="2:20" ht="15.75">
      <c r="B10" s="43">
        <v>105</v>
      </c>
      <c r="C10" s="44" t="e">
        <f>COUNTIF('GAL-CUB'!#REF!:'GAL-CUB'!$C$534,"=A 105")</f>
        <v>#REF!</v>
      </c>
      <c r="D10" s="43">
        <v>205</v>
      </c>
      <c r="E10" s="44" t="e">
        <f>COUNTIF('GAL-CUB'!#REF!:'GAL-CUB'!$C$534,"=A 205")</f>
        <v>#REF!</v>
      </c>
      <c r="F10" s="2"/>
      <c r="G10" s="43">
        <v>105</v>
      </c>
      <c r="H10" s="44" t="e">
        <f>COUNTIF('GAL-CUB'!#REF!:'GAL-CUB'!$C$534,"=B 105")</f>
        <v>#REF!</v>
      </c>
      <c r="I10" s="43">
        <v>205</v>
      </c>
      <c r="J10" s="44" t="e">
        <f>COUNTIF('GAL-CUB'!#REF!:'GAL-CUB'!$C$534,"=B 205")</f>
        <v>#REF!</v>
      </c>
      <c r="K10" s="2"/>
      <c r="L10" s="43">
        <v>105</v>
      </c>
      <c r="M10" s="44" t="e">
        <f>COUNTIF('GAL-CUB'!#REF!:'GAL-CUB'!$C$534,"=C 105")</f>
        <v>#REF!</v>
      </c>
      <c r="N10" s="43">
        <v>205</v>
      </c>
      <c r="O10" s="44" t="e">
        <f>COUNTIF('GAL-CUB'!#REF!:'GAL-CUB'!$C$534,"=C 205")</f>
        <v>#REF!</v>
      </c>
      <c r="Q10" s="664" t="s">
        <v>1473</v>
      </c>
      <c r="R10" s="665"/>
      <c r="S10" s="666"/>
      <c r="T10" s="8">
        <f>COUNTIF(ESCOLTAS!F3:F3,"=ESCOLTAS")</f>
        <v>0</v>
      </c>
    </row>
    <row r="11" spans="2:20" ht="15.75">
      <c r="B11" s="43">
        <v>106</v>
      </c>
      <c r="C11" s="44" t="e">
        <f>COUNTIF('GAL-CUB'!#REF!:'GAL-CUB'!$C$534,"=A 106")</f>
        <v>#REF!</v>
      </c>
      <c r="D11" s="43">
        <v>206</v>
      </c>
      <c r="E11" s="44" t="e">
        <f>COUNTIF('GAL-CUB'!#REF!:'GAL-CUB'!$C$534,"=A 206")</f>
        <v>#REF!</v>
      </c>
      <c r="F11" s="2"/>
      <c r="G11" s="43">
        <v>106</v>
      </c>
      <c r="H11" s="44" t="e">
        <f>COUNTIF('GAL-CUB'!#REF!:'GAL-CUB'!$C$534,"=B 106")</f>
        <v>#REF!</v>
      </c>
      <c r="I11" s="43">
        <v>206</v>
      </c>
      <c r="J11" s="44" t="e">
        <f>COUNTIF('GAL-CUB'!#REF!:'GAL-CUB'!$C$534,"=B 206")</f>
        <v>#REF!</v>
      </c>
      <c r="K11" s="2"/>
      <c r="L11" s="43">
        <v>106</v>
      </c>
      <c r="M11" s="44" t="e">
        <f>COUNTIF('GAL-CUB'!#REF!:'GAL-CUB'!$C$534,"=C 106")</f>
        <v>#REF!</v>
      </c>
      <c r="N11" s="43">
        <v>206</v>
      </c>
      <c r="O11" s="44" t="e">
        <f>COUNTIF('GAL-CUB'!#REF!:'GAL-CUB'!$C$534,"=C 206")</f>
        <v>#REF!</v>
      </c>
      <c r="Q11" s="667" t="s">
        <v>253</v>
      </c>
      <c r="R11" s="668"/>
      <c r="S11" s="669"/>
      <c r="T11" s="8">
        <f>COUNTIF(ESCOLTAS!F3:F3,"=HOSPITAL")</f>
        <v>0</v>
      </c>
    </row>
    <row r="12" spans="2:20" ht="16.5" thickBot="1">
      <c r="B12" s="43">
        <v>107</v>
      </c>
      <c r="C12" s="44" t="e">
        <f>COUNTIF('GAL-CUB'!#REF!:'GAL-CUB'!$C$534,"=A 107")</f>
        <v>#REF!</v>
      </c>
      <c r="D12" s="43">
        <v>207</v>
      </c>
      <c r="E12" s="44" t="e">
        <f>COUNTIF('GAL-CUB'!#REF!:'GAL-CUB'!$C$534,"=A 207")</f>
        <v>#REF!</v>
      </c>
      <c r="F12" s="2"/>
      <c r="G12" s="43">
        <v>107</v>
      </c>
      <c r="H12" s="44" t="e">
        <f>COUNTIF('GAL-CUB'!#REF!:'GAL-CUB'!$C$534,"=B 107")</f>
        <v>#REF!</v>
      </c>
      <c r="I12" s="43">
        <v>207</v>
      </c>
      <c r="J12" s="44" t="e">
        <f>COUNTIF('GAL-CUB'!#REF!:'GAL-CUB'!$C$534,"=B 207")</f>
        <v>#REF!</v>
      </c>
      <c r="K12" s="2"/>
      <c r="L12" s="43">
        <v>107</v>
      </c>
      <c r="M12" s="44" t="e">
        <f>COUNTIF('GAL-CUB'!#REF!:'GAL-CUB'!$C$534,"=C 107")</f>
        <v>#REF!</v>
      </c>
      <c r="N12" s="43">
        <v>207</v>
      </c>
      <c r="O12" s="44" t="e">
        <f>COUNTIF('GAL-CUB'!#REF!:'GAL-CUB'!$C$534,"=C 207")</f>
        <v>#REF!</v>
      </c>
      <c r="Q12" s="674" t="s">
        <v>1581</v>
      </c>
      <c r="R12" s="675"/>
      <c r="S12" s="676"/>
      <c r="T12" s="8">
        <f>COUNTIF(ESCOLTAS!F3:F3,"=ÍNTIMA")</f>
        <v>0</v>
      </c>
    </row>
    <row r="13" spans="2:20" ht="17.25" thickTop="1" thickBot="1">
      <c r="B13" s="43">
        <v>108</v>
      </c>
      <c r="C13" s="44" t="e">
        <f>COUNTIF('GAL-CUB'!#REF!:'GAL-CUB'!$C$534,"=A 108")</f>
        <v>#REF!</v>
      </c>
      <c r="D13" s="43">
        <v>208</v>
      </c>
      <c r="E13" s="44" t="e">
        <f>COUNTIF('GAL-CUB'!#REF!:'GAL-CUB'!$C$534,"=A 208")</f>
        <v>#REF!</v>
      </c>
      <c r="F13" s="2"/>
      <c r="G13" s="43">
        <v>108</v>
      </c>
      <c r="H13" s="44" t="e">
        <f>COUNTIF('GAL-CUB'!#REF!:'GAL-CUB'!$C$534,"=B 108")</f>
        <v>#REF!</v>
      </c>
      <c r="I13" s="43">
        <v>208</v>
      </c>
      <c r="J13" s="44" t="e">
        <f>COUNTIF('GAL-CUB'!#REF!:'GAL-CUB'!$C$534,"=B 208")</f>
        <v>#REF!</v>
      </c>
      <c r="K13" s="2"/>
      <c r="L13" s="43">
        <v>108</v>
      </c>
      <c r="M13" s="44" t="e">
        <f>COUNTIF('GAL-CUB'!#REF!:'GAL-CUB'!$C$534,"=C 108")</f>
        <v>#REF!</v>
      </c>
      <c r="N13" s="43">
        <v>208</v>
      </c>
      <c r="O13" s="44" t="e">
        <f>COUNTIF('GAL-CUB'!#REF!:'GAL-CUB'!$C$534,"=C 208")</f>
        <v>#REF!</v>
      </c>
      <c r="Q13" s="680" t="s">
        <v>254</v>
      </c>
      <c r="R13" s="680"/>
      <c r="S13" s="680"/>
      <c r="T13" s="4" t="e">
        <f>SUM(T8:T12)</f>
        <v>#REF!</v>
      </c>
    </row>
    <row r="14" spans="2:20" ht="17.25" thickTop="1" thickBot="1">
      <c r="B14" s="43">
        <v>109</v>
      </c>
      <c r="C14" s="44" t="e">
        <f>COUNTIF('GAL-CUB'!#REF!:'GAL-CUB'!$C$534,"=A 109")</f>
        <v>#REF!</v>
      </c>
      <c r="D14" s="43">
        <v>209</v>
      </c>
      <c r="E14" s="44" t="e">
        <f>COUNTIF('GAL-CUB'!#REF!:'GAL-CUB'!$C$534,"=A 209")</f>
        <v>#REF!</v>
      </c>
      <c r="F14" s="2"/>
      <c r="G14" s="43">
        <v>109</v>
      </c>
      <c r="H14" s="44" t="e">
        <f>COUNTIF('GAL-CUB'!#REF!:'GAL-CUB'!$C$534,"=B 109")</f>
        <v>#REF!</v>
      </c>
      <c r="I14" s="43">
        <v>209</v>
      </c>
      <c r="J14" s="44" t="e">
        <f>COUNTIF('GAL-CUB'!#REF!:'GAL-CUB'!$C$534,"=B 209")</f>
        <v>#REF!</v>
      </c>
      <c r="K14" s="2"/>
      <c r="L14" s="43">
        <v>109</v>
      </c>
      <c r="M14" s="44" t="e">
        <f>COUNTIF('GAL-CUB'!#REF!:'GAL-CUB'!$C$534,"=C 109")</f>
        <v>#REF!</v>
      </c>
      <c r="N14" s="43">
        <v>209</v>
      </c>
      <c r="O14" s="44" t="e">
        <f>COUNTIF('GAL-CUB'!#REF!:'GAL-CUB'!$C$534,"=C 209")</f>
        <v>#REF!</v>
      </c>
    </row>
    <row r="15" spans="2:20" ht="17.25" thickTop="1" thickBot="1">
      <c r="B15" s="43">
        <v>110</v>
      </c>
      <c r="C15" s="44" t="e">
        <f>COUNTIF('GAL-CUB'!#REF!:'GAL-CUB'!$C$534,"=A 110")</f>
        <v>#REF!</v>
      </c>
      <c r="D15" s="43">
        <v>210</v>
      </c>
      <c r="E15" s="44" t="e">
        <f>COUNTIF('GAL-CUB'!#REF!:'GAL-CUB'!$C$534,"=A 210")</f>
        <v>#REF!</v>
      </c>
      <c r="F15" s="2"/>
      <c r="G15" s="43">
        <v>110</v>
      </c>
      <c r="H15" s="44" t="e">
        <f>COUNTIF('GAL-CUB'!#REF!:'GAL-CUB'!$C$534,"=B 110")</f>
        <v>#REF!</v>
      </c>
      <c r="I15" s="43">
        <v>210</v>
      </c>
      <c r="J15" s="44" t="e">
        <f>COUNTIF('GAL-CUB'!#REF!:'GAL-CUB'!$C$534,"=B 210")</f>
        <v>#REF!</v>
      </c>
      <c r="K15" s="2"/>
      <c r="L15" s="43">
        <v>110</v>
      </c>
      <c r="M15" s="44" t="e">
        <f>COUNTIF('GAL-CUB'!#REF!:'GAL-CUB'!$C$534,"=C 110")</f>
        <v>#REF!</v>
      </c>
      <c r="N15" s="43">
        <v>210</v>
      </c>
      <c r="O15" s="44" t="e">
        <f>COUNTIF('GAL-CUB'!#REF!:'GAL-CUB'!$C$534,"=C 210")</f>
        <v>#REF!</v>
      </c>
      <c r="Q15" s="681" t="s">
        <v>432</v>
      </c>
      <c r="R15" s="681"/>
      <c r="S15" s="681"/>
      <c r="T15" s="19" t="e">
        <f>T13-432</f>
        <v>#REF!</v>
      </c>
    </row>
    <row r="16" spans="2:20" ht="16.5" thickTop="1">
      <c r="B16" s="43">
        <v>111</v>
      </c>
      <c r="C16" s="44" t="e">
        <f>COUNTIF('GAL-CUB'!#REF!:'GAL-CUB'!$C$534,"=A 111")</f>
        <v>#REF!</v>
      </c>
      <c r="D16" s="43">
        <v>211</v>
      </c>
      <c r="E16" s="44" t="e">
        <f>COUNTIF('GAL-CUB'!#REF!:'GAL-CUB'!$C$534,"=A 211")</f>
        <v>#REF!</v>
      </c>
      <c r="F16" s="2"/>
      <c r="G16" s="43">
        <v>111</v>
      </c>
      <c r="H16" s="44" t="e">
        <f>COUNTIF('GAL-CUB'!#REF!:'GAL-CUB'!$C$534,"=B 111")</f>
        <v>#REF!</v>
      </c>
      <c r="I16" s="43">
        <v>211</v>
      </c>
      <c r="J16" s="44" t="e">
        <f>COUNTIF('GAL-CUB'!#REF!:'GAL-CUB'!$C$534,"=B 211")</f>
        <v>#REF!</v>
      </c>
      <c r="K16" s="2"/>
      <c r="L16" s="43">
        <v>111</v>
      </c>
      <c r="M16" s="44" t="e">
        <f>COUNTIF('GAL-CUB'!#REF!:'GAL-CUB'!$C$534,"=C 111")</f>
        <v>#REF!</v>
      </c>
      <c r="N16" s="43">
        <v>211</v>
      </c>
      <c r="O16" s="44" t="e">
        <f>COUNTIF('GAL-CUB'!#REF!:'GAL-CUB'!$C$534,"=C 211")</f>
        <v>#REF!</v>
      </c>
    </row>
    <row r="17" spans="2:20" ht="16.5" thickBot="1">
      <c r="B17" s="43">
        <v>112</v>
      </c>
      <c r="C17" s="44" t="e">
        <f>COUNTIF('GAL-CUB'!#REF!:'GAL-CUB'!$C$534,"=A 112")</f>
        <v>#REF!</v>
      </c>
      <c r="D17" s="43">
        <v>212</v>
      </c>
      <c r="E17" s="44" t="e">
        <f>COUNTIF('GAL-CUB'!#REF!:'GAL-CUB'!$C$534,"=A 212")</f>
        <v>#REF!</v>
      </c>
      <c r="F17" s="2"/>
      <c r="G17" s="43">
        <v>112</v>
      </c>
      <c r="H17" s="44" t="e">
        <f>COUNTIF('GAL-CUB'!#REF!:'GAL-CUB'!$C$534,"=B 112")</f>
        <v>#REF!</v>
      </c>
      <c r="I17" s="43">
        <v>212</v>
      </c>
      <c r="J17" s="44" t="e">
        <f>COUNTIF('GAL-CUB'!#REF!:'GAL-CUB'!$C$534,"=B 212")</f>
        <v>#REF!</v>
      </c>
      <c r="K17" s="2"/>
      <c r="L17" s="43">
        <v>112</v>
      </c>
      <c r="M17" s="44" t="e">
        <f>COUNTIF('GAL-CUB'!#REF!:'GAL-CUB'!$C$534,"=C 112")</f>
        <v>#REF!</v>
      </c>
      <c r="N17" s="43">
        <v>212</v>
      </c>
      <c r="O17" s="44" t="e">
        <f>COUNTIF('GAL-CUB'!#REF!:'GAL-CUB'!$C$534,"=C 212")</f>
        <v>#REF!</v>
      </c>
    </row>
    <row r="18" spans="2:20" ht="17.25" thickTop="1" thickBot="1">
      <c r="B18" s="43">
        <v>113</v>
      </c>
      <c r="C18" s="44" t="e">
        <f>COUNTIF('GAL-CUB'!#REF!:'GAL-CUB'!$C$534,"=A 113")</f>
        <v>#REF!</v>
      </c>
      <c r="D18" s="43">
        <v>213</v>
      </c>
      <c r="E18" s="44" t="e">
        <f>COUNTIF('GAL-CUB'!#REF!:'GAL-CUB'!$C$534,"=A 213")</f>
        <v>#REF!</v>
      </c>
      <c r="F18" s="2"/>
      <c r="G18" s="43">
        <v>113</v>
      </c>
      <c r="H18" s="44" t="e">
        <f>COUNTIF('GAL-CUB'!#REF!:'GAL-CUB'!$C$534,"=B 113")</f>
        <v>#REF!</v>
      </c>
      <c r="I18" s="43">
        <v>213</v>
      </c>
      <c r="J18" s="44" t="e">
        <f>COUNTIF('GAL-CUB'!#REF!:'GAL-CUB'!$C$534,"=B 213")</f>
        <v>#REF!</v>
      </c>
      <c r="K18" s="2"/>
      <c r="L18" s="43">
        <v>113</v>
      </c>
      <c r="M18" s="44" t="e">
        <f>COUNTIF('GAL-CUB'!#REF!:'GAL-CUB'!$C$534,"=C 113")</f>
        <v>#REF!</v>
      </c>
      <c r="N18" s="43">
        <v>213</v>
      </c>
      <c r="O18" s="44" t="e">
        <f>COUNTIF('GAL-CUB'!#REF!:'GAL-CUB'!$C$534,"=C 213")</f>
        <v>#REF!</v>
      </c>
      <c r="Q18" s="682" t="s">
        <v>1639</v>
      </c>
      <c r="R18" s="682"/>
      <c r="S18" s="682"/>
      <c r="T18" s="25" t="e">
        <f>COUNTIF('GAL-CUB'!#REF!:'GAL-CUB'!#REF!,"=CD")</f>
        <v>#REF!</v>
      </c>
    </row>
    <row r="19" spans="2:20" ht="17.25" thickTop="1" thickBot="1">
      <c r="B19" s="43">
        <v>114</v>
      </c>
      <c r="C19" s="44" t="e">
        <f>COUNTIF('GAL-CUB'!#REF!:'GAL-CUB'!$C$534,"=A 114")</f>
        <v>#REF!</v>
      </c>
      <c r="D19" s="43">
        <v>214</v>
      </c>
      <c r="E19" s="44" t="e">
        <f>COUNTIF('GAL-CUB'!#REF!:'GAL-CUB'!$C$534,"=A 214")</f>
        <v>#REF!</v>
      </c>
      <c r="F19" s="2"/>
      <c r="G19" s="43">
        <v>114</v>
      </c>
      <c r="H19" s="44" t="e">
        <f>COUNTIF('GAL-CUB'!#REF!:'GAL-CUB'!$C$534,"=B 114")</f>
        <v>#REF!</v>
      </c>
      <c r="I19" s="43">
        <v>214</v>
      </c>
      <c r="J19" s="44" t="e">
        <f>COUNTIF('GAL-CUB'!#REF!:'GAL-CUB'!$C$534,"=B 214")</f>
        <v>#REF!</v>
      </c>
      <c r="K19" s="2"/>
      <c r="L19" s="43">
        <v>114</v>
      </c>
      <c r="M19" s="44" t="e">
        <f>COUNTIF('GAL-CUB'!#REF!:'GAL-CUB'!$C$534,"=C 114")</f>
        <v>#REF!</v>
      </c>
      <c r="N19" s="43">
        <v>214</v>
      </c>
      <c r="O19" s="44" t="e">
        <f>COUNTIF('GAL-CUB'!#REF!:'GAL-CUB'!$C$534,"=C 214")</f>
        <v>#REF!</v>
      </c>
      <c r="Q19" s="683" t="s">
        <v>1524</v>
      </c>
      <c r="R19" s="683"/>
      <c r="S19" s="683"/>
      <c r="T19" s="26" t="e">
        <f>COUNTIF('GAL-CUB'!#REF!:'GAL-CUB'!#REF!,"=TRIAGEM")+COUNTIF('GAL-CUB'!#REF!:'GAL-CUB'!#REF!,"=TRIAGEM/CD")+COUNTIF('GAL-CUB'!#REF!:'GAL-CUB'!#REF!,"=TRIAGEM/SANÇÃO")</f>
        <v>#REF!</v>
      </c>
    </row>
    <row r="20" spans="2:20" ht="17.25" thickTop="1" thickBot="1">
      <c r="B20" s="43">
        <v>115</v>
      </c>
      <c r="C20" s="44" t="e">
        <f>COUNTIF('GAL-CUB'!#REF!:'GAL-CUB'!$C$534,"=A 115")</f>
        <v>#REF!</v>
      </c>
      <c r="D20" s="43">
        <v>215</v>
      </c>
      <c r="E20" s="44" t="e">
        <f>COUNTIF('GAL-CUB'!#REF!:'GAL-CUB'!$C$534,"=A 215")</f>
        <v>#REF!</v>
      </c>
      <c r="F20" s="2"/>
      <c r="G20" s="43">
        <v>115</v>
      </c>
      <c r="H20" s="44" t="e">
        <f>COUNTIF('GAL-CUB'!#REF!:'GAL-CUB'!$C$534,"=B 115")</f>
        <v>#REF!</v>
      </c>
      <c r="I20" s="43">
        <v>215</v>
      </c>
      <c r="J20" s="44" t="e">
        <f>COUNTIF('GAL-CUB'!#REF!:'GAL-CUB'!$C$534,"=B 215")</f>
        <v>#REF!</v>
      </c>
      <c r="K20" s="2"/>
      <c r="L20" s="43">
        <v>115</v>
      </c>
      <c r="M20" s="44" t="e">
        <f>COUNTIF('GAL-CUB'!#REF!:'GAL-CUB'!$C$534,"=C 115")</f>
        <v>#REF!</v>
      </c>
      <c r="N20" s="43">
        <v>215</v>
      </c>
      <c r="O20" s="44" t="e">
        <f>COUNTIF('GAL-CUB'!#REF!:'GAL-CUB'!$C$534,"=C 215")</f>
        <v>#REF!</v>
      </c>
      <c r="Q20" s="684" t="s">
        <v>263</v>
      </c>
      <c r="R20" s="684"/>
      <c r="S20" s="684"/>
      <c r="T20" s="19" t="e">
        <f>COUNTIF('GAL-CUB'!#REF!:'GAL-CUB'!#REF!,"=SANÇÃO")+COUNTIF('GAL-CUB'!#REF!:'GAL-CUB'!#REF!,"=TRIAGEM/SANÇÃO")+COUNTIF('GAL-CUB'!A$1:$A$250,"=SANÇÃO/CRAPG")+COUNTIF('GAL-CUB'!A$1:$A$250,"=SANÇÃO/ISOLADO")</f>
        <v>#REF!</v>
      </c>
    </row>
    <row r="21" spans="2:20" ht="17.25" thickTop="1" thickBot="1">
      <c r="B21" s="43">
        <v>116</v>
      </c>
      <c r="C21" s="44" t="e">
        <f>COUNTIF('GAL-CUB'!#REF!:'GAL-CUB'!$C$534,"=A 116")</f>
        <v>#REF!</v>
      </c>
      <c r="D21" s="43">
        <v>216</v>
      </c>
      <c r="E21" s="44" t="e">
        <f>COUNTIF('GAL-CUB'!#REF!:'GAL-CUB'!$C$534,"=A 216")</f>
        <v>#REF!</v>
      </c>
      <c r="F21" s="2"/>
      <c r="G21" s="43">
        <v>116</v>
      </c>
      <c r="H21" s="44" t="e">
        <f>COUNTIF('GAL-CUB'!#REF!:'GAL-CUB'!$C$534,"=B 116")</f>
        <v>#REF!</v>
      </c>
      <c r="I21" s="43">
        <v>216</v>
      </c>
      <c r="J21" s="44" t="e">
        <f>COUNTIF('GAL-CUB'!#REF!:'GAL-CUB'!$C$534,"=B 216")</f>
        <v>#REF!</v>
      </c>
      <c r="K21" s="2"/>
      <c r="L21" s="43">
        <v>116</v>
      </c>
      <c r="M21" s="44" t="e">
        <f>COUNTIF('GAL-CUB'!#REF!:'GAL-CUB'!$C$534,"=C 116")</f>
        <v>#REF!</v>
      </c>
      <c r="N21" s="43">
        <v>216</v>
      </c>
      <c r="O21" s="44" t="e">
        <f>COUNTIF('GAL-CUB'!#REF!:'GAL-CUB'!$C$534,"=C 216")</f>
        <v>#REF!</v>
      </c>
      <c r="Q21" s="670" t="s">
        <v>1150</v>
      </c>
      <c r="R21" s="671" t="e">
        <f>COUNTIF('GAL-CUB'!#REF!:'GAL-CUB'!#REF!,"=TRIAGEM/SANÇÃO")</f>
        <v>#REF!</v>
      </c>
      <c r="S21" s="672" t="s">
        <v>1149</v>
      </c>
      <c r="T21" s="672"/>
    </row>
    <row r="22" spans="2:20" ht="17.25" thickTop="1" thickBot="1">
      <c r="B22" s="43">
        <v>117</v>
      </c>
      <c r="C22" s="44" t="e">
        <f>COUNTIF('GAL-CUB'!#REF!:'GAL-CUB'!$C$534,"=A 117")</f>
        <v>#REF!</v>
      </c>
      <c r="D22" s="43">
        <v>217</v>
      </c>
      <c r="E22" s="44" t="e">
        <f>COUNTIF('GAL-CUB'!#REF!:'GAL-CUB'!$C$534,"=A 217")</f>
        <v>#REF!</v>
      </c>
      <c r="F22" s="2"/>
      <c r="G22" s="43">
        <v>117</v>
      </c>
      <c r="H22" s="44" t="e">
        <f>COUNTIF('GAL-CUB'!#REF!:'GAL-CUB'!$C$534,"=B 117")</f>
        <v>#REF!</v>
      </c>
      <c r="I22" s="43">
        <v>217</v>
      </c>
      <c r="J22" s="44" t="e">
        <f>COUNTIF('GAL-CUB'!#REF!:'GAL-CUB'!$C$534,"=B 217")</f>
        <v>#REF!</v>
      </c>
      <c r="K22" s="2"/>
      <c r="L22" s="43">
        <v>117</v>
      </c>
      <c r="M22" s="44" t="e">
        <f>COUNTIF('GAL-CUB'!#REF!:'GAL-CUB'!$C$534,"=C 117")</f>
        <v>#REF!</v>
      </c>
      <c r="N22" s="43">
        <v>217</v>
      </c>
      <c r="O22" s="44" t="e">
        <f>COUNTIF('GAL-CUB'!#REF!:'GAL-CUB'!$C$534,"=C 217")</f>
        <v>#REF!</v>
      </c>
      <c r="Q22" s="670"/>
      <c r="R22" s="671"/>
      <c r="S22" s="673" t="s">
        <v>1151</v>
      </c>
      <c r="T22" s="673"/>
    </row>
    <row r="23" spans="2:20" ht="17.25" thickTop="1" thickBot="1">
      <c r="B23" s="45">
        <v>118</v>
      </c>
      <c r="C23" s="44" t="e">
        <f>COUNTIF('GAL-CUB'!#REF!:'GAL-CUB'!$C$534,"=A 118")</f>
        <v>#REF!</v>
      </c>
      <c r="D23" s="45">
        <v>218</v>
      </c>
      <c r="E23" s="44" t="e">
        <f>COUNTIF('GAL-CUB'!#REF!:'GAL-CUB'!$C$534,"=A 218")</f>
        <v>#REF!</v>
      </c>
      <c r="F23" s="2"/>
      <c r="G23" s="45">
        <v>118</v>
      </c>
      <c r="H23" s="44" t="e">
        <f>COUNTIF('GAL-CUB'!#REF!:'GAL-CUB'!$C$534,"=B 118")</f>
        <v>#REF!</v>
      </c>
      <c r="I23" s="45">
        <v>218</v>
      </c>
      <c r="J23" s="44" t="e">
        <f>COUNTIF('GAL-CUB'!#REF!:'GAL-CUB'!$C$534,"=B 218")</f>
        <v>#REF!</v>
      </c>
      <c r="K23" s="2"/>
      <c r="L23" s="45">
        <v>118</v>
      </c>
      <c r="M23" s="44" t="e">
        <f>COUNTIF('GAL-CUB'!#REF!:'GAL-CUB'!$C$534,"=C 118")</f>
        <v>#REF!</v>
      </c>
      <c r="N23" s="45">
        <v>218</v>
      </c>
      <c r="O23" s="44" t="e">
        <f>COUNTIF('GAL-CUB'!#REF!:'GAL-CUB'!$C$534,"=C 218")</f>
        <v>#REF!</v>
      </c>
      <c r="Q23" s="677" t="s">
        <v>1640</v>
      </c>
      <c r="R23" s="678"/>
      <c r="S23" s="679"/>
      <c r="T23" s="52" t="e">
        <f>T18+T20</f>
        <v>#REF!</v>
      </c>
    </row>
    <row r="24" spans="2:20" ht="17.25" thickTop="1" thickBot="1">
      <c r="B24" s="9" t="s">
        <v>1158</v>
      </c>
      <c r="C24" s="10" t="e">
        <f>SUM(C6:C23)</f>
        <v>#REF!</v>
      </c>
      <c r="D24" s="9" t="s">
        <v>1158</v>
      </c>
      <c r="E24" s="92" t="e">
        <f>SUM(E6:E23)</f>
        <v>#REF!</v>
      </c>
      <c r="F24" s="2"/>
      <c r="G24" s="9" t="s">
        <v>1158</v>
      </c>
      <c r="H24" s="10" t="e">
        <f>SUM(H6:H23)</f>
        <v>#REF!</v>
      </c>
      <c r="I24" s="9" t="s">
        <v>1158</v>
      </c>
      <c r="J24" s="92" t="e">
        <f>SUM(J6:J23)</f>
        <v>#REF!</v>
      </c>
      <c r="K24" s="2"/>
      <c r="L24" s="9" t="s">
        <v>1158</v>
      </c>
      <c r="M24" s="10" t="e">
        <f>SUM(M6:M23)</f>
        <v>#REF!</v>
      </c>
      <c r="N24" s="9" t="s">
        <v>1158</v>
      </c>
      <c r="O24" s="92" t="e">
        <f>SUM(O6:O23)</f>
        <v>#REF!</v>
      </c>
      <c r="Q24" s="657" t="s">
        <v>161</v>
      </c>
      <c r="R24" s="657"/>
      <c r="S24" s="657"/>
      <c r="T24" s="51">
        <f>COUNTIF('GAL-CUB'!A$1:$A$535,"=KADESH")+COUNTIF('GAL-CUB'!A$1:$A$535,"=KADESH/CD")</f>
        <v>89</v>
      </c>
    </row>
    <row r="25" spans="2:20" ht="17.25" thickTop="1" thickBot="1">
      <c r="B25" s="648" t="s">
        <v>1844</v>
      </c>
      <c r="C25" s="649"/>
      <c r="D25" s="649"/>
      <c r="E25" s="94" t="e">
        <f>C24</f>
        <v>#REF!</v>
      </c>
      <c r="F25" s="2"/>
      <c r="G25" s="648" t="s">
        <v>1844</v>
      </c>
      <c r="H25" s="649"/>
      <c r="I25" s="649"/>
      <c r="J25" s="94" t="e">
        <f>H24</f>
        <v>#REF!</v>
      </c>
      <c r="K25" s="2"/>
      <c r="L25" s="648" t="s">
        <v>1844</v>
      </c>
      <c r="M25" s="649"/>
      <c r="N25" s="649"/>
      <c r="O25" s="94" t="e">
        <f>M24</f>
        <v>#REF!</v>
      </c>
    </row>
    <row r="26" spans="2:20" ht="17.25" thickTop="1" thickBot="1">
      <c r="B26" s="648" t="s">
        <v>1845</v>
      </c>
      <c r="C26" s="649"/>
      <c r="D26" s="649"/>
      <c r="E26" s="95" t="e">
        <f>E24</f>
        <v>#REF!</v>
      </c>
      <c r="F26" s="2"/>
      <c r="G26" s="648" t="s">
        <v>1845</v>
      </c>
      <c r="H26" s="649"/>
      <c r="I26" s="649"/>
      <c r="J26" s="95" t="e">
        <f>J24</f>
        <v>#REF!</v>
      </c>
      <c r="K26" s="2"/>
      <c r="L26" s="648" t="s">
        <v>1845</v>
      </c>
      <c r="M26" s="649"/>
      <c r="N26" s="649"/>
      <c r="O26" s="95" t="e">
        <f>O24</f>
        <v>#REF!</v>
      </c>
    </row>
    <row r="27" spans="2:20" ht="17.25" thickTop="1" thickBot="1">
      <c r="B27" s="654" t="s">
        <v>1159</v>
      </c>
      <c r="C27" s="655"/>
      <c r="D27" s="656"/>
      <c r="E27" s="93" t="e">
        <f>C24+E24</f>
        <v>#REF!</v>
      </c>
      <c r="F27" s="2"/>
      <c r="G27" s="654" t="s">
        <v>1160</v>
      </c>
      <c r="H27" s="655"/>
      <c r="I27" s="656"/>
      <c r="J27" s="93" t="e">
        <f>H24+J24</f>
        <v>#REF!</v>
      </c>
      <c r="K27" s="2"/>
      <c r="L27" s="654" t="s">
        <v>1161</v>
      </c>
      <c r="M27" s="655"/>
      <c r="N27" s="656"/>
      <c r="O27" s="93" t="e">
        <f>M24+O24</f>
        <v>#REF!</v>
      </c>
    </row>
    <row r="28" spans="2:20" ht="17.25" thickTop="1" thickBot="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20" ht="17.25" thickTop="1" thickBot="1">
      <c r="B29" s="49" t="e">
        <f>COUNTIF('GAL-CUB'!#REF!:'GAL-CUB'!#REF!,"=ARTESANATO")+COUNTIF('GAL-CUB'!#REF!:'GAL-CUB'!#REF!,"=BIBLIOTECA")+COUNTIF('GAL-CUB'!#REF!:'GAL-CUB'!#REF!,"=COSTURA")+COUNTIF('GAL-CUB'!#REF!:'GAL-CUB'!#REF!,"=COZINHA")+COUNTIF('GAL-CUB'!#REF!:'GAL-CUB'!#REF!,"=ESTOFARIA")+COUNTIF('GAL-CUB'!#REF!:'GAL-CUB'!#REF!,"=FAX/BARBEARIA")+COUNTIF('GAL-CUB'!#REF!:'GAL-CUB'!#REF!,"=FAXINA")+COUNTIF('GAL-CUB'!#REF!:'GAL-CUB'!#REF!,"=KADESH")+COUNTIF('GAL-CUB'!#REF!:'GAL-CUB'!#REF!,"=ISOLADO/COZINHA")+COUNTIF('GAL-CUB'!#REF!:'GAL-CUB'!#REF!,"=JARDINAGEM")+COUNTIF('GAL-CUB'!#REF!:'GAL-CUB'!#REF!,"=JARDINAGEM II")+COUNTIF('GAL-CUB'!#REF!:'GAL-CUB'!#REF!,"=LAVANDERIA")+COUNTIF('GAL-CUB'!#REF!:'GAL-CUB'!#REF!,"=MANUT./ESTOFARIA")+COUNTIF('GAL-CUB'!#REF!:'GAL-CUB'!#REF!,"=MANUTENÇÃO I")+COUNTIF('GAL-CUB'!#REF!:'GAL-CUB'!#REF!,"=MANUTENÇÃO II")</f>
        <v>#REF!</v>
      </c>
      <c r="C29" s="650" t="s">
        <v>1582</v>
      </c>
      <c r="D29" s="651"/>
      <c r="E29" s="651"/>
      <c r="F29" s="651"/>
      <c r="G29" s="651"/>
      <c r="H29" s="651"/>
      <c r="I29" s="651"/>
      <c r="J29" s="651"/>
      <c r="K29" s="652"/>
      <c r="L29" s="48" t="e">
        <f>B29/T8</f>
        <v>#REF!</v>
      </c>
      <c r="M29" s="653" t="s">
        <v>1583</v>
      </c>
      <c r="N29" s="653"/>
      <c r="O29" s="653"/>
      <c r="P29" s="653"/>
      <c r="Q29" s="653"/>
      <c r="R29" s="653"/>
      <c r="S29" s="653"/>
      <c r="T29" s="653"/>
    </row>
    <row r="30" spans="2:20" ht="17.25" thickTop="1" thickBot="1">
      <c r="B30" s="49" t="e">
        <f>COUNTIF('GAL-CUB'!#REF!:'GAL-CUB'!#REF!,"=MCI")+COUNTIF('GAL-CUB'!#REF!:'GAL-CUB'!#REF!,"=MER1")+COUNTIF('GAL-CUB'!#REF!:'GAL-CUB'!#REF!,"=MSO1")+COUNTIF('GAL-CUB'!#REF!:'GAL-CUB'!#REF!,"=TAN")+COUNTIF('GAL-CUB'!#REF!:'GAL-CUB'!#REF!,"=TCL")+COUNTIF('GAL-CUB'!#REF!:'GAL-CUB'!#REF!,"=TRO")+COUNTIF('GAL-CUB'!#REF!:'GAL-CUB'!#REF!,"=TNE")+COUNTIF('GAL-CUB'!#REF!:'GAL-CUB'!#REF!,"=MLU1")+COUNTIF('GAL-CUB'!#REF!:'GAL-CUB'!#REF!,"=MMA")+COUNTIF('GAL-CUB'!#REF!:'GAL-CUB'!#REF!,"=MVA1")+COUNTIF('GAL-CUB'!#REF!:'GAL-CUB'!#REF!,"=TMT3")+COUNTIF('GAL-CUB'!#REF!:'GAL-CUB'!#REF!,"=MVA2")+COUNTIF('GAL-CUB'!#REF!:'GAL-CUB'!#REF!,"=TAN")+COUNTIF('GAL-CUB'!#REF!:'GAL-CUB'!#REF!,"=TED")+COUNTIF('GAL-CUB'!#REF!:'GAL-CUB'!#REF!,"=MSI1")+COUNTIF('GAL-CUB'!#REF!:'GAL-CUB'!#REF!,"=MSI3")+COUNTIF('GAL-CUB'!#REF!:'GAL-CUB'!#REF!,"=MLU1/MSI3")+COUNTIF('GAL-CUB'!#REF!:'GAL-CUB'!#REF!,"=MSI1/TNE")+COUNTIF('GAL-CUB'!#REF!:'GAL-CUB'!#REF!,"=MSI3/TED")+COUNTIF('GAL-CUB'!#REF!:'GAL-CUB'!#REF!,"=TSI2")</f>
        <v>#REF!</v>
      </c>
      <c r="C30" s="650" t="s">
        <v>1584</v>
      </c>
      <c r="D30" s="651"/>
      <c r="E30" s="651"/>
      <c r="F30" s="651"/>
      <c r="G30" s="651"/>
      <c r="H30" s="651"/>
      <c r="I30" s="651"/>
      <c r="J30" s="651"/>
      <c r="K30" s="652"/>
      <c r="L30" s="48" t="e">
        <f>B30/T8</f>
        <v>#REF!</v>
      </c>
      <c r="M30" s="653" t="s">
        <v>1583</v>
      </c>
      <c r="N30" s="653"/>
      <c r="O30" s="653"/>
      <c r="P30" s="653"/>
      <c r="Q30" s="653"/>
      <c r="R30" s="653"/>
      <c r="S30" s="653"/>
      <c r="T30" s="653"/>
    </row>
    <row r="31" spans="2:20" ht="17.25" thickTop="1" thickBot="1">
      <c r="B31" s="49" t="e">
        <f>(B29+B30)</f>
        <v>#REF!</v>
      </c>
      <c r="C31" s="650" t="s">
        <v>1585</v>
      </c>
      <c r="D31" s="651"/>
      <c r="E31" s="651"/>
      <c r="F31" s="651"/>
      <c r="G31" s="651"/>
      <c r="H31" s="651"/>
      <c r="I31" s="651"/>
      <c r="J31" s="651"/>
      <c r="K31" s="652"/>
      <c r="L31" s="48" t="e">
        <f>B31/T8</f>
        <v>#REF!</v>
      </c>
      <c r="M31" s="653" t="s">
        <v>1583</v>
      </c>
      <c r="N31" s="653"/>
      <c r="O31" s="653"/>
      <c r="P31" s="653"/>
      <c r="Q31" s="653"/>
      <c r="R31" s="653"/>
      <c r="S31" s="653"/>
      <c r="T31" s="653"/>
    </row>
    <row r="32" spans="2:20" ht="16.5" thickTop="1"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4:15" ht="15.75"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4:15" ht="15.75"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4:15" ht="24" customHeight="1"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4:15">
      <c r="D36" s="697" t="s">
        <v>1656</v>
      </c>
      <c r="E36" s="697"/>
      <c r="F36" s="697"/>
      <c r="G36" s="697"/>
      <c r="H36" s="697"/>
      <c r="I36" s="697"/>
      <c r="J36" s="1" t="e">
        <f>B29</f>
        <v>#REF!</v>
      </c>
    </row>
    <row r="37" spans="4:15">
      <c r="D37" s="697" t="s">
        <v>1657</v>
      </c>
      <c r="E37" s="697"/>
      <c r="F37" s="697"/>
      <c r="G37" s="697"/>
      <c r="H37" s="697"/>
      <c r="I37" s="697"/>
      <c r="J37" s="1" t="e">
        <f>B30</f>
        <v>#REF!</v>
      </c>
    </row>
    <row r="38" spans="4:15">
      <c r="D38" s="697" t="s">
        <v>1658</v>
      </c>
      <c r="E38" s="697"/>
      <c r="F38" s="697"/>
      <c r="G38" s="697"/>
      <c r="H38" s="697"/>
      <c r="I38" s="697"/>
      <c r="J38" s="1" t="e">
        <f>B31</f>
        <v>#REF!</v>
      </c>
    </row>
    <row r="46" spans="4:15" ht="11.25" customHeight="1"/>
  </sheetData>
  <sheetProtection password="BEA9" sheet="1"/>
  <dataConsolidate/>
  <mergeCells count="41">
    <mergeCell ref="Q19:S19"/>
    <mergeCell ref="Q15:S15"/>
    <mergeCell ref="Q18:S18"/>
    <mergeCell ref="B2:T3"/>
    <mergeCell ref="Q5:S5"/>
    <mergeCell ref="Q6:S6"/>
    <mergeCell ref="Q7:S7"/>
    <mergeCell ref="B5:E5"/>
    <mergeCell ref="Q12:S12"/>
    <mergeCell ref="D38:I38"/>
    <mergeCell ref="G5:J5"/>
    <mergeCell ref="L5:O5"/>
    <mergeCell ref="Q10:S10"/>
    <mergeCell ref="Q8:S8"/>
    <mergeCell ref="Q9:S9"/>
    <mergeCell ref="Q11:S11"/>
    <mergeCell ref="L25:N25"/>
    <mergeCell ref="M29:T29"/>
    <mergeCell ref="C31:K31"/>
    <mergeCell ref="M30:T30"/>
    <mergeCell ref="Q21:Q22"/>
    <mergeCell ref="C30:K30"/>
    <mergeCell ref="B27:D27"/>
    <mergeCell ref="L26:N26"/>
    <mergeCell ref="D37:I37"/>
    <mergeCell ref="B26:D26"/>
    <mergeCell ref="G25:I25"/>
    <mergeCell ref="D36:I36"/>
    <mergeCell ref="Q13:S13"/>
    <mergeCell ref="M31:T31"/>
    <mergeCell ref="C29:K29"/>
    <mergeCell ref="G27:I27"/>
    <mergeCell ref="R21:R22"/>
    <mergeCell ref="Q20:S20"/>
    <mergeCell ref="S22:T22"/>
    <mergeCell ref="S21:T21"/>
    <mergeCell ref="Q24:S24"/>
    <mergeCell ref="G26:I26"/>
    <mergeCell ref="Q23:S23"/>
    <mergeCell ref="L27:N27"/>
    <mergeCell ref="B25:D25"/>
  </mergeCells>
  <phoneticPr fontId="0" type="noConversion"/>
  <conditionalFormatting sqref="T15">
    <cfRule type="cellIs" dxfId="1264" priority="1" stopIfTrue="1" operator="lessThan">
      <formula>0</formula>
    </cfRule>
  </conditionalFormatting>
  <conditionalFormatting sqref="H6:H23 J6:J23 C6:C23 E6:E23 M6:M23 O6:O23">
    <cfRule type="cellIs" dxfId="1263" priority="3" stopIfTrue="1" operator="between">
      <formula>0</formula>
      <formula>3</formula>
    </cfRule>
    <cfRule type="cellIs" dxfId="1262" priority="4" stopIfTrue="1" operator="equal">
      <formula>5</formula>
    </cfRule>
    <cfRule type="cellIs" dxfId="1261" priority="5" stopIfTrue="1" operator="greaterThan">
      <formula>5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3">
    <tabColor indexed="14"/>
  </sheetPr>
  <dimension ref="A1:J36"/>
  <sheetViews>
    <sheetView showRuler="0" zoomScale="85" zoomScaleNormal="85" workbookViewId="0">
      <selection activeCell="H19" sqref="H19"/>
    </sheetView>
  </sheetViews>
  <sheetFormatPr defaultRowHeight="15.75"/>
  <cols>
    <col min="1" max="1" width="8" style="28" customWidth="1"/>
    <col min="2" max="2" width="8.85546875" style="28" bestFit="1" customWidth="1"/>
    <col min="3" max="3" width="53.7109375" style="28" bestFit="1" customWidth="1"/>
    <col min="4" max="4" width="9.7109375" style="28" bestFit="1" customWidth="1"/>
    <col min="5" max="5" width="7.7109375" style="28" bestFit="1" customWidth="1"/>
    <col min="6" max="6" width="19.85546875" style="34" customWidth="1"/>
    <col min="7" max="7" width="15.42578125" style="34" bestFit="1" customWidth="1"/>
    <col min="8" max="8" width="32.140625" style="28" customWidth="1"/>
    <col min="9" max="9" width="13.5703125" style="28" customWidth="1"/>
    <col min="10" max="10" width="10.7109375" style="32" customWidth="1"/>
    <col min="11" max="11" width="9.140625" style="28"/>
    <col min="12" max="12" width="10.7109375" style="28" bestFit="1" customWidth="1"/>
    <col min="13" max="16384" width="9.140625" style="28"/>
  </cols>
  <sheetData>
    <row r="1" spans="1:9" ht="17.25" thickTop="1" thickBot="1">
      <c r="B1" s="29" t="s">
        <v>1391</v>
      </c>
      <c r="C1" s="29" t="s">
        <v>370</v>
      </c>
      <c r="D1" s="29" t="s">
        <v>11</v>
      </c>
      <c r="E1" s="29" t="s">
        <v>571</v>
      </c>
      <c r="F1" s="29" t="s">
        <v>371</v>
      </c>
      <c r="G1" s="29" t="s">
        <v>372</v>
      </c>
      <c r="H1" s="29" t="s">
        <v>1472</v>
      </c>
      <c r="I1" s="31"/>
    </row>
    <row r="2" spans="1:9" ht="17.25" thickTop="1" thickBot="1">
      <c r="B2" s="699">
        <f ca="1">TODAY()</f>
        <v>44159</v>
      </c>
      <c r="C2" s="700"/>
      <c r="D2" s="700"/>
      <c r="E2" s="700"/>
      <c r="F2" s="700"/>
      <c r="G2" s="700"/>
      <c r="H2" s="701"/>
      <c r="I2" s="31"/>
    </row>
    <row r="3" spans="1:9" ht="17.25" thickTop="1" thickBot="1">
      <c r="A3" s="30"/>
      <c r="B3" s="620">
        <v>1</v>
      </c>
      <c r="C3" s="490" t="s">
        <v>2821</v>
      </c>
      <c r="D3" s="434">
        <v>50670</v>
      </c>
      <c r="E3" s="491"/>
      <c r="F3" s="491" t="s">
        <v>603</v>
      </c>
      <c r="G3" s="635" t="s">
        <v>2845</v>
      </c>
      <c r="H3" s="491" t="s">
        <v>2734</v>
      </c>
    </row>
    <row r="4" spans="1:9" ht="17.25" thickTop="1" thickBot="1">
      <c r="A4" s="30"/>
      <c r="B4" s="620">
        <v>2</v>
      </c>
      <c r="C4" s="613" t="s">
        <v>3699</v>
      </c>
      <c r="D4" s="614">
        <v>6136679</v>
      </c>
      <c r="E4" s="617"/>
      <c r="F4" s="615" t="s">
        <v>1581</v>
      </c>
      <c r="G4" s="617"/>
      <c r="H4" s="616" t="s">
        <v>3700</v>
      </c>
    </row>
    <row r="5" spans="1:9" ht="17.25" thickTop="1" thickBot="1">
      <c r="A5" s="30"/>
      <c r="B5" s="620">
        <v>3</v>
      </c>
      <c r="C5" s="613" t="s">
        <v>3716</v>
      </c>
      <c r="D5" s="614">
        <v>106578</v>
      </c>
      <c r="E5" s="617"/>
      <c r="F5" s="615" t="s">
        <v>1581</v>
      </c>
      <c r="G5" s="617"/>
      <c r="H5" s="614" t="s">
        <v>3717</v>
      </c>
    </row>
    <row r="6" spans="1:9" ht="17.25" thickTop="1" thickBot="1">
      <c r="A6" s="30"/>
      <c r="B6" s="492">
        <v>4</v>
      </c>
      <c r="C6" s="613" t="s">
        <v>1340</v>
      </c>
      <c r="D6" s="636">
        <v>63019</v>
      </c>
      <c r="E6" s="617"/>
      <c r="F6" s="615" t="s">
        <v>1581</v>
      </c>
      <c r="G6" s="617"/>
      <c r="H6" s="614" t="s">
        <v>3719</v>
      </c>
    </row>
    <row r="7" spans="1:9" ht="17.25" thickTop="1" thickBot="1">
      <c r="A7" s="30"/>
      <c r="B7" s="621">
        <v>5</v>
      </c>
      <c r="C7" s="622" t="s">
        <v>3712</v>
      </c>
      <c r="D7" s="614">
        <v>402191</v>
      </c>
      <c r="E7" s="617"/>
      <c r="F7" s="615" t="s">
        <v>1581</v>
      </c>
      <c r="G7" s="617"/>
      <c r="H7" s="616" t="s">
        <v>3719</v>
      </c>
    </row>
    <row r="8" spans="1:9" ht="17.25" thickTop="1" thickBot="1">
      <c r="A8" s="30"/>
      <c r="B8" s="492">
        <v>6</v>
      </c>
      <c r="C8" s="613" t="s">
        <v>3714</v>
      </c>
      <c r="D8" s="614">
        <v>63391</v>
      </c>
      <c r="E8" s="618"/>
      <c r="F8" s="617" t="s">
        <v>1581</v>
      </c>
      <c r="G8" s="616"/>
      <c r="H8" s="616" t="s">
        <v>3713</v>
      </c>
    </row>
    <row r="9" spans="1:9" ht="17.25" thickTop="1" thickBot="1">
      <c r="A9" s="30">
        <v>11</v>
      </c>
      <c r="B9" s="620">
        <v>7</v>
      </c>
      <c r="C9" s="613" t="s">
        <v>3715</v>
      </c>
      <c r="D9" s="614">
        <v>21885</v>
      </c>
      <c r="E9" s="618"/>
      <c r="F9" s="617" t="s">
        <v>1581</v>
      </c>
      <c r="G9" s="616"/>
      <c r="H9" s="616" t="s">
        <v>3713</v>
      </c>
    </row>
    <row r="10" spans="1:9" ht="17.25" thickTop="1" thickBot="1">
      <c r="A10" s="30"/>
      <c r="B10" s="620">
        <v>8</v>
      </c>
      <c r="C10" s="613" t="s">
        <v>3738</v>
      </c>
      <c r="D10" s="614">
        <v>148069</v>
      </c>
      <c r="E10" s="634"/>
      <c r="F10" s="611" t="s">
        <v>603</v>
      </c>
      <c r="G10" s="612">
        <v>44155</v>
      </c>
      <c r="H10" s="610" t="s">
        <v>170</v>
      </c>
    </row>
    <row r="11" spans="1:9" ht="17.25" thickTop="1" thickBot="1">
      <c r="A11" s="30"/>
      <c r="B11" s="620">
        <v>9</v>
      </c>
      <c r="C11" s="642" t="s">
        <v>3743</v>
      </c>
      <c r="D11" s="644">
        <v>122809</v>
      </c>
      <c r="E11" s="623"/>
      <c r="F11" s="492" t="s">
        <v>1581</v>
      </c>
      <c r="G11" s="625"/>
      <c r="H11" s="641" t="s">
        <v>3742</v>
      </c>
    </row>
    <row r="12" spans="1:9" ht="17.25" thickTop="1" thickBot="1">
      <c r="A12" s="30"/>
      <c r="B12" s="492">
        <v>10</v>
      </c>
      <c r="C12" s="627" t="s">
        <v>3752</v>
      </c>
      <c r="D12" s="645">
        <v>46173</v>
      </c>
      <c r="E12" s="430"/>
      <c r="F12" s="432" t="s">
        <v>1581</v>
      </c>
      <c r="G12" s="617"/>
      <c r="H12" s="431">
        <v>44153</v>
      </c>
    </row>
    <row r="13" spans="1:9" ht="17.25" thickTop="1" thickBot="1">
      <c r="A13" s="30"/>
      <c r="B13" s="492">
        <v>11</v>
      </c>
      <c r="C13" s="626"/>
      <c r="D13" s="626"/>
      <c r="E13" s="628"/>
      <c r="F13" s="629"/>
      <c r="G13" s="629"/>
      <c r="H13" s="626"/>
    </row>
    <row r="14" spans="1:9" ht="17.25" thickTop="1" thickBot="1">
      <c r="A14" s="30"/>
      <c r="B14" s="492">
        <v>12</v>
      </c>
      <c r="C14" s="619"/>
      <c r="D14" s="434"/>
      <c r="E14" s="430"/>
      <c r="F14" s="432"/>
      <c r="G14" s="430"/>
      <c r="H14" s="437"/>
    </row>
    <row r="15" spans="1:9" ht="17.25" thickTop="1" thickBot="1">
      <c r="A15" s="30"/>
      <c r="B15" s="492">
        <v>13</v>
      </c>
      <c r="C15" s="433"/>
      <c r="D15" s="434"/>
      <c r="E15" s="435"/>
      <c r="F15" s="432"/>
      <c r="G15" s="436"/>
      <c r="H15" s="437"/>
    </row>
    <row r="16" spans="1:9" ht="17.25" thickTop="1" thickBot="1">
      <c r="A16" s="30"/>
      <c r="B16" s="492"/>
      <c r="C16" s="628"/>
      <c r="D16" s="626"/>
      <c r="E16" s="626"/>
      <c r="F16" s="624"/>
      <c r="G16" s="624"/>
      <c r="H16" s="626"/>
    </row>
    <row r="17" spans="1:8" ht="17.25" thickTop="1" thickBot="1">
      <c r="A17" s="30"/>
      <c r="B17" s="492"/>
      <c r="C17" s="626"/>
      <c r="D17" s="626"/>
      <c r="E17" s="626"/>
      <c r="F17" s="624"/>
      <c r="G17" s="630"/>
      <c r="H17" s="437"/>
    </row>
    <row r="18" spans="1:8" ht="17.25" thickTop="1" thickBot="1">
      <c r="A18" s="30"/>
      <c r="B18" s="492"/>
      <c r="C18" s="433"/>
      <c r="D18" s="434"/>
      <c r="E18" s="430"/>
      <c r="F18" s="432"/>
      <c r="G18" s="430"/>
      <c r="H18" s="437"/>
    </row>
    <row r="19" spans="1:8" ht="17.25" thickTop="1" thickBot="1">
      <c r="A19" s="30"/>
      <c r="B19" s="492"/>
      <c r="C19" s="433"/>
      <c r="D19" s="434"/>
      <c r="E19" s="435"/>
      <c r="F19" s="432"/>
      <c r="G19" s="436"/>
      <c r="H19" s="437"/>
    </row>
    <row r="20" spans="1:8" ht="17.25" thickTop="1" thickBot="1">
      <c r="A20" s="30"/>
      <c r="B20" s="492"/>
      <c r="C20" s="435"/>
      <c r="D20" s="434"/>
      <c r="E20" s="435"/>
      <c r="F20" s="432"/>
      <c r="G20" s="436"/>
      <c r="H20" s="434"/>
    </row>
    <row r="21" spans="1:8" ht="17.25" thickTop="1" thickBot="1">
      <c r="A21" s="30"/>
      <c r="B21" s="492"/>
      <c r="C21" s="631"/>
      <c r="D21" s="632"/>
      <c r="E21" s="493"/>
      <c r="F21" s="633"/>
      <c r="G21" s="494"/>
      <c r="H21" s="494"/>
    </row>
    <row r="22" spans="1:8" ht="17.25" thickTop="1" thickBot="1">
      <c r="A22" s="30"/>
      <c r="B22" s="167"/>
      <c r="C22" s="702" t="s">
        <v>1392</v>
      </c>
      <c r="D22" s="703"/>
      <c r="E22" s="703"/>
      <c r="F22" s="703"/>
      <c r="G22" s="703"/>
      <c r="H22" s="704"/>
    </row>
    <row r="23" spans="1:8" ht="17.25" thickTop="1" thickBot="1">
      <c r="C23" s="705" t="s">
        <v>17</v>
      </c>
      <c r="D23" s="706"/>
      <c r="E23" s="706"/>
      <c r="F23" s="706"/>
      <c r="G23" s="706"/>
      <c r="H23" s="707"/>
    </row>
    <row r="24" spans="1:8" ht="17.25" thickTop="1" thickBot="1">
      <c r="C24" s="705" t="s">
        <v>18</v>
      </c>
      <c r="D24" s="706"/>
      <c r="E24" s="706"/>
      <c r="F24" s="706"/>
      <c r="G24" s="706"/>
      <c r="H24" s="707"/>
    </row>
    <row r="25" spans="1:8" ht="17.25" thickTop="1" thickBot="1">
      <c r="C25" s="705" t="s">
        <v>19</v>
      </c>
      <c r="D25" s="706"/>
      <c r="E25" s="706"/>
      <c r="F25" s="706"/>
      <c r="G25" s="706"/>
      <c r="H25" s="707"/>
    </row>
    <row r="26" spans="1:8" ht="17.25" thickTop="1" thickBot="1">
      <c r="C26" s="705" t="s">
        <v>2116</v>
      </c>
      <c r="D26" s="706"/>
      <c r="E26" s="706"/>
      <c r="F26" s="706"/>
      <c r="G26" s="706"/>
      <c r="H26" s="707"/>
    </row>
    <row r="27" spans="1:8" ht="16.5" thickTop="1"/>
    <row r="28" spans="1:8">
      <c r="C28" s="698" t="s">
        <v>1672</v>
      </c>
      <c r="D28" s="698"/>
      <c r="E28" s="698"/>
      <c r="F28" s="698"/>
      <c r="G28" s="698"/>
      <c r="H28" s="698"/>
    </row>
    <row r="29" spans="1:8">
      <c r="C29" s="698"/>
      <c r="D29" s="698"/>
      <c r="E29" s="698"/>
      <c r="F29" s="698"/>
      <c r="G29" s="698"/>
      <c r="H29" s="698"/>
    </row>
    <row r="30" spans="1:8">
      <c r="F30" s="28"/>
    </row>
    <row r="31" spans="1:8">
      <c r="C31" s="32"/>
    </row>
    <row r="32" spans="1:8">
      <c r="F32" s="28"/>
      <c r="G32" s="28"/>
    </row>
    <row r="36" spans="6:6">
      <c r="F36" s="33"/>
    </row>
  </sheetData>
  <customSheetViews>
    <customSheetView guid="{43E256EA-DAC4-46F1-9F3C-3533189BF08F}" scale="70" showRuler="0">
      <selection activeCell="E4" sqref="E4"/>
      <pageMargins left="0.78740157499999996" right="0.78740157499999996" top="0.984251969" bottom="0.984251969" header="0.49212598499999999" footer="0.49212598499999999"/>
      <pageSetup paperSize="9" orientation="portrait" horizontalDpi="4294967293" verticalDpi="300" r:id="rId1"/>
      <headerFooter alignWithMargins="0"/>
    </customSheetView>
  </customSheetViews>
  <mergeCells count="7">
    <mergeCell ref="C28:H29"/>
    <mergeCell ref="B2:H2"/>
    <mergeCell ref="C22:H22"/>
    <mergeCell ref="C23:H23"/>
    <mergeCell ref="C24:H24"/>
    <mergeCell ref="C25:H25"/>
    <mergeCell ref="C26:H26"/>
  </mergeCells>
  <phoneticPr fontId="6" type="noConversion"/>
  <conditionalFormatting sqref="E18:E21 E12 E14:E15 E3:E10">
    <cfRule type="cellIs" dxfId="1260" priority="690" stopIfTrue="1" operator="equal">
      <formula>"KADESH"</formula>
    </cfRule>
  </conditionalFormatting>
  <conditionalFormatting sqref="D14:D15 D3:D4 D7:D9">
    <cfRule type="containsText" dxfId="1259" priority="675" operator="containsText" text="TRIAGEM/SANÇÃO">
      <formula>NOT(ISERROR(SEARCH("TRIAGEM/SANÇÃO",D3)))</formula>
    </cfRule>
    <cfRule type="containsText" dxfId="1258" priority="676" operator="containsText" text="TRIAGEM">
      <formula>NOT(ISERROR(SEARCH("TRIAGEM",D3)))</formula>
    </cfRule>
    <cfRule type="containsText" dxfId="1257" priority="677" operator="containsText" text="SANÇÃO">
      <formula>NOT(ISERROR(SEARCH("SANÇÃO",D3)))</formula>
    </cfRule>
    <cfRule type="containsText" dxfId="1256" priority="678" operator="containsText" text="LAVANDERIA">
      <formula>NOT(ISERROR(SEARCH("LAVANDERIA",D3)))</formula>
    </cfRule>
    <cfRule type="containsText" dxfId="1255" priority="679" operator="containsText" text="KADESH">
      <formula>NOT(ISERROR(SEARCH("KADESH",D3)))</formula>
    </cfRule>
    <cfRule type="containsText" dxfId="1254" priority="680" operator="containsText" text="FAXINA">
      <formula>NOT(ISERROR(SEARCH("FAXINA",D3)))</formula>
    </cfRule>
    <cfRule type="containsText" dxfId="1253" priority="681" operator="containsText" text="COZINHA">
      <formula>NOT(ISERROR(SEARCH("COZINHA",D3)))</formula>
    </cfRule>
    <cfRule type="containsText" dxfId="1252" priority="682" operator="containsText" text="COSTURA">
      <formula>NOT(ISERROR(SEARCH("COSTURA",D3)))</formula>
    </cfRule>
    <cfRule type="containsText" dxfId="1251" priority="683" operator="containsText" text="BIBLIOTECA">
      <formula>NOT(ISERROR(SEARCH("BIBLIOTECA",D3)))</formula>
    </cfRule>
    <cfRule type="containsText" dxfId="1250" priority="684" operator="containsText" text="ARTESANATO">
      <formula>NOT(ISERROR(SEARCH("ARTESANATO",D3)))</formula>
    </cfRule>
  </conditionalFormatting>
  <conditionalFormatting sqref="D14:D15 D3:D4 D7:D9">
    <cfRule type="cellIs" dxfId="1249" priority="674" stopIfTrue="1" operator="equal">
      <formula>"CD"</formula>
    </cfRule>
  </conditionalFormatting>
  <conditionalFormatting sqref="D3">
    <cfRule type="duplicateValues" dxfId="1248" priority="2747" stopIfTrue="1"/>
  </conditionalFormatting>
  <conditionalFormatting sqref="F19:F21">
    <cfRule type="colorScale" priority="4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9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0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4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0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2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8:F19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2 F7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4:F15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">
    <cfRule type="duplicateValues" dxfId="1247" priority="6" stopIfTrue="1"/>
  </conditionalFormatting>
  <conditionalFormatting sqref="F4">
    <cfRule type="colorScale" priority="45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 D8:D9">
    <cfRule type="duplicateValues" dxfId="1246" priority="4609" stopIfTrue="1"/>
  </conditionalFormatting>
  <conditionalFormatting sqref="F8:F9">
    <cfRule type="colorScale" priority="46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8:F20 F12 F14:F15 F4:F10">
    <cfRule type="colorScale" priority="48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8:F20 F12 F14:F15 F3:F10">
    <cfRule type="colorScale" priority="48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99999999" footer="0.49212598499999999"/>
  <pageSetup paperSize="9" orientation="portrait" horizontalDpi="4294967293" verticalDpi="300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4">
    <tabColor indexed="62"/>
  </sheetPr>
  <dimension ref="A1:M4"/>
  <sheetViews>
    <sheetView showRuler="0" zoomScaleNormal="100" workbookViewId="0">
      <pane xSplit="1" ySplit="2" topLeftCell="B3" activePane="bottomRight" state="frozen"/>
      <selection activeCell="G76" sqref="G76"/>
      <selection pane="topRight" activeCell="G76" sqref="G76"/>
      <selection pane="bottomLeft" activeCell="G76" sqref="G76"/>
      <selection pane="bottomRight" activeCell="F13" sqref="F13"/>
    </sheetView>
  </sheetViews>
  <sheetFormatPr defaultRowHeight="12.75"/>
  <cols>
    <col min="1" max="1" width="9.140625" style="20"/>
    <col min="2" max="2" width="9.42578125" style="22" customWidth="1"/>
    <col min="3" max="3" width="38.140625" style="23" bestFit="1" customWidth="1"/>
    <col min="4" max="4" width="2.28515625" style="24" bestFit="1" customWidth="1"/>
    <col min="5" max="5" width="7.42578125" style="24" bestFit="1" customWidth="1"/>
    <col min="6" max="6" width="39" style="23" customWidth="1"/>
    <col min="7" max="7" width="10.28515625" style="22" bestFit="1" customWidth="1"/>
    <col min="8" max="12" width="9.140625" style="21"/>
    <col min="13" max="13" width="13.28515625" style="35" bestFit="1" customWidth="1"/>
    <col min="14" max="16384" width="9.140625" style="21"/>
  </cols>
  <sheetData>
    <row r="1" spans="2:6" ht="13.5" thickBot="1"/>
    <row r="2" spans="2:6" ht="17.25" customHeight="1" thickTop="1" thickBot="1">
      <c r="B2" s="11" t="s">
        <v>1178</v>
      </c>
      <c r="C2" s="12" t="s">
        <v>12</v>
      </c>
      <c r="D2" s="12" t="s">
        <v>2</v>
      </c>
      <c r="E2" s="11" t="s">
        <v>1178</v>
      </c>
      <c r="F2" s="12" t="s">
        <v>12</v>
      </c>
    </row>
    <row r="3" spans="2:6" ht="13.5" thickTop="1">
      <c r="B3" s="209" t="s">
        <v>877</v>
      </c>
      <c r="C3" s="210" t="s">
        <v>2345</v>
      </c>
      <c r="D3" s="211" t="s">
        <v>2</v>
      </c>
      <c r="E3" s="212" t="s">
        <v>2553</v>
      </c>
      <c r="F3" s="210" t="s">
        <v>2103</v>
      </c>
    </row>
    <row r="4" spans="2:6">
      <c r="B4" s="209"/>
      <c r="C4" s="210"/>
      <c r="D4" s="211" t="s">
        <v>2</v>
      </c>
      <c r="E4" s="212" t="s">
        <v>1227</v>
      </c>
      <c r="F4" s="210" t="s">
        <v>2409</v>
      </c>
    </row>
  </sheetData>
  <customSheetViews>
    <customSheetView guid="{43E256EA-DAC4-46F1-9F3C-3533189BF08F}" hiddenRows="1" showRuler="0">
      <pane ySplit="2" topLeftCell="A10" activePane="bottomLeft" state="frozenSplit"/>
      <selection pane="bottomLeft" activeCell="B26" sqref="B26"/>
      <pageMargins left="0.78740157499999996" right="0.78740157499999996" top="0.984251969" bottom="0.984251969" header="0.49212598499999999" footer="0.49212598499999999"/>
      <pageSetup paperSize="9" orientation="portrait" horizontalDpi="4294967293" verticalDpi="300" r:id="rId1"/>
      <headerFooter alignWithMargins="0"/>
    </customSheetView>
  </customSheetViews>
  <phoneticPr fontId="6" type="noConversion"/>
  <conditionalFormatting sqref="B1:B1048576 E1:E1048576">
    <cfRule type="cellIs" dxfId="1245" priority="4" stopIfTrue="1" operator="equal">
      <formula>"CMP"</formula>
    </cfRule>
  </conditionalFormatting>
  <conditionalFormatting sqref="B1:B1048576 E1:E1048576">
    <cfRule type="containsText" dxfId="1244" priority="3" stopIfTrue="1" operator="containsText" text="RSA">
      <formula>NOT(ISERROR(SEARCH("RSA",B1)))</formula>
    </cfRule>
  </conditionalFormatting>
  <pageMargins left="0.78740157499999996" right="0.78740157499999996" top="0.984251969" bottom="0.984251969" header="0.49212598499999999" footer="0.49212598499999999"/>
  <pageSetup paperSize="9" orientation="portrait" horizontalDpi="4294967293" verticalDpi="300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2">
    <tabColor indexed="15"/>
  </sheetPr>
  <dimension ref="A1:IV2896"/>
  <sheetViews>
    <sheetView showGridLines="0" showRuler="0" zoomScaleNormal="100" workbookViewId="0">
      <pane ySplit="1" topLeftCell="A1752" activePane="bottomLeft" state="frozen"/>
      <selection activeCell="G76" sqref="G76"/>
      <selection pane="bottomLeft" activeCell="C1764" sqref="C1764"/>
    </sheetView>
  </sheetViews>
  <sheetFormatPr defaultRowHeight="12.75"/>
  <cols>
    <col min="1" max="1" width="25.85546875" style="168" customWidth="1"/>
    <col min="2" max="2" width="22.85546875" style="54" customWidth="1"/>
    <col min="3" max="3" width="49.7109375" style="36" customWidth="1"/>
    <col min="4" max="4" width="11.28515625" style="55" bestFit="1" customWidth="1"/>
    <col min="5" max="5" width="17.5703125" style="56" bestFit="1" customWidth="1"/>
    <col min="6" max="6" width="51.85546875" style="39" customWidth="1"/>
    <col min="7" max="16384" width="9.140625" style="37"/>
  </cols>
  <sheetData>
    <row r="1" spans="1:6" ht="14.25" thickTop="1" thickBot="1">
      <c r="A1" s="267" t="str">
        <f t="shared" ref="A1:A9" si="0">C1</f>
        <v>ABEL FRANCISCO MARTINS</v>
      </c>
      <c r="B1" s="68" t="s">
        <v>62</v>
      </c>
      <c r="C1" s="66" t="s">
        <v>267</v>
      </c>
      <c r="D1" s="61">
        <v>27347</v>
      </c>
      <c r="E1" s="70">
        <v>42488</v>
      </c>
      <c r="F1" s="284"/>
    </row>
    <row r="2" spans="1:6" ht="14.25" thickTop="1" thickBot="1">
      <c r="A2" s="91" t="str">
        <f t="shared" si="0"/>
        <v>ABEL GETULIO DE OLIVEIRA</v>
      </c>
      <c r="B2" s="68" t="s">
        <v>1696</v>
      </c>
      <c r="C2" s="64" t="s">
        <v>629</v>
      </c>
      <c r="D2" s="65">
        <v>27180</v>
      </c>
      <c r="E2" s="62">
        <v>41624</v>
      </c>
      <c r="F2" s="63"/>
    </row>
    <row r="3" spans="1:6" ht="14.25" thickTop="1" thickBot="1">
      <c r="A3" s="91" t="str">
        <f t="shared" si="0"/>
        <v>ABEL LIMA DE SOUZA</v>
      </c>
      <c r="B3" s="68" t="s">
        <v>62</v>
      </c>
      <c r="C3" s="64" t="s">
        <v>647</v>
      </c>
      <c r="D3" s="65">
        <v>63961</v>
      </c>
      <c r="E3" s="62" t="s">
        <v>3636</v>
      </c>
      <c r="F3" s="63"/>
    </row>
    <row r="4" spans="1:6" ht="14.25" thickTop="1" thickBot="1">
      <c r="A4" s="91" t="str">
        <f t="shared" si="0"/>
        <v>ACACIO ROBERTO DA SILVA</v>
      </c>
      <c r="B4" s="68" t="s">
        <v>62</v>
      </c>
      <c r="C4" s="64" t="s">
        <v>1457</v>
      </c>
      <c r="D4" s="65">
        <v>63413</v>
      </c>
      <c r="E4" s="62">
        <v>41816</v>
      </c>
      <c r="F4" s="63"/>
    </row>
    <row r="5" spans="1:6" ht="14.25" thickTop="1" thickBot="1">
      <c r="A5" s="91" t="str">
        <f t="shared" si="0"/>
        <v>ACIR DOMINGUES DOS SANTOS</v>
      </c>
      <c r="B5" s="68" t="s">
        <v>25</v>
      </c>
      <c r="C5" s="64" t="s">
        <v>570</v>
      </c>
      <c r="D5" s="65">
        <v>63971</v>
      </c>
      <c r="E5" s="62">
        <v>40763</v>
      </c>
      <c r="F5" s="63"/>
    </row>
    <row r="6" spans="1:6" ht="14.25" thickTop="1" thickBot="1">
      <c r="A6" s="91" t="str">
        <f t="shared" si="0"/>
        <v>ADACIR CANDIDO DA SILVA</v>
      </c>
      <c r="B6" s="68" t="s">
        <v>62</v>
      </c>
      <c r="C6" s="66" t="s">
        <v>44</v>
      </c>
      <c r="D6" s="65">
        <v>42680</v>
      </c>
      <c r="E6" s="62">
        <v>40637</v>
      </c>
      <c r="F6" s="63"/>
    </row>
    <row r="7" spans="1:6" ht="14.25" thickTop="1" thickBot="1">
      <c r="A7" s="91" t="str">
        <f t="shared" si="0"/>
        <v>ADAILDO LASKOSKI</v>
      </c>
      <c r="B7" s="68" t="s">
        <v>62</v>
      </c>
      <c r="C7" s="66" t="s">
        <v>738</v>
      </c>
      <c r="D7" s="65"/>
      <c r="E7" s="62">
        <v>41096</v>
      </c>
      <c r="F7" s="63"/>
    </row>
    <row r="8" spans="1:6" ht="14.25" thickTop="1" thickBot="1">
      <c r="A8" s="91" t="str">
        <f t="shared" si="0"/>
        <v>ADAIR FERNANDES MACHADO</v>
      </c>
      <c r="B8" s="68" t="s">
        <v>62</v>
      </c>
      <c r="C8" s="66" t="s">
        <v>1590</v>
      </c>
      <c r="D8" s="61">
        <v>101638</v>
      </c>
      <c r="E8" s="62">
        <v>43308</v>
      </c>
      <c r="F8" s="61"/>
    </row>
    <row r="9" spans="1:6" ht="14.25" thickTop="1" thickBot="1">
      <c r="A9" s="91" t="str">
        <f t="shared" si="0"/>
        <v>ADAIR JOSE FOGAÇA DE PAULA       (Diabo Loiro)</v>
      </c>
      <c r="B9" s="68" t="s">
        <v>15</v>
      </c>
      <c r="C9" s="66" t="s">
        <v>3116</v>
      </c>
      <c r="D9" s="65">
        <v>107484</v>
      </c>
      <c r="E9" s="62">
        <v>42038</v>
      </c>
      <c r="F9" s="63"/>
    </row>
    <row r="10" spans="1:6" ht="14.25" thickTop="1" thickBot="1">
      <c r="A10" s="197" t="s">
        <v>236</v>
      </c>
      <c r="B10" s="68" t="s">
        <v>1522</v>
      </c>
      <c r="C10" s="66" t="s">
        <v>1282</v>
      </c>
      <c r="D10" s="67"/>
      <c r="E10" s="62">
        <v>39400</v>
      </c>
      <c r="F10" s="63"/>
    </row>
    <row r="11" spans="1:6" ht="14.25" thickTop="1" thickBot="1">
      <c r="A11" s="91" t="str">
        <f>C11</f>
        <v>ADAN RODRIGO ALVES</v>
      </c>
      <c r="B11" s="61" t="s">
        <v>351</v>
      </c>
      <c r="C11" s="60" t="s">
        <v>2375</v>
      </c>
      <c r="D11" s="61">
        <v>14676</v>
      </c>
      <c r="E11" s="62">
        <v>43383</v>
      </c>
      <c r="F11" s="71"/>
    </row>
    <row r="12" spans="1:6" ht="14.25" thickTop="1" thickBot="1">
      <c r="A12" s="91" t="str">
        <f>C12</f>
        <v>ADAN SCHLOSSER</v>
      </c>
      <c r="B12" s="68" t="s">
        <v>62</v>
      </c>
      <c r="C12" s="64" t="s">
        <v>639</v>
      </c>
      <c r="D12" s="65">
        <v>2474</v>
      </c>
      <c r="E12" s="62">
        <v>41960</v>
      </c>
      <c r="F12" s="63"/>
    </row>
    <row r="13" spans="1:6" ht="14.25" thickTop="1" thickBot="1">
      <c r="A13" s="91" t="str">
        <f>C13</f>
        <v>ADANILSON LINCON DE BARROS</v>
      </c>
      <c r="B13" s="68" t="s">
        <v>62</v>
      </c>
      <c r="C13" s="66" t="s">
        <v>58</v>
      </c>
      <c r="D13" s="65">
        <v>63725</v>
      </c>
      <c r="E13" s="62">
        <v>40329</v>
      </c>
      <c r="F13" s="63"/>
    </row>
    <row r="14" spans="1:6" ht="14.25" thickTop="1" thickBot="1">
      <c r="A14" s="91" t="s">
        <v>219</v>
      </c>
      <c r="B14" s="68" t="s">
        <v>2413</v>
      </c>
      <c r="C14" s="66" t="s">
        <v>2612</v>
      </c>
      <c r="D14" s="61">
        <v>23323</v>
      </c>
      <c r="E14" s="62">
        <v>43529</v>
      </c>
      <c r="F14" s="63"/>
    </row>
    <row r="15" spans="1:6" ht="14.25" thickTop="1" thickBot="1">
      <c r="A15" s="91" t="str">
        <f>C15</f>
        <v>ADAO CARLOS MACHADO DA SILVA</v>
      </c>
      <c r="B15" s="68" t="s">
        <v>62</v>
      </c>
      <c r="C15" s="66" t="s">
        <v>851</v>
      </c>
      <c r="D15" s="61">
        <v>63754</v>
      </c>
      <c r="E15" s="62">
        <v>40182</v>
      </c>
      <c r="F15" s="63"/>
    </row>
    <row r="16" spans="1:6" ht="14.25" thickTop="1" thickBot="1">
      <c r="A16" s="91" t="str">
        <f>C16</f>
        <v>ADAO DE MARIO BATISTA</v>
      </c>
      <c r="B16" s="68" t="s">
        <v>62</v>
      </c>
      <c r="C16" s="66" t="s">
        <v>1284</v>
      </c>
      <c r="D16" s="67"/>
      <c r="E16" s="62">
        <v>39247</v>
      </c>
      <c r="F16" s="63"/>
    </row>
    <row r="17" spans="1:6" ht="14.25" thickTop="1" thickBot="1">
      <c r="A17" s="91" t="str">
        <f>C17</f>
        <v>ADÃO PADILHA DE MIRANDA</v>
      </c>
      <c r="B17" s="68" t="s">
        <v>62</v>
      </c>
      <c r="C17" s="66" t="s">
        <v>1285</v>
      </c>
      <c r="D17" s="67"/>
      <c r="E17" s="62">
        <v>39105</v>
      </c>
      <c r="F17" s="63"/>
    </row>
    <row r="18" spans="1:6" ht="14.25" thickTop="1" thickBot="1">
      <c r="A18" s="91" t="str">
        <f>C18</f>
        <v>ADAO PEPE</v>
      </c>
      <c r="B18" s="68" t="s">
        <v>62</v>
      </c>
      <c r="C18" s="131" t="s">
        <v>731</v>
      </c>
      <c r="D18" s="61">
        <v>39861</v>
      </c>
      <c r="E18" s="62">
        <v>40378</v>
      </c>
      <c r="F18" s="63"/>
    </row>
    <row r="19" spans="1:6" ht="14.25" thickTop="1" thickBot="1">
      <c r="A19" s="197" t="s">
        <v>2480</v>
      </c>
      <c r="B19" s="68" t="s">
        <v>62</v>
      </c>
      <c r="C19" s="66" t="s">
        <v>3117</v>
      </c>
      <c r="D19" s="61">
        <v>27066</v>
      </c>
      <c r="E19" s="62">
        <v>42342</v>
      </c>
      <c r="F19" s="63"/>
    </row>
    <row r="20" spans="1:6" ht="14.25" thickTop="1" thickBot="1">
      <c r="A20" s="91" t="str">
        <f>C20</f>
        <v>ADÃO RODRIGUES</v>
      </c>
      <c r="B20" s="68" t="s">
        <v>1306</v>
      </c>
      <c r="C20" s="66" t="s">
        <v>758</v>
      </c>
      <c r="D20" s="67"/>
      <c r="E20" s="62">
        <v>39354</v>
      </c>
      <c r="F20" s="63"/>
    </row>
    <row r="21" spans="1:6" ht="14.25" thickTop="1" thickBot="1">
      <c r="A21" s="91" t="str">
        <f>C21</f>
        <v>ADÃO SIDNEI FERNANDES</v>
      </c>
      <c r="B21" s="68" t="s">
        <v>62</v>
      </c>
      <c r="C21" s="66" t="s">
        <v>1286</v>
      </c>
      <c r="D21" s="67"/>
      <c r="E21" s="62">
        <v>39266</v>
      </c>
      <c r="F21" s="63"/>
    </row>
    <row r="22" spans="1:6" ht="14.25" thickTop="1" thickBot="1">
      <c r="A22" s="91"/>
      <c r="B22" s="61" t="s">
        <v>3630</v>
      </c>
      <c r="C22" s="60" t="s">
        <v>2819</v>
      </c>
      <c r="D22" s="61">
        <v>138837</v>
      </c>
      <c r="E22" s="70">
        <v>44123</v>
      </c>
      <c r="F22" s="89"/>
    </row>
    <row r="23" spans="1:6" ht="14.25" thickTop="1" thickBot="1">
      <c r="A23" s="91" t="str">
        <f>C23</f>
        <v>ADAUTO DA SILVA</v>
      </c>
      <c r="B23" s="68" t="s">
        <v>516</v>
      </c>
      <c r="C23" s="66" t="s">
        <v>1519</v>
      </c>
      <c r="D23" s="67"/>
      <c r="E23" s="62">
        <v>39937</v>
      </c>
      <c r="F23" s="63"/>
    </row>
    <row r="24" spans="1:6" ht="14.25" thickTop="1" thickBot="1">
      <c r="A24" s="77" t="s">
        <v>1644</v>
      </c>
      <c r="B24" s="68" t="s">
        <v>2593</v>
      </c>
      <c r="C24" s="77" t="s">
        <v>1644</v>
      </c>
      <c r="D24" s="61">
        <v>117549</v>
      </c>
      <c r="E24" s="62">
        <v>43524</v>
      </c>
      <c r="F24" s="63"/>
    </row>
    <row r="25" spans="1:6" ht="14.25" thickTop="1" thickBot="1">
      <c r="A25" s="91" t="str">
        <f>C25</f>
        <v>ADEMAR PINHEIRO DA LUZ</v>
      </c>
      <c r="B25" s="68" t="s">
        <v>1598</v>
      </c>
      <c r="C25" s="66" t="s">
        <v>46</v>
      </c>
      <c r="D25" s="69">
        <v>63244</v>
      </c>
      <c r="E25" s="62">
        <v>42100</v>
      </c>
      <c r="F25" s="63"/>
    </row>
    <row r="26" spans="1:6" ht="14.25" thickTop="1" thickBot="1">
      <c r="A26" s="91" t="str">
        <f>C26</f>
        <v>ADEMILSON ALVES FERREIRA    (Negão / Palmeirense)</v>
      </c>
      <c r="B26" s="68" t="s">
        <v>62</v>
      </c>
      <c r="C26" s="66" t="s">
        <v>2894</v>
      </c>
      <c r="D26" s="65">
        <v>43737</v>
      </c>
      <c r="E26" s="62">
        <v>41113</v>
      </c>
      <c r="F26" s="63"/>
    </row>
    <row r="27" spans="1:6" ht="14.25" thickTop="1" thickBot="1">
      <c r="A27" s="91" t="str">
        <f>C27</f>
        <v>ADEMIR DA SILVA</v>
      </c>
      <c r="B27" s="68" t="s">
        <v>62</v>
      </c>
      <c r="C27" s="66" t="s">
        <v>191</v>
      </c>
      <c r="D27" s="65">
        <v>63894</v>
      </c>
      <c r="E27" s="62">
        <v>41792</v>
      </c>
      <c r="F27" s="63"/>
    </row>
    <row r="28" spans="1:6" ht="14.25" thickTop="1" thickBot="1">
      <c r="A28" s="91"/>
      <c r="B28" s="68" t="s">
        <v>2413</v>
      </c>
      <c r="C28" s="66" t="s">
        <v>3635</v>
      </c>
      <c r="D28" s="61">
        <v>125979</v>
      </c>
      <c r="E28" s="62">
        <v>44126</v>
      </c>
      <c r="F28" s="63"/>
    </row>
    <row r="29" spans="1:6" ht="14.25" thickTop="1" thickBot="1">
      <c r="A29" s="91" t="str">
        <f t="shared" ref="A29:A35" si="1">C29</f>
        <v>ADEMIR GEOVANI DOS SANTOS</v>
      </c>
      <c r="B29" s="68" t="s">
        <v>62</v>
      </c>
      <c r="C29" s="66" t="s">
        <v>1293</v>
      </c>
      <c r="D29" s="67"/>
      <c r="E29" s="62">
        <v>40514</v>
      </c>
      <c r="F29" s="63"/>
    </row>
    <row r="30" spans="1:6" ht="14.25" thickTop="1" thickBot="1">
      <c r="A30" s="91" t="str">
        <f t="shared" si="1"/>
        <v>ADEMIR GOMES</v>
      </c>
      <c r="B30" s="68" t="s">
        <v>546</v>
      </c>
      <c r="C30" s="66" t="s">
        <v>47</v>
      </c>
      <c r="D30" s="65">
        <v>57377</v>
      </c>
      <c r="E30" s="62">
        <v>42433</v>
      </c>
      <c r="F30" s="63"/>
    </row>
    <row r="31" spans="1:6" ht="14.25" thickTop="1" thickBot="1">
      <c r="A31" s="91" t="str">
        <f t="shared" si="1"/>
        <v>ADEMIR MARTINS</v>
      </c>
      <c r="B31" s="68" t="s">
        <v>15</v>
      </c>
      <c r="C31" s="66" t="s">
        <v>1761</v>
      </c>
      <c r="D31" s="67"/>
      <c r="E31" s="62">
        <v>39398</v>
      </c>
      <c r="F31" s="63"/>
    </row>
    <row r="32" spans="1:6" ht="14.25" thickTop="1" thickBot="1">
      <c r="A32" s="91" t="str">
        <f t="shared" si="1"/>
        <v>ADEMIR PERES</v>
      </c>
      <c r="B32" s="68" t="s">
        <v>62</v>
      </c>
      <c r="C32" s="66" t="s">
        <v>1294</v>
      </c>
      <c r="D32" s="65">
        <v>27210</v>
      </c>
      <c r="E32" s="62">
        <v>41255</v>
      </c>
      <c r="F32" s="63"/>
    </row>
    <row r="33" spans="1:6" ht="14.25" thickTop="1" thickBot="1">
      <c r="A33" s="91" t="str">
        <f t="shared" si="1"/>
        <v>ADEMIR SEVERO DA SILVA       (Ade)</v>
      </c>
      <c r="B33" s="68" t="s">
        <v>62</v>
      </c>
      <c r="C33" s="66" t="s">
        <v>3335</v>
      </c>
      <c r="D33" s="65">
        <v>27033</v>
      </c>
      <c r="E33" s="62">
        <v>40778</v>
      </c>
      <c r="F33" s="63"/>
    </row>
    <row r="34" spans="1:6" ht="14.25" thickTop="1" thickBot="1">
      <c r="A34" s="91" t="str">
        <f t="shared" si="1"/>
        <v>ADEMIR SOUZA DA SILVA</v>
      </c>
      <c r="B34" s="68" t="s">
        <v>62</v>
      </c>
      <c r="C34" s="66" t="s">
        <v>517</v>
      </c>
      <c r="D34" s="65">
        <v>58259</v>
      </c>
      <c r="E34" s="62">
        <v>42116</v>
      </c>
      <c r="F34" s="63"/>
    </row>
    <row r="35" spans="1:6" ht="14.25" thickTop="1" thickBot="1">
      <c r="A35" s="91" t="str">
        <f t="shared" si="1"/>
        <v>ADEMIR TIZONI                              (Veinho)</v>
      </c>
      <c r="B35" s="68" t="s">
        <v>15</v>
      </c>
      <c r="C35" s="66" t="s">
        <v>3336</v>
      </c>
      <c r="D35" s="65">
        <v>120045</v>
      </c>
      <c r="E35" s="62">
        <v>42522</v>
      </c>
      <c r="F35" s="63"/>
    </row>
    <row r="36" spans="1:6" ht="14.25" thickTop="1" thickBot="1">
      <c r="A36" s="91"/>
      <c r="B36" s="68" t="s">
        <v>2406</v>
      </c>
      <c r="C36" s="60" t="s">
        <v>3337</v>
      </c>
      <c r="D36" s="61">
        <v>120046</v>
      </c>
      <c r="E36" s="70">
        <v>43689</v>
      </c>
      <c r="F36" s="75"/>
    </row>
    <row r="37" spans="1:6" ht="14.25" thickTop="1" thickBot="1">
      <c r="A37" s="91" t="str">
        <f t="shared" ref="A37:A44" si="2">C37</f>
        <v>ADENEI RODRIGUES DA COSTA                (Neno)</v>
      </c>
      <c r="B37" s="68" t="s">
        <v>62</v>
      </c>
      <c r="C37" s="66" t="s">
        <v>3337</v>
      </c>
      <c r="D37" s="65">
        <v>27092</v>
      </c>
      <c r="E37" s="62">
        <v>40866</v>
      </c>
      <c r="F37" s="63"/>
    </row>
    <row r="38" spans="1:6" ht="14.25" thickTop="1" thickBot="1">
      <c r="A38" s="91" t="str">
        <f t="shared" si="2"/>
        <v>ADENILSON DA SILVA</v>
      </c>
      <c r="B38" s="68" t="s">
        <v>62</v>
      </c>
      <c r="C38" s="66" t="s">
        <v>1454</v>
      </c>
      <c r="D38" s="65">
        <v>27331</v>
      </c>
      <c r="E38" s="62">
        <v>41710</v>
      </c>
      <c r="F38" s="63"/>
    </row>
    <row r="39" spans="1:6" ht="14.25" thickTop="1" thickBot="1">
      <c r="A39" s="91" t="str">
        <f t="shared" si="2"/>
        <v>ADILSON AVELAR</v>
      </c>
      <c r="B39" s="68" t="s">
        <v>62</v>
      </c>
      <c r="C39" s="66" t="s">
        <v>967</v>
      </c>
      <c r="D39" s="61">
        <v>21885</v>
      </c>
      <c r="E39" s="70">
        <v>42909</v>
      </c>
      <c r="F39" s="71"/>
    </row>
    <row r="40" spans="1:6" ht="14.25" thickTop="1" thickBot="1">
      <c r="A40" s="91" t="str">
        <f t="shared" si="2"/>
        <v>ADILSON BERNARDO</v>
      </c>
      <c r="B40" s="68" t="s">
        <v>62</v>
      </c>
      <c r="C40" s="114" t="s">
        <v>1872</v>
      </c>
      <c r="D40" s="65"/>
      <c r="E40" s="62">
        <v>42705</v>
      </c>
      <c r="F40" s="63"/>
    </row>
    <row r="41" spans="1:6" ht="14.25" thickTop="1" thickBot="1">
      <c r="A41" s="91" t="str">
        <f t="shared" si="2"/>
        <v>ADILSON DA SILVA DE LIMA</v>
      </c>
      <c r="B41" s="68" t="s">
        <v>1812</v>
      </c>
      <c r="C41" s="64" t="s">
        <v>1740</v>
      </c>
      <c r="D41" s="65">
        <v>63329</v>
      </c>
      <c r="E41" s="62">
        <v>40535</v>
      </c>
      <c r="F41" s="171" t="s">
        <v>1757</v>
      </c>
    </row>
    <row r="42" spans="1:6" ht="14.25" thickTop="1" thickBot="1">
      <c r="A42" s="91" t="str">
        <f t="shared" si="2"/>
        <v>ADILSON DA SILVA GALVÃO</v>
      </c>
      <c r="B42" s="67" t="s">
        <v>1522</v>
      </c>
      <c r="C42" s="66" t="s">
        <v>476</v>
      </c>
      <c r="D42" s="67"/>
      <c r="E42" s="62">
        <v>39317</v>
      </c>
      <c r="F42" s="63"/>
    </row>
    <row r="43" spans="1:6" ht="14.25" thickTop="1" thickBot="1">
      <c r="A43" s="91" t="str">
        <f t="shared" si="2"/>
        <v>ADILSON DE LIMA FALCÃO</v>
      </c>
      <c r="B43" s="68" t="s">
        <v>62</v>
      </c>
      <c r="C43" s="66" t="s">
        <v>1295</v>
      </c>
      <c r="D43" s="65"/>
      <c r="E43" s="62">
        <v>42703</v>
      </c>
      <c r="F43" s="63"/>
    </row>
    <row r="44" spans="1:6" ht="14.25" thickTop="1" thickBot="1">
      <c r="A44" s="91" t="str">
        <f t="shared" si="2"/>
        <v>ADILSON GONÇALVES DE SOUZA     (Mascara)</v>
      </c>
      <c r="B44" s="68" t="s">
        <v>1860</v>
      </c>
      <c r="C44" s="66" t="s">
        <v>2895</v>
      </c>
      <c r="D44" s="61">
        <v>63277</v>
      </c>
      <c r="E44" s="62"/>
      <c r="F44" s="63"/>
    </row>
    <row r="45" spans="1:6" ht="14.25" thickTop="1" thickBot="1">
      <c r="A45" s="91"/>
      <c r="B45" s="68" t="s">
        <v>351</v>
      </c>
      <c r="C45" s="66" t="s">
        <v>2895</v>
      </c>
      <c r="D45" s="61">
        <v>63277</v>
      </c>
      <c r="E45" s="62">
        <v>43613</v>
      </c>
      <c r="F45" s="75"/>
    </row>
    <row r="46" spans="1:6" ht="14.25" thickTop="1" thickBot="1">
      <c r="A46" s="91" t="str">
        <f t="shared" ref="A46:A53" si="3">C46</f>
        <v>ADILSON HUÇALO RODRIGUES</v>
      </c>
      <c r="B46" s="68" t="s">
        <v>1812</v>
      </c>
      <c r="C46" s="66" t="s">
        <v>1924</v>
      </c>
      <c r="D46" s="65">
        <v>42988</v>
      </c>
      <c r="E46" s="62">
        <v>40676</v>
      </c>
      <c r="F46" s="63"/>
    </row>
    <row r="47" spans="1:6" ht="14.25" thickTop="1" thickBot="1">
      <c r="A47" s="91" t="str">
        <f t="shared" si="3"/>
        <v>ADILSON LUIZ MANGGER</v>
      </c>
      <c r="B47" s="68" t="s">
        <v>546</v>
      </c>
      <c r="C47" s="66" t="s">
        <v>806</v>
      </c>
      <c r="D47" s="65">
        <v>63336</v>
      </c>
      <c r="E47" s="62">
        <v>40329</v>
      </c>
      <c r="F47" s="63"/>
    </row>
    <row r="48" spans="1:6" ht="14.25" thickTop="1" thickBot="1">
      <c r="A48" s="91" t="str">
        <f t="shared" si="3"/>
        <v>ADILSON MERETT CAMPOS</v>
      </c>
      <c r="B48" s="68" t="s">
        <v>62</v>
      </c>
      <c r="C48" s="66" t="s">
        <v>885</v>
      </c>
      <c r="D48" s="65">
        <v>10904</v>
      </c>
      <c r="E48" s="62">
        <v>40120</v>
      </c>
      <c r="F48" s="63"/>
    </row>
    <row r="49" spans="1:16" ht="14.25" thickTop="1" thickBot="1">
      <c r="A49" s="91" t="str">
        <f t="shared" si="3"/>
        <v>ADILSON TEIXEIRA</v>
      </c>
      <c r="B49" s="68" t="s">
        <v>62</v>
      </c>
      <c r="C49" s="66" t="s">
        <v>158</v>
      </c>
      <c r="D49" s="67"/>
      <c r="E49" s="62">
        <v>39743</v>
      </c>
      <c r="F49" s="63"/>
    </row>
    <row r="50" spans="1:16" ht="14.25" thickTop="1" thickBot="1">
      <c r="A50" s="91" t="str">
        <f t="shared" si="3"/>
        <v>ADILSON TEIXEIRA              (Cocão)</v>
      </c>
      <c r="B50" s="68" t="s">
        <v>1306</v>
      </c>
      <c r="C50" s="66" t="s">
        <v>3338</v>
      </c>
      <c r="D50" s="65">
        <v>10904</v>
      </c>
      <c r="E50" s="62">
        <v>43238</v>
      </c>
      <c r="F50" s="63"/>
    </row>
    <row r="51" spans="1:16" ht="14.25" thickTop="1" thickBot="1">
      <c r="A51" s="91" t="str">
        <f t="shared" si="3"/>
        <v>ADIR RUSSI DE ANDRADE</v>
      </c>
      <c r="B51" s="68" t="s">
        <v>62</v>
      </c>
      <c r="C51" s="66" t="s">
        <v>50</v>
      </c>
      <c r="D51" s="65">
        <v>63230</v>
      </c>
      <c r="E51" s="62">
        <v>40956</v>
      </c>
      <c r="F51" s="63"/>
    </row>
    <row r="52" spans="1:16" ht="14.25" thickTop="1" thickBot="1">
      <c r="A52" s="91" t="str">
        <f t="shared" si="3"/>
        <v>ADNILSON ANTUNES FOGAÇA</v>
      </c>
      <c r="B52" s="68" t="s">
        <v>62</v>
      </c>
      <c r="C52" s="66" t="s">
        <v>955</v>
      </c>
      <c r="D52" s="65">
        <v>47289</v>
      </c>
      <c r="E52" s="62">
        <v>41983</v>
      </c>
      <c r="F52" s="63"/>
    </row>
    <row r="53" spans="1:16" ht="14.25" thickTop="1" thickBot="1">
      <c r="A53" s="91" t="str">
        <f t="shared" si="3"/>
        <v>ADRI DE JESUS CORDEIRO</v>
      </c>
      <c r="B53" s="68" t="s">
        <v>62</v>
      </c>
      <c r="C53" s="64" t="s">
        <v>1052</v>
      </c>
      <c r="D53" s="65">
        <v>63438</v>
      </c>
      <c r="E53" s="62">
        <v>41379</v>
      </c>
      <c r="F53" s="63"/>
    </row>
    <row r="54" spans="1:16" ht="14.25" thickTop="1" thickBot="1">
      <c r="A54" s="192" t="s">
        <v>985</v>
      </c>
      <c r="B54" s="68" t="s">
        <v>2406</v>
      </c>
      <c r="C54" s="192" t="s">
        <v>985</v>
      </c>
      <c r="D54" s="61">
        <v>27243</v>
      </c>
      <c r="E54" s="62">
        <v>43602</v>
      </c>
      <c r="F54" s="63"/>
    </row>
    <row r="55" spans="1:16" ht="14.25" thickTop="1" thickBot="1">
      <c r="A55" s="91" t="str">
        <f>C55</f>
        <v>ADRIANO APARECIDO DE OLIVEIRA</v>
      </c>
      <c r="B55" s="68" t="s">
        <v>62</v>
      </c>
      <c r="C55" s="66" t="s">
        <v>1296</v>
      </c>
      <c r="D55" s="67"/>
      <c r="E55" s="62">
        <v>39295</v>
      </c>
      <c r="F55" s="63"/>
    </row>
    <row r="56" spans="1:16" ht="14.25" thickTop="1" thickBot="1">
      <c r="A56" s="91" t="str">
        <f>C56</f>
        <v>ADRIANO APARECIDO FERREIRA</v>
      </c>
      <c r="B56" s="68" t="s">
        <v>62</v>
      </c>
      <c r="C56" s="66" t="s">
        <v>1297</v>
      </c>
      <c r="D56" s="65">
        <v>63854</v>
      </c>
      <c r="E56" s="62">
        <v>40546</v>
      </c>
      <c r="F56" s="63"/>
    </row>
    <row r="57" spans="1:16" ht="14.25" thickTop="1" thickBot="1">
      <c r="A57" s="60" t="s">
        <v>2819</v>
      </c>
      <c r="B57" s="68" t="s">
        <v>62</v>
      </c>
      <c r="C57" s="77" t="s">
        <v>1719</v>
      </c>
      <c r="D57" s="61">
        <v>25285</v>
      </c>
      <c r="E57" s="62">
        <v>43845</v>
      </c>
      <c r="F57" s="63"/>
      <c r="G57" s="113"/>
      <c r="H57" s="408"/>
      <c r="I57" s="407"/>
      <c r="J57" s="408"/>
      <c r="K57" s="199"/>
      <c r="L57" s="199"/>
      <c r="M57" s="199"/>
      <c r="N57" s="199"/>
      <c r="O57" s="199"/>
      <c r="P57" s="199"/>
    </row>
    <row r="58" spans="1:16" ht="14.25" thickTop="1" thickBot="1">
      <c r="A58" s="91" t="str">
        <f>C58</f>
        <v>ADRIANO AUGUSTO RIBEIRO</v>
      </c>
      <c r="B58" s="348" t="s">
        <v>62</v>
      </c>
      <c r="C58" s="366" t="s">
        <v>847</v>
      </c>
      <c r="D58" s="351">
        <v>63999</v>
      </c>
      <c r="E58" s="350">
        <v>40563</v>
      </c>
      <c r="F58" s="63"/>
    </row>
    <row r="59" spans="1:16" ht="14.25" thickTop="1" thickBot="1">
      <c r="A59" s="91" t="str">
        <f>C59</f>
        <v>ADRIANO CESAR LOPES</v>
      </c>
      <c r="B59" s="68" t="s">
        <v>62</v>
      </c>
      <c r="C59" s="66" t="s">
        <v>741</v>
      </c>
      <c r="D59" s="61">
        <v>27050</v>
      </c>
      <c r="E59" s="70">
        <v>42692</v>
      </c>
      <c r="F59" s="71"/>
    </row>
    <row r="60" spans="1:16" ht="14.25" thickTop="1" thickBot="1">
      <c r="A60" s="328" t="str">
        <f>C60</f>
        <v>ADRIANO DAMASIO</v>
      </c>
      <c r="B60" s="582" t="s">
        <v>1522</v>
      </c>
      <c r="C60" s="66" t="s">
        <v>1691</v>
      </c>
      <c r="D60" s="367">
        <v>74918</v>
      </c>
      <c r="E60" s="353">
        <v>42920</v>
      </c>
      <c r="F60" s="63"/>
    </row>
    <row r="61" spans="1:16" ht="14.25" thickTop="1" thickBot="1">
      <c r="A61" s="453"/>
      <c r="B61" s="89"/>
      <c r="C61" s="60" t="s">
        <v>1691</v>
      </c>
      <c r="D61" s="241"/>
      <c r="E61" s="70"/>
      <c r="F61" s="71"/>
    </row>
    <row r="62" spans="1:16" ht="14.25" thickTop="1" thickBot="1">
      <c r="A62" s="91" t="str">
        <f>C62</f>
        <v>ADRIANO DE QUADROS            (Housen)</v>
      </c>
      <c r="B62" s="68" t="s">
        <v>2347</v>
      </c>
      <c r="C62" s="66" t="s">
        <v>3339</v>
      </c>
      <c r="D62" s="61">
        <v>18384</v>
      </c>
      <c r="E62" s="62">
        <v>43346</v>
      </c>
      <c r="F62" s="63"/>
    </row>
    <row r="63" spans="1:16" ht="14.25" thickTop="1" thickBot="1">
      <c r="A63" s="91"/>
      <c r="B63" s="68" t="s">
        <v>2413</v>
      </c>
      <c r="C63" s="77" t="s">
        <v>1715</v>
      </c>
      <c r="D63" s="61">
        <v>122488</v>
      </c>
      <c r="E63" s="62">
        <v>43749</v>
      </c>
      <c r="F63" s="63"/>
    </row>
    <row r="64" spans="1:16" ht="14.25" thickTop="1" thickBot="1">
      <c r="A64" s="91" t="str">
        <f>C64</f>
        <v>ADRIANO GONÇALVES DE MELO</v>
      </c>
      <c r="B64" s="68" t="s">
        <v>62</v>
      </c>
      <c r="C64" s="66" t="s">
        <v>1862</v>
      </c>
      <c r="D64" s="65">
        <v>63122</v>
      </c>
      <c r="E64" s="62">
        <v>40956</v>
      </c>
      <c r="F64" s="63"/>
    </row>
    <row r="65" spans="1:6" ht="14.25" thickTop="1" thickBot="1">
      <c r="A65" s="91"/>
      <c r="B65" s="68" t="s">
        <v>2413</v>
      </c>
      <c r="C65" s="64" t="s">
        <v>2217</v>
      </c>
      <c r="D65" s="65">
        <v>126575</v>
      </c>
      <c r="E65" s="62">
        <v>43859</v>
      </c>
      <c r="F65" s="63"/>
    </row>
    <row r="66" spans="1:6" ht="14.25" thickTop="1" thickBot="1">
      <c r="A66" s="91" t="str">
        <f>C66</f>
        <v>ADRIANO NUNES RIBEIRO</v>
      </c>
      <c r="B66" s="348" t="s">
        <v>62</v>
      </c>
      <c r="C66" s="342" t="s">
        <v>753</v>
      </c>
      <c r="D66" s="343">
        <v>106848</v>
      </c>
      <c r="E66" s="400">
        <v>42709</v>
      </c>
      <c r="F66" s="75"/>
    </row>
    <row r="67" spans="1:6" ht="14.25" thickTop="1" thickBot="1">
      <c r="A67" s="91" t="str">
        <f>C67</f>
        <v>ADRIANO PEDROSO GOMES</v>
      </c>
      <c r="B67" s="68" t="s">
        <v>1812</v>
      </c>
      <c r="C67" s="66" t="s">
        <v>285</v>
      </c>
      <c r="D67" s="65"/>
      <c r="E67" s="62">
        <v>42705</v>
      </c>
      <c r="F67" s="63"/>
    </row>
    <row r="68" spans="1:6" ht="14.25" thickTop="1" thickBot="1">
      <c r="A68" s="91" t="str">
        <f>C68</f>
        <v>ADRIANO ROBERTO BRANCO</v>
      </c>
      <c r="B68" s="352" t="s">
        <v>1812</v>
      </c>
      <c r="C68" s="484" t="s">
        <v>1088</v>
      </c>
      <c r="D68" s="361">
        <v>27190</v>
      </c>
      <c r="E68" s="353">
        <v>41729</v>
      </c>
      <c r="F68" s="63"/>
    </row>
    <row r="69" spans="1:6" ht="14.25" thickTop="1" thickBot="1">
      <c r="A69" s="91"/>
      <c r="B69" s="68" t="s">
        <v>1522</v>
      </c>
      <c r="C69" s="66" t="s">
        <v>3494</v>
      </c>
      <c r="D69" s="65">
        <v>490034</v>
      </c>
      <c r="E69" s="62">
        <v>44069</v>
      </c>
      <c r="F69" s="63"/>
    </row>
    <row r="70" spans="1:6" ht="14.25" thickTop="1" thickBot="1">
      <c r="A70" s="91" t="str">
        <f>C70</f>
        <v>ADRIEL FERREIRA                            (Lupita)</v>
      </c>
      <c r="B70" s="68" t="s">
        <v>62</v>
      </c>
      <c r="C70" s="66" t="s">
        <v>3340</v>
      </c>
      <c r="D70" s="61"/>
      <c r="E70" s="70">
        <v>42900</v>
      </c>
      <c r="F70" s="63"/>
    </row>
    <row r="71" spans="1:6" ht="14.25" thickTop="1" thickBot="1">
      <c r="A71" s="91" t="str">
        <f>C71</f>
        <v>ADRIEL WISNIESKI DOS SANTOS</v>
      </c>
      <c r="B71" s="67" t="s">
        <v>1812</v>
      </c>
      <c r="C71" s="66" t="s">
        <v>125</v>
      </c>
      <c r="D71" s="65">
        <v>27069</v>
      </c>
      <c r="E71" s="62">
        <v>40850</v>
      </c>
      <c r="F71" s="63"/>
    </row>
    <row r="72" spans="1:6" ht="14.25" thickTop="1" thickBot="1">
      <c r="A72" s="91" t="str">
        <f>C72</f>
        <v>AFONSO NEPOMOCENO MUCHINSKI</v>
      </c>
      <c r="B72" s="68" t="s">
        <v>62</v>
      </c>
      <c r="C72" s="66" t="s">
        <v>747</v>
      </c>
      <c r="D72" s="65">
        <v>63755</v>
      </c>
      <c r="E72" s="62">
        <v>40252</v>
      </c>
      <c r="F72" s="63"/>
    </row>
    <row r="73" spans="1:6" ht="14.25" thickTop="1" thickBot="1">
      <c r="A73" s="91" t="str">
        <f>C73</f>
        <v>AGLACIR BATISTA</v>
      </c>
      <c r="B73" s="68" t="s">
        <v>62</v>
      </c>
      <c r="C73" s="66" t="s">
        <v>685</v>
      </c>
      <c r="D73" s="61">
        <v>63225</v>
      </c>
      <c r="E73" s="62">
        <v>41625</v>
      </c>
      <c r="F73" s="63"/>
    </row>
    <row r="74" spans="1:6" ht="14.25" thickTop="1" thickBot="1">
      <c r="A74" s="91"/>
      <c r="B74" s="68" t="s">
        <v>2413</v>
      </c>
      <c r="C74" s="192" t="s">
        <v>685</v>
      </c>
      <c r="D74" s="61">
        <v>63755</v>
      </c>
      <c r="E74" s="62">
        <v>44062</v>
      </c>
      <c r="F74" s="63"/>
    </row>
    <row r="75" spans="1:6" ht="14.25" thickTop="1" thickBot="1">
      <c r="A75" s="91" t="str">
        <f>C75</f>
        <v>AGNALDO DE SOUZA BENEVIDES</v>
      </c>
      <c r="B75" s="68" t="s">
        <v>62</v>
      </c>
      <c r="C75" s="66" t="s">
        <v>1526</v>
      </c>
      <c r="D75" s="65">
        <v>38321</v>
      </c>
      <c r="E75" s="62">
        <v>42543</v>
      </c>
      <c r="F75" s="71"/>
    </row>
    <row r="76" spans="1:6" ht="14.25" thickTop="1" thickBot="1">
      <c r="A76" s="91" t="str">
        <f>C76</f>
        <v>AGNALDO FERREIRA MACHADO         (Tal)</v>
      </c>
      <c r="B76" s="68" t="s">
        <v>3364</v>
      </c>
      <c r="C76" s="64" t="s">
        <v>3341</v>
      </c>
      <c r="D76" s="65">
        <v>63093</v>
      </c>
      <c r="E76" s="62">
        <v>42885</v>
      </c>
      <c r="F76" s="63"/>
    </row>
    <row r="77" spans="1:6" ht="14.25" thickTop="1" thickBot="1">
      <c r="A77" s="91"/>
      <c r="B77" s="68" t="s">
        <v>62</v>
      </c>
      <c r="C77" s="66" t="s">
        <v>375</v>
      </c>
      <c r="D77" s="65">
        <v>27088</v>
      </c>
      <c r="E77" s="62">
        <v>41026</v>
      </c>
      <c r="F77" s="63"/>
    </row>
    <row r="78" spans="1:6" ht="14.25" thickTop="1" thickBot="1">
      <c r="A78" s="91" t="str">
        <f>C78</f>
        <v>AILTON FERNANDES              (Neguinho)</v>
      </c>
      <c r="B78" s="67" t="s">
        <v>1522</v>
      </c>
      <c r="C78" s="66" t="s">
        <v>3118</v>
      </c>
      <c r="D78" s="65">
        <v>63945</v>
      </c>
      <c r="E78" s="62">
        <v>42466</v>
      </c>
      <c r="F78" s="63"/>
    </row>
    <row r="79" spans="1:6" ht="14.25" thickTop="1" thickBot="1">
      <c r="A79" s="91" t="str">
        <f>C79</f>
        <v>AIRTON DE OLIVEIRA                               (Garra/Primo)</v>
      </c>
      <c r="B79" s="67" t="s">
        <v>1522</v>
      </c>
      <c r="C79" s="66" t="s">
        <v>3342</v>
      </c>
      <c r="D79" s="61">
        <v>48059</v>
      </c>
      <c r="E79" s="62">
        <v>40611</v>
      </c>
      <c r="F79" s="63"/>
    </row>
    <row r="80" spans="1:6" ht="14.25" thickTop="1" thickBot="1">
      <c r="A80" s="91" t="str">
        <f>C80</f>
        <v>AIRTON FERREIRA DA SILVA JUNIOR</v>
      </c>
      <c r="B80" s="68" t="s">
        <v>1306</v>
      </c>
      <c r="C80" s="66" t="s">
        <v>1538</v>
      </c>
      <c r="D80" s="67"/>
      <c r="E80" s="62">
        <v>39601</v>
      </c>
      <c r="F80" s="63"/>
    </row>
    <row r="81" spans="1:6" ht="14.25" thickTop="1" thickBot="1">
      <c r="A81" s="91"/>
      <c r="B81" s="68" t="s">
        <v>516</v>
      </c>
      <c r="C81" s="66" t="s">
        <v>1299</v>
      </c>
      <c r="D81" s="61">
        <v>101215</v>
      </c>
      <c r="E81" s="70">
        <v>42283</v>
      </c>
      <c r="F81" s="71"/>
    </row>
    <row r="82" spans="1:6" ht="14.25" thickTop="1" thickBot="1">
      <c r="A82" s="91" t="str">
        <f>C82</f>
        <v>ALAMIR SANDRO DA LUZ</v>
      </c>
      <c r="B82" s="68" t="s">
        <v>62</v>
      </c>
      <c r="C82" s="66" t="s">
        <v>1240</v>
      </c>
      <c r="D82" s="65">
        <v>27067</v>
      </c>
      <c r="E82" s="62">
        <v>41617</v>
      </c>
      <c r="F82" s="63"/>
    </row>
    <row r="83" spans="1:6" ht="14.25" thickTop="1" thickBot="1">
      <c r="A83" s="91"/>
      <c r="B83" s="68" t="s">
        <v>1306</v>
      </c>
      <c r="C83" s="66" t="s">
        <v>714</v>
      </c>
      <c r="D83" s="61">
        <v>139670</v>
      </c>
      <c r="E83" s="62">
        <v>42986</v>
      </c>
      <c r="F83" s="63"/>
    </row>
    <row r="84" spans="1:6" ht="14.25" thickTop="1" thickBot="1">
      <c r="A84" s="91" t="str">
        <f>C84</f>
        <v>ALAN CHRISTOPHER DE ALMEIDA</v>
      </c>
      <c r="B84" s="68" t="s">
        <v>2203</v>
      </c>
      <c r="C84" s="355" t="s">
        <v>2204</v>
      </c>
      <c r="D84" s="592"/>
      <c r="E84" s="62">
        <v>42704</v>
      </c>
      <c r="F84" s="63"/>
    </row>
    <row r="85" spans="1:6" ht="14.25" thickTop="1" thickBot="1">
      <c r="A85" s="91" t="str">
        <f>C85</f>
        <v>ALAN FERNANDO VAZ MARTINS</v>
      </c>
      <c r="B85" s="348" t="s">
        <v>1812</v>
      </c>
      <c r="C85" s="366" t="s">
        <v>1934</v>
      </c>
      <c r="D85" s="598">
        <v>101756</v>
      </c>
      <c r="E85" s="350">
        <v>42201</v>
      </c>
      <c r="F85" s="63"/>
    </row>
    <row r="86" spans="1:6" ht="14.25" thickTop="1" thickBot="1">
      <c r="A86" s="91"/>
      <c r="B86" s="68" t="s">
        <v>2413</v>
      </c>
      <c r="C86" s="66" t="s">
        <v>2152</v>
      </c>
      <c r="D86" s="595">
        <v>142198</v>
      </c>
      <c r="E86" s="62">
        <v>43859</v>
      </c>
      <c r="F86" s="63"/>
    </row>
    <row r="87" spans="1:6" ht="14.25" thickTop="1" thickBot="1">
      <c r="A87" s="91"/>
      <c r="B87" s="352" t="s">
        <v>1812</v>
      </c>
      <c r="C87" s="585" t="s">
        <v>2371</v>
      </c>
      <c r="D87" s="591">
        <v>157724</v>
      </c>
      <c r="E87" s="601">
        <v>43550</v>
      </c>
      <c r="F87" s="63"/>
    </row>
    <row r="88" spans="1:6" ht="14.25" thickTop="1" thickBot="1">
      <c r="A88" s="91" t="str">
        <f>C88</f>
        <v>ALBERTO GREIN</v>
      </c>
      <c r="B88" s="68" t="s">
        <v>62</v>
      </c>
      <c r="C88" s="66" t="s">
        <v>490</v>
      </c>
      <c r="D88" s="65">
        <v>63475</v>
      </c>
      <c r="E88" s="62">
        <v>40016</v>
      </c>
      <c r="F88" s="63"/>
    </row>
    <row r="89" spans="1:6" ht="14.25" thickTop="1" thickBot="1">
      <c r="A89" s="91" t="str">
        <f>C89</f>
        <v>ALBERTO KRUPNISKI             (Dago/Dagoberto)</v>
      </c>
      <c r="B89" s="68" t="s">
        <v>62</v>
      </c>
      <c r="C89" s="64" t="s">
        <v>3343</v>
      </c>
      <c r="D89" s="67"/>
      <c r="E89" s="62">
        <v>39870</v>
      </c>
      <c r="F89" s="63"/>
    </row>
    <row r="90" spans="1:6" ht="14.25" thickTop="1" thickBot="1">
      <c r="A90" s="91" t="str">
        <f>C90</f>
        <v>ALCEU CARVALHO MACEDO</v>
      </c>
      <c r="B90" s="68" t="s">
        <v>62</v>
      </c>
      <c r="C90" s="66" t="s">
        <v>51</v>
      </c>
      <c r="D90" s="65">
        <v>40244</v>
      </c>
      <c r="E90" s="62">
        <v>42061</v>
      </c>
      <c r="F90" s="63"/>
    </row>
    <row r="91" spans="1:6" ht="14.25" thickTop="1" thickBot="1">
      <c r="A91" s="91"/>
      <c r="B91" s="348" t="s">
        <v>2413</v>
      </c>
      <c r="C91" s="589" t="s">
        <v>2432</v>
      </c>
      <c r="D91" s="343">
        <v>104178</v>
      </c>
      <c r="E91" s="350">
        <v>44062</v>
      </c>
      <c r="F91" s="63"/>
    </row>
    <row r="92" spans="1:6" ht="14.25" thickTop="1" thickBot="1">
      <c r="A92" s="91" t="str">
        <f>C92</f>
        <v>ALCEU GONÇALVES DE LIMA</v>
      </c>
      <c r="B92" s="68" t="s">
        <v>62</v>
      </c>
      <c r="C92" s="66" t="s">
        <v>534</v>
      </c>
      <c r="D92" s="67"/>
      <c r="E92" s="62">
        <v>39247</v>
      </c>
      <c r="F92" s="63"/>
    </row>
    <row r="93" spans="1:6" ht="14.25" thickTop="1" thickBot="1">
      <c r="A93" s="91"/>
      <c r="B93" s="352" t="s">
        <v>2406</v>
      </c>
      <c r="C93" s="585" t="s">
        <v>2804</v>
      </c>
      <c r="D93" s="354">
        <v>161874</v>
      </c>
      <c r="E93" s="353">
        <v>44007</v>
      </c>
      <c r="F93" s="63"/>
    </row>
    <row r="94" spans="1:6" ht="14.25" thickTop="1" thickBot="1">
      <c r="A94" s="91" t="str">
        <f>C94</f>
        <v>ALCEU RODAK</v>
      </c>
      <c r="B94" s="68" t="s">
        <v>62</v>
      </c>
      <c r="C94" s="66" t="s">
        <v>1300</v>
      </c>
      <c r="D94" s="69">
        <v>27116</v>
      </c>
      <c r="E94" s="62">
        <v>41080</v>
      </c>
      <c r="F94" s="63"/>
    </row>
    <row r="95" spans="1:6" ht="14.25" thickTop="1" thickBot="1">
      <c r="A95" s="66"/>
      <c r="B95" s="68" t="s">
        <v>62</v>
      </c>
      <c r="C95" s="66" t="s">
        <v>1193</v>
      </c>
      <c r="D95" s="65">
        <v>2165</v>
      </c>
      <c r="E95" s="62">
        <v>41582</v>
      </c>
      <c r="F95" s="63"/>
    </row>
    <row r="96" spans="1:6" ht="14.25" thickTop="1" thickBot="1">
      <c r="A96" s="91" t="str">
        <f>C96</f>
        <v>ALDERICO BARBOSA</v>
      </c>
      <c r="B96" s="68" t="s">
        <v>62</v>
      </c>
      <c r="C96" s="66" t="s">
        <v>205</v>
      </c>
      <c r="D96" s="311" t="s">
        <v>3356</v>
      </c>
      <c r="E96" s="62">
        <v>41271</v>
      </c>
      <c r="F96" s="63"/>
    </row>
    <row r="97" spans="1:6" ht="14.25" thickTop="1" thickBot="1">
      <c r="A97" s="91" t="str">
        <f>C97</f>
        <v>ALDIVIR DE OLIVEIRA</v>
      </c>
      <c r="B97" s="68" t="s">
        <v>516</v>
      </c>
      <c r="C97" s="66" t="s">
        <v>366</v>
      </c>
      <c r="D97" s="61">
        <v>63552</v>
      </c>
      <c r="E97" s="62">
        <v>40028</v>
      </c>
      <c r="F97" s="63"/>
    </row>
    <row r="98" spans="1:6" ht="14.25" thickTop="1" thickBot="1">
      <c r="A98" s="91" t="str">
        <f>C98</f>
        <v>ALDO LUIS DA SILVA</v>
      </c>
      <c r="B98" s="68" t="s">
        <v>62</v>
      </c>
      <c r="C98" s="66" t="s">
        <v>467</v>
      </c>
      <c r="D98" s="65">
        <v>48459</v>
      </c>
      <c r="E98" s="62">
        <v>40183</v>
      </c>
      <c r="F98" s="63"/>
    </row>
    <row r="99" spans="1:6" ht="14.25" thickTop="1" thickBot="1">
      <c r="A99" s="91" t="str">
        <f>C99</f>
        <v>ALEF ARIMATÉIA TIELES SILVA</v>
      </c>
      <c r="B99" s="68" t="s">
        <v>62</v>
      </c>
      <c r="C99" s="66" t="s">
        <v>2214</v>
      </c>
      <c r="D99" s="61">
        <v>123541</v>
      </c>
      <c r="E99" s="62">
        <v>43077</v>
      </c>
      <c r="F99" s="63"/>
    </row>
    <row r="100" spans="1:6" ht="14.25" thickTop="1" thickBot="1">
      <c r="A100" s="91"/>
      <c r="B100" s="68"/>
      <c r="C100" s="332" t="s">
        <v>2671</v>
      </c>
      <c r="D100" s="333">
        <v>130284</v>
      </c>
      <c r="E100" s="70"/>
      <c r="F100" s="71"/>
    </row>
    <row r="101" spans="1:6" ht="14.25" thickTop="1" thickBot="1">
      <c r="A101" s="91" t="str">
        <f t="shared" ref="A101:A108" si="4">C101</f>
        <v>ALESSANDRO APARECIDO FONSECA    (João Grandão)</v>
      </c>
      <c r="B101" s="68" t="s">
        <v>546</v>
      </c>
      <c r="C101" s="66" t="s">
        <v>2896</v>
      </c>
      <c r="D101" s="203">
        <v>98825</v>
      </c>
      <c r="E101" s="204">
        <v>43721</v>
      </c>
      <c r="F101" s="63"/>
    </row>
    <row r="102" spans="1:6" ht="14.25" thickTop="1" thickBot="1">
      <c r="A102" s="91" t="str">
        <f t="shared" si="4"/>
        <v>ALESSANDRO APARECIDO FONSECA    (João Grandão)</v>
      </c>
      <c r="B102" s="68" t="s">
        <v>546</v>
      </c>
      <c r="C102" s="60" t="s">
        <v>2896</v>
      </c>
      <c r="D102" s="61">
        <v>98825</v>
      </c>
      <c r="E102" s="62">
        <v>43357</v>
      </c>
      <c r="F102" s="63"/>
    </row>
    <row r="103" spans="1:6" ht="14.25" thickTop="1" thickBot="1">
      <c r="A103" s="91" t="str">
        <f t="shared" si="4"/>
        <v>ALESSANDRO ARIMATEIA GONÇALVES</v>
      </c>
      <c r="B103" s="68" t="s">
        <v>62</v>
      </c>
      <c r="C103" s="66" t="s">
        <v>840</v>
      </c>
      <c r="D103" s="61">
        <v>7070</v>
      </c>
      <c r="E103" s="70">
        <v>42328</v>
      </c>
      <c r="F103" s="71"/>
    </row>
    <row r="104" spans="1:6" ht="14.25" thickTop="1" thickBot="1">
      <c r="A104" s="91" t="str">
        <f t="shared" si="4"/>
        <v>ALESSANDRO CARNEIRO</v>
      </c>
      <c r="B104" s="68" t="s">
        <v>62</v>
      </c>
      <c r="C104" s="66" t="s">
        <v>346</v>
      </c>
      <c r="D104" s="61">
        <v>104543</v>
      </c>
      <c r="E104" s="70">
        <v>42304</v>
      </c>
      <c r="F104" s="71"/>
    </row>
    <row r="105" spans="1:6" ht="14.25" thickTop="1" thickBot="1">
      <c r="A105" s="91" t="str">
        <f t="shared" si="4"/>
        <v>ALESSANDRO CORDEIRO DA FONSECA</v>
      </c>
      <c r="B105" s="68" t="s">
        <v>415</v>
      </c>
      <c r="C105" s="64" t="s">
        <v>2050</v>
      </c>
      <c r="D105" s="65">
        <v>139700</v>
      </c>
      <c r="E105" s="62">
        <v>43257</v>
      </c>
      <c r="F105" s="76"/>
    </row>
    <row r="106" spans="1:6" ht="14.25" thickTop="1" thickBot="1">
      <c r="A106" s="91" t="str">
        <f t="shared" si="4"/>
        <v>ALESSANDRO CORREA GONÇALVES        (Cabeção)</v>
      </c>
      <c r="B106" s="68" t="s">
        <v>546</v>
      </c>
      <c r="C106" s="66" t="s">
        <v>3344</v>
      </c>
      <c r="D106" s="65">
        <v>48093</v>
      </c>
      <c r="E106" s="73">
        <v>41821</v>
      </c>
      <c r="F106" s="63"/>
    </row>
    <row r="107" spans="1:6" ht="14.25" thickTop="1" thickBot="1">
      <c r="A107" s="91" t="str">
        <f t="shared" si="4"/>
        <v>ALESSANDRO DA SILVA</v>
      </c>
      <c r="B107" s="68" t="s">
        <v>62</v>
      </c>
      <c r="C107" s="66" t="s">
        <v>1022</v>
      </c>
      <c r="D107" s="67"/>
      <c r="E107" s="62">
        <v>41555</v>
      </c>
      <c r="F107" s="63"/>
    </row>
    <row r="108" spans="1:6" ht="14.25" thickTop="1" thickBot="1">
      <c r="A108" s="91" t="str">
        <f t="shared" si="4"/>
        <v>ALESSANDRO EUZEBIO DE OLIVEIRA</v>
      </c>
      <c r="B108" s="68" t="s">
        <v>62</v>
      </c>
      <c r="C108" s="66" t="s">
        <v>994</v>
      </c>
      <c r="D108" s="61">
        <v>27170</v>
      </c>
      <c r="E108" s="70">
        <v>42331</v>
      </c>
      <c r="F108" s="71"/>
    </row>
    <row r="109" spans="1:6" ht="14.25" thickTop="1" thickBot="1">
      <c r="A109" s="91"/>
      <c r="B109" s="68"/>
      <c r="C109" s="332" t="s">
        <v>3441</v>
      </c>
      <c r="D109" s="334">
        <v>162694</v>
      </c>
      <c r="E109" s="70"/>
      <c r="F109" s="71"/>
    </row>
    <row r="110" spans="1:6" ht="14.25" thickTop="1" thickBot="1">
      <c r="A110" s="91" t="str">
        <f>C110</f>
        <v>ALESSANDRO MARCONDES DA SILVA    (Diabólico / Sangés)</v>
      </c>
      <c r="B110" s="68" t="s">
        <v>62</v>
      </c>
      <c r="C110" s="66" t="s">
        <v>2897</v>
      </c>
      <c r="D110" s="67"/>
      <c r="E110" s="62"/>
      <c r="F110" s="63"/>
    </row>
    <row r="111" spans="1:6" ht="14.25" thickTop="1" thickBot="1">
      <c r="A111" s="91" t="str">
        <f>C111</f>
        <v>ALESSANDRO MARCONDES DA SILVA    (Diabólico / Sangés)</v>
      </c>
      <c r="B111" s="61" t="s">
        <v>351</v>
      </c>
      <c r="C111" s="77" t="s">
        <v>2897</v>
      </c>
      <c r="D111" s="61">
        <v>196284</v>
      </c>
      <c r="E111" s="62">
        <v>43383</v>
      </c>
      <c r="F111" s="71"/>
    </row>
    <row r="112" spans="1:6" ht="14.25" thickTop="1" thickBot="1">
      <c r="A112" s="91" t="str">
        <f>C112</f>
        <v>ALESSANDRO MEIRA DOS SANTOS</v>
      </c>
      <c r="B112" s="68" t="s">
        <v>62</v>
      </c>
      <c r="C112" s="64" t="s">
        <v>93</v>
      </c>
      <c r="D112" s="67"/>
      <c r="E112" s="62">
        <v>39904</v>
      </c>
      <c r="F112" s="63"/>
    </row>
    <row r="113" spans="1:6" ht="14.25" thickTop="1" thickBot="1">
      <c r="A113" s="91" t="str">
        <f>C113</f>
        <v>ALEX BARBOSA DA ROSA</v>
      </c>
      <c r="B113" s="68" t="s">
        <v>2347</v>
      </c>
      <c r="C113" s="66" t="s">
        <v>2236</v>
      </c>
      <c r="D113" s="61">
        <v>120053</v>
      </c>
      <c r="E113" s="62">
        <v>43346</v>
      </c>
      <c r="F113" s="63"/>
    </row>
    <row r="114" spans="1:6" ht="14.25" thickTop="1" thickBot="1">
      <c r="A114" s="91"/>
      <c r="B114" s="68" t="s">
        <v>603</v>
      </c>
      <c r="C114" s="196" t="s">
        <v>2693</v>
      </c>
      <c r="D114" s="61"/>
      <c r="E114" s="62"/>
      <c r="F114" s="63"/>
    </row>
    <row r="115" spans="1:6" ht="14.25" thickTop="1" thickBot="1">
      <c r="A115" s="91" t="str">
        <f>C115</f>
        <v>ALEX DIEGO DA SILVA ASSUNÇÃO</v>
      </c>
      <c r="B115" s="68" t="s">
        <v>62</v>
      </c>
      <c r="C115" s="66" t="s">
        <v>1329</v>
      </c>
      <c r="D115" s="67"/>
      <c r="E115" s="62">
        <v>40115</v>
      </c>
      <c r="F115" s="63"/>
    </row>
    <row r="116" spans="1:6" ht="14.25" thickTop="1" thickBot="1">
      <c r="A116" s="91" t="str">
        <f>C116</f>
        <v>ALEX DOS SANTOS</v>
      </c>
      <c r="B116" s="68" t="s">
        <v>62</v>
      </c>
      <c r="C116" s="66" t="s">
        <v>464</v>
      </c>
      <c r="D116" s="61">
        <v>27317</v>
      </c>
      <c r="E116" s="70">
        <v>42488</v>
      </c>
      <c r="F116" s="71"/>
    </row>
    <row r="117" spans="1:6" ht="14.25" thickTop="1" thickBot="1">
      <c r="A117" s="91" t="str">
        <f>C117</f>
        <v>ALEX DOS SANTOS PINHEIRO</v>
      </c>
      <c r="B117" s="68" t="s">
        <v>2347</v>
      </c>
      <c r="C117" s="66" t="s">
        <v>938</v>
      </c>
      <c r="D117" s="61">
        <v>27317</v>
      </c>
      <c r="E117" s="62">
        <v>43346</v>
      </c>
      <c r="F117" s="63"/>
    </row>
    <row r="118" spans="1:6" ht="14.25" thickTop="1" thickBot="1">
      <c r="A118" s="91" t="str">
        <f>C118</f>
        <v>ALEX DOS SANTOS PINHEIRO</v>
      </c>
      <c r="B118" s="68" t="s">
        <v>62</v>
      </c>
      <c r="C118" s="66" t="s">
        <v>938</v>
      </c>
      <c r="D118" s="61">
        <v>101749</v>
      </c>
      <c r="E118" s="70">
        <v>42328</v>
      </c>
      <c r="F118" s="71"/>
    </row>
    <row r="119" spans="1:6" ht="14.25" thickTop="1" thickBot="1">
      <c r="A119" s="324"/>
      <c r="B119" s="68" t="s">
        <v>2413</v>
      </c>
      <c r="C119" s="77" t="s">
        <v>2572</v>
      </c>
      <c r="D119" s="198">
        <v>127025</v>
      </c>
      <c r="E119" s="62">
        <v>44062</v>
      </c>
      <c r="F119" s="63"/>
    </row>
    <row r="120" spans="1:6" ht="14.25" thickTop="1" thickBot="1">
      <c r="A120" s="91" t="str">
        <f t="shared" ref="A120:A131" si="5">C120</f>
        <v>ALEX JOAO MATEUS DE CAMPOS</v>
      </c>
      <c r="B120" s="68" t="s">
        <v>62</v>
      </c>
      <c r="C120" s="66" t="s">
        <v>248</v>
      </c>
      <c r="D120" s="61">
        <v>101622</v>
      </c>
      <c r="E120" s="62">
        <v>42228</v>
      </c>
      <c r="F120" s="63"/>
    </row>
    <row r="121" spans="1:6" ht="14.25" thickTop="1" thickBot="1">
      <c r="A121" s="91" t="str">
        <f t="shared" si="5"/>
        <v>ALEX JOÃO MATEUS DE CAMPOS</v>
      </c>
      <c r="B121" s="165"/>
      <c r="C121" s="66" t="s">
        <v>2223</v>
      </c>
      <c r="D121" s="88">
        <v>101749</v>
      </c>
      <c r="E121" s="70">
        <v>43315</v>
      </c>
      <c r="F121" s="71"/>
    </row>
    <row r="122" spans="1:6" ht="14.25" thickTop="1" thickBot="1">
      <c r="A122" s="91" t="str">
        <f t="shared" si="5"/>
        <v>ALEX JUNIO DE MOURA</v>
      </c>
      <c r="B122" s="68" t="s">
        <v>62</v>
      </c>
      <c r="C122" s="66" t="s">
        <v>1034</v>
      </c>
      <c r="D122" s="67"/>
      <c r="E122" s="62">
        <v>41631</v>
      </c>
      <c r="F122" s="63"/>
    </row>
    <row r="123" spans="1:6" ht="14.25" thickTop="1" thickBot="1">
      <c r="A123" s="91" t="str">
        <f t="shared" si="5"/>
        <v>ALEX JUNIOR DE OLIVEIRA</v>
      </c>
      <c r="B123" s="68" t="s">
        <v>603</v>
      </c>
      <c r="C123" s="66" t="s">
        <v>1005</v>
      </c>
      <c r="D123" s="65">
        <v>63669</v>
      </c>
      <c r="E123" s="62">
        <v>42038</v>
      </c>
      <c r="F123" s="63"/>
    </row>
    <row r="124" spans="1:6" ht="14.25" thickTop="1" thickBot="1">
      <c r="A124" s="91" t="str">
        <f t="shared" si="5"/>
        <v>ALEX RODRIGUES BATISTA                (Lacraia)</v>
      </c>
      <c r="B124" s="68" t="s">
        <v>15</v>
      </c>
      <c r="C124" s="66" t="s">
        <v>3345</v>
      </c>
      <c r="D124" s="61">
        <v>101857</v>
      </c>
      <c r="E124" s="62">
        <v>42327</v>
      </c>
      <c r="F124" s="63"/>
    </row>
    <row r="125" spans="1:6" ht="14.25" thickTop="1" thickBot="1">
      <c r="A125" s="91" t="str">
        <f t="shared" si="5"/>
        <v>ALEX RODRIGUES SOARES</v>
      </c>
      <c r="B125" s="68" t="s">
        <v>62</v>
      </c>
      <c r="C125" s="66" t="s">
        <v>1231</v>
      </c>
      <c r="D125" s="67"/>
      <c r="E125" s="62"/>
      <c r="F125" s="63"/>
    </row>
    <row r="126" spans="1:6" ht="14.25" thickTop="1" thickBot="1">
      <c r="A126" s="91" t="str">
        <f t="shared" si="5"/>
        <v>ALEX SANDRO LUIZ PONTES BRAZ</v>
      </c>
      <c r="B126" s="68" t="s">
        <v>62</v>
      </c>
      <c r="C126" s="64" t="s">
        <v>1266</v>
      </c>
      <c r="D126" s="65">
        <v>52232</v>
      </c>
      <c r="E126" s="62">
        <v>40693</v>
      </c>
      <c r="F126" s="63"/>
    </row>
    <row r="127" spans="1:6" ht="14.25" thickTop="1" thickBot="1">
      <c r="A127" s="91" t="str">
        <f t="shared" si="5"/>
        <v xml:space="preserve">ALEXANDRE AZEVEDO    </v>
      </c>
      <c r="B127" s="68" t="s">
        <v>1306</v>
      </c>
      <c r="C127" s="66" t="s">
        <v>101</v>
      </c>
      <c r="D127" s="65">
        <v>63232</v>
      </c>
      <c r="E127" s="62">
        <v>40243</v>
      </c>
      <c r="F127" s="63"/>
    </row>
    <row r="128" spans="1:6" ht="14.25" thickTop="1" thickBot="1">
      <c r="A128" s="91" t="str">
        <f t="shared" si="5"/>
        <v>ALEXANDRE DA SILVA IRINEU</v>
      </c>
      <c r="B128" s="68" t="s">
        <v>25</v>
      </c>
      <c r="C128" s="66" t="s">
        <v>1520</v>
      </c>
      <c r="D128" s="67"/>
      <c r="E128" s="62">
        <v>39981</v>
      </c>
      <c r="F128" s="63"/>
    </row>
    <row r="129" spans="1:6" ht="14.25" thickTop="1" thickBot="1">
      <c r="A129" s="91" t="str">
        <f t="shared" si="5"/>
        <v>ALEXANDRE DE MELO</v>
      </c>
      <c r="B129" s="348" t="s">
        <v>62</v>
      </c>
      <c r="C129" s="342" t="s">
        <v>61</v>
      </c>
      <c r="D129" s="349">
        <v>11295</v>
      </c>
      <c r="E129" s="350">
        <v>41687</v>
      </c>
      <c r="F129" s="63"/>
    </row>
    <row r="130" spans="1:6" ht="14.25" thickTop="1" thickBot="1">
      <c r="A130" s="91" t="str">
        <f t="shared" si="5"/>
        <v>ALEXANDRE DOS SANTOS</v>
      </c>
      <c r="B130" s="68" t="s">
        <v>62</v>
      </c>
      <c r="C130" s="66" t="s">
        <v>1988</v>
      </c>
      <c r="D130" s="61">
        <v>112788</v>
      </c>
      <c r="E130" s="62">
        <v>43080</v>
      </c>
      <c r="F130" s="63"/>
    </row>
    <row r="131" spans="1:6" ht="14.25" thickTop="1" thickBot="1">
      <c r="A131" s="91" t="str">
        <f t="shared" si="5"/>
        <v>ALEXANDRE DOS SANTOS AMANCIO     (Preá / Xandão)</v>
      </c>
      <c r="B131" s="352" t="s">
        <v>62</v>
      </c>
      <c r="C131" s="484" t="s">
        <v>2898</v>
      </c>
      <c r="D131" s="361">
        <v>63549</v>
      </c>
      <c r="E131" s="353">
        <v>42179</v>
      </c>
      <c r="F131" s="63"/>
    </row>
    <row r="132" spans="1:6" ht="14.25" thickTop="1" thickBot="1">
      <c r="A132" s="91" t="s">
        <v>2633</v>
      </c>
      <c r="B132" s="68" t="s">
        <v>1812</v>
      </c>
      <c r="C132" s="66" t="s">
        <v>3382</v>
      </c>
      <c r="D132" s="61">
        <v>128637</v>
      </c>
      <c r="E132" s="70">
        <v>43970</v>
      </c>
      <c r="F132" s="71"/>
    </row>
    <row r="133" spans="1:6" ht="14.25" thickTop="1" thickBot="1">
      <c r="A133" s="91" t="str">
        <f>C133</f>
        <v>ALEXANDRE FREITAS DOS SANTOS</v>
      </c>
      <c r="B133" s="343" t="s">
        <v>2406</v>
      </c>
      <c r="C133" s="396" t="s">
        <v>2568</v>
      </c>
      <c r="D133" s="343">
        <v>134650</v>
      </c>
      <c r="E133" s="400">
        <v>43504</v>
      </c>
      <c r="F133" s="71"/>
    </row>
    <row r="134" spans="1:6" ht="14.25" thickTop="1" thickBot="1">
      <c r="A134" s="91" t="str">
        <f>C134</f>
        <v>ALEXANDRE GABRIEL PROBST</v>
      </c>
      <c r="B134" s="68" t="s">
        <v>62</v>
      </c>
      <c r="C134" s="66" t="s">
        <v>1344</v>
      </c>
      <c r="D134" s="65">
        <v>63863</v>
      </c>
      <c r="E134" s="62">
        <v>40546</v>
      </c>
      <c r="F134" s="63"/>
    </row>
    <row r="135" spans="1:6" ht="14.25" thickTop="1" thickBot="1">
      <c r="A135" s="91" t="str">
        <f>C135</f>
        <v>ALEXANDRE GODOI</v>
      </c>
      <c r="B135" s="68" t="s">
        <v>62</v>
      </c>
      <c r="C135" s="64" t="s">
        <v>835</v>
      </c>
      <c r="D135" s="65">
        <v>63803</v>
      </c>
      <c r="E135" s="62">
        <v>40269</v>
      </c>
      <c r="F135" s="63"/>
    </row>
    <row r="136" spans="1:6" ht="14.25" thickTop="1" thickBot="1">
      <c r="A136" s="91"/>
      <c r="B136" s="352" t="s">
        <v>2413</v>
      </c>
      <c r="C136" s="341" t="s">
        <v>1953</v>
      </c>
      <c r="D136" s="354">
        <v>108699</v>
      </c>
      <c r="E136" s="353">
        <v>43984</v>
      </c>
      <c r="F136" s="63"/>
    </row>
    <row r="137" spans="1:6" ht="14.25" thickTop="1" thickBot="1">
      <c r="A137" s="91"/>
      <c r="B137" s="68" t="s">
        <v>1812</v>
      </c>
      <c r="C137" s="77" t="s">
        <v>2527</v>
      </c>
      <c r="D137" s="203">
        <v>48327</v>
      </c>
      <c r="E137" s="62">
        <v>43866</v>
      </c>
      <c r="F137" s="63"/>
    </row>
    <row r="138" spans="1:6" ht="14.25" thickTop="1" thickBot="1">
      <c r="A138" s="91" t="s">
        <v>2613</v>
      </c>
      <c r="B138" s="348" t="s">
        <v>2413</v>
      </c>
      <c r="C138" s="342" t="s">
        <v>1805</v>
      </c>
      <c r="D138" s="343">
        <v>24490</v>
      </c>
      <c r="E138" s="350">
        <v>43529</v>
      </c>
      <c r="F138" s="63"/>
    </row>
    <row r="139" spans="1:6" ht="14.25" thickTop="1" thickBot="1">
      <c r="A139" s="91" t="str">
        <f>C139</f>
        <v>ALEXANDRE LUCIO DOS SANTOS</v>
      </c>
      <c r="B139" s="68" t="s">
        <v>62</v>
      </c>
      <c r="C139" s="66" t="s">
        <v>59</v>
      </c>
      <c r="D139" s="311" t="s">
        <v>3357</v>
      </c>
      <c r="E139" s="62">
        <v>40094</v>
      </c>
      <c r="F139" s="63"/>
    </row>
    <row r="140" spans="1:6" ht="14.25" thickTop="1" thickBot="1">
      <c r="A140" s="91" t="str">
        <f>C140</f>
        <v>ALEXANDRE ROBERTO BOITA           (Serpila)</v>
      </c>
      <c r="B140" s="68" t="s">
        <v>62</v>
      </c>
      <c r="C140" s="66" t="s">
        <v>3347</v>
      </c>
      <c r="D140" s="61">
        <v>83454</v>
      </c>
      <c r="E140" s="70">
        <v>42283</v>
      </c>
      <c r="F140" s="71"/>
    </row>
    <row r="141" spans="1:6" ht="14.25" thickTop="1" thickBot="1">
      <c r="A141" s="91" t="s">
        <v>2487</v>
      </c>
      <c r="B141" s="68" t="s">
        <v>1812</v>
      </c>
      <c r="C141" s="66" t="s">
        <v>2824</v>
      </c>
      <c r="D141" s="61">
        <v>111409</v>
      </c>
      <c r="E141" s="62">
        <v>43917</v>
      </c>
      <c r="F141" s="63"/>
    </row>
    <row r="142" spans="1:6" ht="14.25" thickTop="1" thickBot="1">
      <c r="A142" s="91" t="str">
        <f t="shared" ref="A142:A151" si="6">C142</f>
        <v>ALEXANDRO DOS SANTOS                                (Spock)</v>
      </c>
      <c r="B142" s="68" t="s">
        <v>62</v>
      </c>
      <c r="C142" s="66" t="s">
        <v>3346</v>
      </c>
      <c r="D142" s="67"/>
      <c r="E142" s="62">
        <v>39285</v>
      </c>
      <c r="F142" s="63"/>
    </row>
    <row r="143" spans="1:6" ht="14.25" thickTop="1" thickBot="1">
      <c r="A143" s="91" t="str">
        <f t="shared" si="6"/>
        <v>ALEXANDRO MUNIZ DE FREITAS REBEQUE</v>
      </c>
      <c r="B143" s="68" t="s">
        <v>74</v>
      </c>
      <c r="C143" s="66" t="s">
        <v>1301</v>
      </c>
      <c r="D143" s="67"/>
      <c r="E143" s="62">
        <v>39575</v>
      </c>
      <c r="F143" s="63"/>
    </row>
    <row r="144" spans="1:6" ht="14.25" thickTop="1" thickBot="1">
      <c r="A144" s="91" t="str">
        <f t="shared" si="6"/>
        <v>ALEXSANDRO APARECIDO SCHINEIDER</v>
      </c>
      <c r="B144" s="68" t="s">
        <v>62</v>
      </c>
      <c r="C144" s="66" t="s">
        <v>1302</v>
      </c>
      <c r="D144" s="67"/>
      <c r="E144" s="62">
        <v>41417</v>
      </c>
      <c r="F144" s="63"/>
    </row>
    <row r="145" spans="1:6" ht="14.25" thickTop="1" thickBot="1">
      <c r="A145" s="91" t="str">
        <f t="shared" si="6"/>
        <v>ALEXSANDRO FARIAS COSTA</v>
      </c>
      <c r="B145" s="68" t="s">
        <v>546</v>
      </c>
      <c r="C145" s="66" t="s">
        <v>232</v>
      </c>
      <c r="D145" s="61">
        <v>50906</v>
      </c>
      <c r="E145" s="62">
        <v>42621</v>
      </c>
      <c r="F145" s="63"/>
    </row>
    <row r="146" spans="1:6" ht="14.25" thickTop="1" thickBot="1">
      <c r="A146" s="91" t="str">
        <f t="shared" si="6"/>
        <v>ALEXSANDRO GROPPA</v>
      </c>
      <c r="B146" s="68"/>
      <c r="C146" s="66" t="s">
        <v>1747</v>
      </c>
      <c r="D146" s="67"/>
      <c r="E146" s="62">
        <v>41101</v>
      </c>
      <c r="F146" s="63"/>
    </row>
    <row r="147" spans="1:6" ht="14.25" thickTop="1" thickBot="1">
      <c r="A147" s="91" t="str">
        <f t="shared" si="6"/>
        <v>ALEXSANDRO MONTEIRO DA ROSA</v>
      </c>
      <c r="B147" s="68" t="s">
        <v>62</v>
      </c>
      <c r="C147" s="66" t="s">
        <v>1501</v>
      </c>
      <c r="D147" s="67"/>
      <c r="E147" s="62">
        <v>39870</v>
      </c>
      <c r="F147" s="63"/>
    </row>
    <row r="148" spans="1:6" ht="14.25" thickTop="1" thickBot="1">
      <c r="A148" s="91" t="str">
        <f t="shared" si="6"/>
        <v xml:space="preserve">ALEXSANDRO PIENTEK PINHEIRO    </v>
      </c>
      <c r="B148" s="68" t="s">
        <v>546</v>
      </c>
      <c r="C148" s="66" t="s">
        <v>104</v>
      </c>
      <c r="D148" s="67"/>
      <c r="E148" s="62">
        <v>40112</v>
      </c>
      <c r="F148" s="63"/>
    </row>
    <row r="149" spans="1:6" ht="14.25" thickTop="1" thickBot="1">
      <c r="A149" s="91" t="str">
        <f t="shared" si="6"/>
        <v>ALEXSANDRO POLIDORO ROCHA</v>
      </c>
      <c r="B149" s="68" t="s">
        <v>98</v>
      </c>
      <c r="C149" s="66" t="s">
        <v>106</v>
      </c>
      <c r="D149" s="61">
        <v>63785</v>
      </c>
      <c r="E149" s="70">
        <v>42523</v>
      </c>
      <c r="F149" s="75"/>
    </row>
    <row r="150" spans="1:6" ht="14.25" thickTop="1" thickBot="1">
      <c r="A150" s="91" t="str">
        <f t="shared" si="6"/>
        <v>ALEXSANDRO RODRIGUES DE PAULA     (Arainha / Teia)</v>
      </c>
      <c r="B150" s="68" t="s">
        <v>62</v>
      </c>
      <c r="C150" s="114" t="s">
        <v>3348</v>
      </c>
      <c r="D150" s="65"/>
      <c r="E150" s="62">
        <v>42128</v>
      </c>
      <c r="F150" s="63"/>
    </row>
    <row r="151" spans="1:6" ht="14.25" thickTop="1" thickBot="1">
      <c r="A151" s="91" t="str">
        <f t="shared" si="6"/>
        <v>ALEXSANDRO SANTOS DA SILVA</v>
      </c>
      <c r="B151" s="68" t="s">
        <v>1570</v>
      </c>
      <c r="C151" s="66" t="s">
        <v>1619</v>
      </c>
      <c r="D151" s="67"/>
      <c r="E151" s="62">
        <v>39356</v>
      </c>
      <c r="F151" s="63"/>
    </row>
    <row r="152" spans="1:6" ht="14.25" thickTop="1" thickBot="1">
      <c r="A152" s="91"/>
      <c r="B152" s="68" t="s">
        <v>1812</v>
      </c>
      <c r="C152" s="587" t="s">
        <v>3436</v>
      </c>
      <c r="D152" s="61">
        <v>114678</v>
      </c>
      <c r="E152" s="62">
        <v>44134</v>
      </c>
      <c r="F152" s="63"/>
    </row>
    <row r="153" spans="1:6" ht="14.25" thickTop="1" thickBot="1">
      <c r="A153" s="91" t="str">
        <f>C153</f>
        <v>ALFREDO CARLOS DE SOUZA BORBA</v>
      </c>
      <c r="B153" s="68" t="s">
        <v>62</v>
      </c>
      <c r="C153" s="66" t="s">
        <v>1303</v>
      </c>
      <c r="D153" s="67"/>
      <c r="E153" s="62">
        <v>39285</v>
      </c>
      <c r="F153" s="63"/>
    </row>
    <row r="154" spans="1:6" ht="14.25" thickTop="1" thickBot="1">
      <c r="A154" s="91" t="str">
        <f>C154</f>
        <v>ALISSON ADALBERTO MORENO</v>
      </c>
      <c r="B154" s="68" t="s">
        <v>74</v>
      </c>
      <c r="C154" s="66" t="s">
        <v>1304</v>
      </c>
      <c r="D154" s="88"/>
      <c r="E154" s="70">
        <v>42677</v>
      </c>
      <c r="F154" s="71"/>
    </row>
    <row r="155" spans="1:6" ht="14.25" thickTop="1" thickBot="1">
      <c r="A155" s="91"/>
      <c r="B155" s="89" t="s">
        <v>1812</v>
      </c>
      <c r="C155" s="77" t="s">
        <v>2501</v>
      </c>
      <c r="D155" s="61">
        <v>139644</v>
      </c>
      <c r="E155" s="62">
        <v>43927</v>
      </c>
      <c r="F155" s="63"/>
    </row>
    <row r="156" spans="1:6" ht="14.25" thickTop="1" thickBot="1">
      <c r="A156" s="91" t="str">
        <f>C156</f>
        <v>ALISSON DE SOUZA MARTINS</v>
      </c>
      <c r="B156" s="89" t="s">
        <v>126</v>
      </c>
      <c r="C156" s="78" t="s">
        <v>1896</v>
      </c>
      <c r="D156" s="309" t="s">
        <v>3358</v>
      </c>
      <c r="E156" s="62">
        <v>41381</v>
      </c>
      <c r="F156" s="63"/>
    </row>
    <row r="157" spans="1:6" ht="14.25" thickTop="1" thickBot="1">
      <c r="A157" s="91" t="str">
        <f>C157</f>
        <v>ALISSON DE SOUZA MARTINS</v>
      </c>
      <c r="B157" s="89" t="s">
        <v>126</v>
      </c>
      <c r="C157" s="260" t="s">
        <v>1896</v>
      </c>
      <c r="D157" s="594" t="s">
        <v>3358</v>
      </c>
      <c r="E157" s="62">
        <v>43392</v>
      </c>
      <c r="F157" s="63"/>
    </row>
    <row r="158" spans="1:6" ht="14.25" thickTop="1" thickBot="1">
      <c r="A158" s="91"/>
      <c r="B158" s="68" t="s">
        <v>2406</v>
      </c>
      <c r="C158" s="64" t="s">
        <v>2849</v>
      </c>
      <c r="D158" s="61">
        <v>161748</v>
      </c>
      <c r="E158" s="62">
        <v>43791</v>
      </c>
      <c r="F158" s="63"/>
    </row>
    <row r="159" spans="1:6" ht="14.25" thickTop="1" thickBot="1">
      <c r="A159" s="91" t="str">
        <f t="shared" ref="A159:A167" si="7">C159</f>
        <v>ALISSON LUIZ TELES DE SOUZA          (Porvinha)</v>
      </c>
      <c r="B159" s="68" t="s">
        <v>62</v>
      </c>
      <c r="C159" s="66" t="s">
        <v>3349</v>
      </c>
      <c r="D159" s="61">
        <v>104834</v>
      </c>
      <c r="E159" s="62">
        <v>43250</v>
      </c>
      <c r="F159" s="63"/>
    </row>
    <row r="160" spans="1:6" ht="14.25" thickTop="1" thickBot="1">
      <c r="A160" s="91" t="str">
        <f t="shared" si="7"/>
        <v>ALISSON ROBERTO VELOSO        (Rato Branco)</v>
      </c>
      <c r="B160" s="68" t="s">
        <v>1264</v>
      </c>
      <c r="C160" s="66" t="s">
        <v>3350</v>
      </c>
      <c r="D160" s="61">
        <v>3068</v>
      </c>
      <c r="E160" s="62">
        <v>42475</v>
      </c>
      <c r="F160" s="75"/>
    </row>
    <row r="161" spans="1:6" ht="14.25" thickTop="1" thickBot="1">
      <c r="A161" s="91" t="str">
        <f t="shared" si="7"/>
        <v>ALISSON ROGERIO CAMARGO          (Chico)</v>
      </c>
      <c r="B161" s="68" t="s">
        <v>62</v>
      </c>
      <c r="C161" s="66" t="s">
        <v>3351</v>
      </c>
      <c r="D161" s="61">
        <v>127828</v>
      </c>
      <c r="E161" s="62">
        <v>43084</v>
      </c>
      <c r="F161" s="62"/>
    </row>
    <row r="162" spans="1:6" ht="14.25" thickTop="1" thickBot="1">
      <c r="A162" s="91" t="str">
        <f t="shared" si="7"/>
        <v>ALISSON RULIAN BERTASSONI</v>
      </c>
      <c r="B162" s="68" t="s">
        <v>62</v>
      </c>
      <c r="C162" s="66" t="s">
        <v>1042</v>
      </c>
      <c r="D162" s="67"/>
      <c r="E162" s="62">
        <v>42627</v>
      </c>
      <c r="F162" s="63"/>
    </row>
    <row r="163" spans="1:6" ht="14.25" thickTop="1" thickBot="1">
      <c r="A163" s="91" t="str">
        <f t="shared" si="7"/>
        <v xml:space="preserve">ALLAN BRAGA DA SILVA    </v>
      </c>
      <c r="B163" s="68" t="s">
        <v>62</v>
      </c>
      <c r="C163" s="66" t="s">
        <v>1374</v>
      </c>
      <c r="D163" s="65">
        <v>63809</v>
      </c>
      <c r="E163" s="62">
        <v>39518</v>
      </c>
      <c r="F163" s="63"/>
    </row>
    <row r="164" spans="1:6" ht="14.25" thickTop="1" thickBot="1">
      <c r="A164" s="91" t="str">
        <f t="shared" si="7"/>
        <v>ALLAN RICARDO FORTES COSTA</v>
      </c>
      <c r="B164" s="68" t="s">
        <v>62</v>
      </c>
      <c r="C164" s="66" t="s">
        <v>1305</v>
      </c>
      <c r="D164" s="61">
        <v>116718</v>
      </c>
      <c r="E164" s="70">
        <v>42909</v>
      </c>
      <c r="F164" s="71"/>
    </row>
    <row r="165" spans="1:6" ht="14.25" thickTop="1" thickBot="1">
      <c r="A165" s="91" t="str">
        <f t="shared" si="7"/>
        <v>ALLAN VINICIUS DOS SANTOS DA SILVA    (Raji)</v>
      </c>
      <c r="B165" s="68" t="s">
        <v>62</v>
      </c>
      <c r="C165" s="66" t="s">
        <v>2899</v>
      </c>
      <c r="D165" s="65">
        <v>63915</v>
      </c>
      <c r="E165" s="62">
        <v>40590</v>
      </c>
      <c r="F165" s="63"/>
    </row>
    <row r="166" spans="1:6" ht="14.25" thickTop="1" thickBot="1">
      <c r="A166" s="91" t="str">
        <f t="shared" si="7"/>
        <v>ALMIR ASSIS PADILAVS</v>
      </c>
      <c r="B166" s="68" t="s">
        <v>62</v>
      </c>
      <c r="C166" s="66" t="s">
        <v>1251</v>
      </c>
      <c r="D166" s="67"/>
      <c r="E166" s="62">
        <v>39255</v>
      </c>
      <c r="F166" s="63"/>
    </row>
    <row r="167" spans="1:6" ht="14.25" thickTop="1" thickBot="1">
      <c r="A167" s="91" t="str">
        <f t="shared" si="7"/>
        <v>ALMIR CORREA</v>
      </c>
      <c r="B167" s="68" t="s">
        <v>1306</v>
      </c>
      <c r="C167" s="66" t="s">
        <v>1307</v>
      </c>
      <c r="D167" s="61">
        <v>27320</v>
      </c>
      <c r="E167" s="62">
        <v>42342</v>
      </c>
      <c r="F167" s="63"/>
    </row>
    <row r="168" spans="1:6" ht="14.25" thickTop="1" thickBot="1">
      <c r="A168" s="91" t="s">
        <v>2447</v>
      </c>
      <c r="B168" s="68" t="s">
        <v>2820</v>
      </c>
      <c r="C168" s="60" t="s">
        <v>2447</v>
      </c>
      <c r="D168" s="61">
        <v>61490</v>
      </c>
      <c r="E168" s="62">
        <v>43713</v>
      </c>
      <c r="F168" s="63"/>
    </row>
    <row r="169" spans="1:6" ht="14.25" thickTop="1" thickBot="1">
      <c r="A169" s="91" t="str">
        <f>C169</f>
        <v>ALTAIR RODRIGUES</v>
      </c>
      <c r="B169" s="68" t="s">
        <v>62</v>
      </c>
      <c r="C169" s="66" t="s">
        <v>788</v>
      </c>
      <c r="D169" s="65">
        <v>27029</v>
      </c>
      <c r="E169" s="62">
        <v>41961</v>
      </c>
      <c r="F169" s="63"/>
    </row>
    <row r="170" spans="1:6" ht="14.25" thickTop="1" thickBot="1">
      <c r="A170" s="91" t="str">
        <f>C170</f>
        <v>ALTAIR TEIXEIRA PINTO</v>
      </c>
      <c r="B170" s="68" t="s">
        <v>62</v>
      </c>
      <c r="C170" s="66" t="s">
        <v>304</v>
      </c>
      <c r="D170" s="65">
        <v>27319</v>
      </c>
      <c r="E170" s="62">
        <v>41830</v>
      </c>
      <c r="F170" s="63"/>
    </row>
    <row r="171" spans="1:6" ht="14.25" thickTop="1" thickBot="1">
      <c r="A171" s="91" t="str">
        <f>C171</f>
        <v>ALTAMIR RODRIGUES</v>
      </c>
      <c r="B171" s="68" t="s">
        <v>15</v>
      </c>
      <c r="C171" s="66" t="s">
        <v>971</v>
      </c>
      <c r="D171" s="65">
        <v>101860</v>
      </c>
      <c r="E171" s="62">
        <v>42038</v>
      </c>
      <c r="F171" s="63"/>
    </row>
    <row r="172" spans="1:6" ht="14.25" thickTop="1" thickBot="1">
      <c r="A172" s="91" t="str">
        <f>C173</f>
        <v>ALTHIERES GALDINO DOS SANTOS</v>
      </c>
      <c r="B172" s="68" t="s">
        <v>2413</v>
      </c>
      <c r="C172" s="64" t="s">
        <v>1824</v>
      </c>
      <c r="D172" s="65">
        <v>126794</v>
      </c>
      <c r="E172" s="70">
        <v>43720</v>
      </c>
      <c r="F172" s="75"/>
    </row>
    <row r="173" spans="1:6" ht="14.25" thickTop="1" thickBot="1">
      <c r="A173" s="91" t="str">
        <f>C173</f>
        <v>ALTHIERES GALDINO DOS SANTOS</v>
      </c>
      <c r="B173" s="68" t="s">
        <v>15</v>
      </c>
      <c r="C173" s="66" t="s">
        <v>480</v>
      </c>
      <c r="D173" s="65">
        <v>56547</v>
      </c>
      <c r="E173" s="62">
        <v>40319</v>
      </c>
      <c r="F173" s="63"/>
    </row>
    <row r="174" spans="1:6" ht="14.25" thickTop="1" thickBot="1">
      <c r="A174" s="91" t="str">
        <f>C174</f>
        <v>ALTIERI FERNANDO DE JESUS         (Tchez)</v>
      </c>
      <c r="B174" s="68" t="s">
        <v>62</v>
      </c>
      <c r="C174" s="66" t="s">
        <v>3119</v>
      </c>
      <c r="D174" s="65">
        <v>63427</v>
      </c>
      <c r="E174" s="62">
        <v>40196</v>
      </c>
      <c r="F174" s="63"/>
    </row>
    <row r="175" spans="1:6" ht="14.25" thickTop="1" thickBot="1">
      <c r="A175" s="91" t="str">
        <f>C175</f>
        <v>ALVANDIR DE MELO</v>
      </c>
      <c r="B175" s="68" t="s">
        <v>62</v>
      </c>
      <c r="C175" s="66" t="s">
        <v>200</v>
      </c>
      <c r="D175" s="67"/>
      <c r="E175" s="62">
        <v>39241</v>
      </c>
      <c r="F175" s="63"/>
    </row>
    <row r="176" spans="1:6" ht="14.25" thickTop="1" thickBot="1">
      <c r="A176" s="91" t="str">
        <f>C176</f>
        <v>ALVARO MARTINS MACEDO</v>
      </c>
      <c r="B176" s="68" t="s">
        <v>1306</v>
      </c>
      <c r="C176" s="66" t="s">
        <v>1308</v>
      </c>
      <c r="D176" s="65">
        <v>27018</v>
      </c>
      <c r="E176" s="62">
        <v>40674</v>
      </c>
      <c r="F176" s="63"/>
    </row>
    <row r="177" spans="1:6" ht="14.25" thickTop="1" thickBot="1">
      <c r="A177" s="91" t="s">
        <v>1669</v>
      </c>
      <c r="B177" s="68" t="s">
        <v>2413</v>
      </c>
      <c r="C177" s="64" t="s">
        <v>1669</v>
      </c>
      <c r="D177" s="65">
        <v>119346</v>
      </c>
      <c r="E177" s="62"/>
      <c r="F177" s="63"/>
    </row>
    <row r="178" spans="1:6" ht="14.25" thickTop="1" thickBot="1">
      <c r="A178" s="91" t="s">
        <v>2631</v>
      </c>
      <c r="B178" s="68" t="s">
        <v>2413</v>
      </c>
      <c r="C178" s="64" t="s">
        <v>2631</v>
      </c>
      <c r="D178" s="65">
        <v>101962</v>
      </c>
      <c r="E178" s="62"/>
      <c r="F178" s="63"/>
    </row>
    <row r="179" spans="1:6" ht="14.25" thickTop="1" thickBot="1">
      <c r="A179" s="91" t="str">
        <f t="shared" ref="A179:A187" si="8">C179</f>
        <v>AMARAL BATISTA DE OLIVEIRA</v>
      </c>
      <c r="B179" s="68" t="s">
        <v>62</v>
      </c>
      <c r="C179" s="64" t="s">
        <v>796</v>
      </c>
      <c r="D179" s="67"/>
      <c r="E179" s="62">
        <v>40581</v>
      </c>
      <c r="F179" s="63"/>
    </row>
    <row r="180" spans="1:6" ht="14.25" thickTop="1" thickBot="1">
      <c r="A180" s="91" t="str">
        <f t="shared" si="8"/>
        <v>AMARILDO DE OLIVEIRA</v>
      </c>
      <c r="B180" s="68" t="s">
        <v>62</v>
      </c>
      <c r="C180" s="64" t="s">
        <v>776</v>
      </c>
      <c r="D180" s="65">
        <v>63780</v>
      </c>
      <c r="E180" s="62">
        <v>40716</v>
      </c>
      <c r="F180" s="63"/>
    </row>
    <row r="181" spans="1:6" ht="14.25" thickTop="1" thickBot="1">
      <c r="A181" s="91" t="str">
        <f t="shared" si="8"/>
        <v>AMARILDO RODRIGUES DA SILVA</v>
      </c>
      <c r="B181" s="68" t="s">
        <v>62</v>
      </c>
      <c r="C181" s="64" t="s">
        <v>1141</v>
      </c>
      <c r="D181" s="67"/>
      <c r="E181" s="62">
        <v>39598</v>
      </c>
      <c r="F181" s="63"/>
    </row>
    <row r="182" spans="1:6" ht="14.25" thickTop="1" thickBot="1">
      <c r="A182" s="91" t="str">
        <f t="shared" si="8"/>
        <v>AMAURI MENDES DOS SANTOS</v>
      </c>
      <c r="B182" s="68" t="s">
        <v>1306</v>
      </c>
      <c r="C182" s="66" t="s">
        <v>1309</v>
      </c>
      <c r="D182" s="65">
        <v>63837</v>
      </c>
      <c r="E182" s="62">
        <v>40689</v>
      </c>
      <c r="F182" s="63"/>
    </row>
    <row r="183" spans="1:6" ht="14.25" thickTop="1" thickBot="1">
      <c r="A183" s="91" t="str">
        <f t="shared" si="8"/>
        <v>AMAURI ROBERTO RAMOS JUNIOR</v>
      </c>
      <c r="B183" s="68" t="s">
        <v>62</v>
      </c>
      <c r="C183" s="66" t="s">
        <v>100</v>
      </c>
      <c r="D183" s="61">
        <v>101334</v>
      </c>
      <c r="E183" s="70">
        <v>42492</v>
      </c>
      <c r="F183" s="71"/>
    </row>
    <row r="184" spans="1:6" ht="14.25" thickTop="1" thickBot="1">
      <c r="A184" s="91" t="str">
        <f t="shared" si="8"/>
        <v>AMAURI ROZARIO</v>
      </c>
      <c r="B184" s="68" t="s">
        <v>62</v>
      </c>
      <c r="C184" s="66" t="s">
        <v>1085</v>
      </c>
      <c r="D184" s="67"/>
      <c r="E184" s="62">
        <v>41417</v>
      </c>
      <c r="F184" s="63"/>
    </row>
    <row r="185" spans="1:6" ht="14.25" thickTop="1" thickBot="1">
      <c r="A185" s="91" t="str">
        <f t="shared" si="8"/>
        <v>AMILTON CELSO POSSIDONIO</v>
      </c>
      <c r="B185" s="68" t="s">
        <v>238</v>
      </c>
      <c r="C185" s="66" t="s">
        <v>239</v>
      </c>
      <c r="D185" s="67"/>
      <c r="E185" s="62">
        <v>39961</v>
      </c>
      <c r="F185" s="63"/>
    </row>
    <row r="186" spans="1:6" ht="14.25" thickTop="1" thickBot="1">
      <c r="A186" s="91" t="str">
        <f t="shared" si="8"/>
        <v>AMILTON PAES DE CAMARGO</v>
      </c>
      <c r="B186" s="68" t="s">
        <v>62</v>
      </c>
      <c r="C186" s="66" t="s">
        <v>81</v>
      </c>
      <c r="D186" s="67"/>
      <c r="E186" s="62">
        <v>39603</v>
      </c>
      <c r="F186" s="63"/>
    </row>
    <row r="187" spans="1:6" ht="14.25" thickTop="1" thickBot="1">
      <c r="A187" s="91" t="str">
        <f t="shared" si="8"/>
        <v>AMILTON VALENGA</v>
      </c>
      <c r="B187" s="68" t="s">
        <v>62</v>
      </c>
      <c r="C187" s="64" t="s">
        <v>1310</v>
      </c>
      <c r="D187" s="312">
        <v>63580</v>
      </c>
      <c r="E187" s="62">
        <v>40491</v>
      </c>
      <c r="F187" s="63"/>
    </row>
    <row r="188" spans="1:6" ht="14.25" thickTop="1" thickBot="1">
      <c r="A188" s="91"/>
      <c r="B188" s="68" t="s">
        <v>62</v>
      </c>
      <c r="C188" s="66" t="s">
        <v>2777</v>
      </c>
      <c r="D188" s="67"/>
      <c r="E188" s="62"/>
      <c r="F188" s="63"/>
    </row>
    <row r="189" spans="1:6" ht="14.25" thickTop="1" thickBot="1">
      <c r="A189" s="91" t="s">
        <v>2349</v>
      </c>
      <c r="B189" s="68" t="s">
        <v>126</v>
      </c>
      <c r="C189" s="60" t="s">
        <v>2349</v>
      </c>
      <c r="D189" s="61">
        <v>134309</v>
      </c>
      <c r="E189" s="62">
        <v>43392</v>
      </c>
      <c r="F189" s="63"/>
    </row>
    <row r="190" spans="1:6" ht="14.25" thickTop="1" thickBot="1">
      <c r="A190" s="91" t="str">
        <f>C190</f>
        <v>ANDERSON APARECIDO DOS SANTOS</v>
      </c>
      <c r="B190" s="68" t="s">
        <v>846</v>
      </c>
      <c r="C190" s="66" t="s">
        <v>107</v>
      </c>
      <c r="D190" s="65"/>
      <c r="E190" s="62">
        <v>42703</v>
      </c>
      <c r="F190" s="63"/>
    </row>
    <row r="191" spans="1:6" ht="14.25" thickTop="1" thickBot="1">
      <c r="A191" s="91" t="str">
        <f>C191</f>
        <v>ANDERSON APARECIDO GASPAR</v>
      </c>
      <c r="B191" s="68" t="s">
        <v>62</v>
      </c>
      <c r="C191" s="78" t="s">
        <v>1907</v>
      </c>
      <c r="D191" s="172">
        <v>55717</v>
      </c>
      <c r="E191" s="62">
        <v>43154</v>
      </c>
      <c r="F191" s="63"/>
    </row>
    <row r="192" spans="1:6" ht="14.25" thickTop="1" thickBot="1">
      <c r="A192" s="91"/>
      <c r="B192" s="68" t="s">
        <v>1812</v>
      </c>
      <c r="C192" s="66" t="s">
        <v>1907</v>
      </c>
      <c r="D192" s="65">
        <v>27002</v>
      </c>
      <c r="E192" s="62">
        <v>40763</v>
      </c>
      <c r="F192" s="63"/>
    </row>
    <row r="193" spans="1:6" ht="14.25" thickTop="1" thickBot="1">
      <c r="A193" s="91" t="str">
        <f>C203</f>
        <v>ANDERSON DO CARMO SARAIVA</v>
      </c>
      <c r="B193" s="68" t="s">
        <v>2413</v>
      </c>
      <c r="C193" s="66" t="s">
        <v>2644</v>
      </c>
      <c r="D193" s="61">
        <v>394789</v>
      </c>
      <c r="E193" s="62">
        <v>44126</v>
      </c>
      <c r="F193" s="63"/>
    </row>
    <row r="194" spans="1:6" ht="14.25" thickTop="1" thickBot="1">
      <c r="A194" s="91" t="str">
        <f>C194</f>
        <v>ANDERSON BODIN CARVALHO        (Mancha)</v>
      </c>
      <c r="B194" s="68" t="s">
        <v>25</v>
      </c>
      <c r="C194" s="64" t="s">
        <v>3120</v>
      </c>
      <c r="D194" s="65">
        <v>27297</v>
      </c>
      <c r="E194" s="62">
        <v>42590</v>
      </c>
      <c r="F194" s="63"/>
    </row>
    <row r="195" spans="1:6" ht="14.25" thickTop="1" thickBot="1">
      <c r="A195" s="91" t="str">
        <f>C195</f>
        <v>ANDERSON CARLOS DE OLIVEIRA</v>
      </c>
      <c r="B195" s="68" t="s">
        <v>62</v>
      </c>
      <c r="C195" s="64" t="s">
        <v>1801</v>
      </c>
      <c r="D195" s="67"/>
      <c r="E195" s="62">
        <v>39478</v>
      </c>
      <c r="F195" s="63"/>
    </row>
    <row r="196" spans="1:6" ht="14.25" thickTop="1" thickBot="1">
      <c r="A196" s="91" t="str">
        <f>C196</f>
        <v>ANDERSON CARTES</v>
      </c>
      <c r="B196" s="68" t="s">
        <v>62</v>
      </c>
      <c r="C196" s="66" t="s">
        <v>1311</v>
      </c>
      <c r="D196" s="65">
        <v>63621</v>
      </c>
      <c r="E196" s="62">
        <v>40008</v>
      </c>
      <c r="F196" s="63"/>
    </row>
    <row r="197" spans="1:6" ht="14.25" thickTop="1" thickBot="1">
      <c r="A197" s="91" t="str">
        <f>C197</f>
        <v>ANDERSON CAVALI                          (Bruxo / G.P.)</v>
      </c>
      <c r="B197" s="68" t="s">
        <v>62</v>
      </c>
      <c r="C197" s="66" t="s">
        <v>3121</v>
      </c>
      <c r="D197" s="65">
        <v>63953</v>
      </c>
      <c r="E197" s="62">
        <v>40878</v>
      </c>
      <c r="F197" s="63"/>
    </row>
    <row r="198" spans="1:6" ht="14.25" thickTop="1" thickBot="1">
      <c r="A198" s="91" t="str">
        <f>C198</f>
        <v>ANDERSON CORDEIRO DE ARRUDA</v>
      </c>
      <c r="B198" s="68" t="s">
        <v>62</v>
      </c>
      <c r="C198" s="66" t="s">
        <v>225</v>
      </c>
      <c r="D198" s="61">
        <v>27100</v>
      </c>
      <c r="E198" s="62">
        <v>42464</v>
      </c>
      <c r="F198" s="63"/>
    </row>
    <row r="199" spans="1:6" ht="14.25" thickTop="1" thickBot="1">
      <c r="A199" s="91" t="s">
        <v>3391</v>
      </c>
      <c r="B199" s="68" t="s">
        <v>2413</v>
      </c>
      <c r="C199" s="78" t="s">
        <v>3385</v>
      </c>
      <c r="D199" s="61">
        <v>7112</v>
      </c>
      <c r="E199" s="62">
        <v>43859</v>
      </c>
      <c r="F199" s="63"/>
    </row>
    <row r="200" spans="1:6" ht="14.25" thickTop="1" thickBot="1">
      <c r="A200" s="91" t="str">
        <f>C200</f>
        <v>ANDERSON DE ALMEIDA                   (Fanho)</v>
      </c>
      <c r="B200" s="68" t="s">
        <v>62</v>
      </c>
      <c r="C200" s="66" t="s">
        <v>3122</v>
      </c>
      <c r="D200" s="312">
        <v>63834</v>
      </c>
      <c r="E200" s="62">
        <v>40283</v>
      </c>
      <c r="F200" s="63"/>
    </row>
    <row r="201" spans="1:6" ht="14.25" thickTop="1" thickBot="1">
      <c r="A201" s="91" t="str">
        <f>C201</f>
        <v>ANDERSON DE ANDRADE</v>
      </c>
      <c r="B201" s="68" t="s">
        <v>1253</v>
      </c>
      <c r="C201" s="64" t="s">
        <v>199</v>
      </c>
      <c r="D201" s="88">
        <v>27056</v>
      </c>
      <c r="E201" s="70">
        <v>42320</v>
      </c>
      <c r="F201" s="71"/>
    </row>
    <row r="202" spans="1:6" ht="14.25" thickTop="1" thickBot="1">
      <c r="A202" s="91" t="s">
        <v>2171</v>
      </c>
      <c r="B202" s="68" t="s">
        <v>2413</v>
      </c>
      <c r="C202" s="66" t="s">
        <v>2171</v>
      </c>
      <c r="D202" s="61">
        <v>142703</v>
      </c>
      <c r="E202" s="62">
        <v>43529</v>
      </c>
      <c r="F202" s="63"/>
    </row>
    <row r="203" spans="1:6" ht="14.25" thickTop="1" thickBot="1">
      <c r="A203" s="91" t="str">
        <f>C203</f>
        <v>ANDERSON DO CARMO SARAIVA</v>
      </c>
      <c r="B203" s="68" t="s">
        <v>1306</v>
      </c>
      <c r="C203" s="78" t="s">
        <v>1697</v>
      </c>
      <c r="D203" s="72"/>
      <c r="E203" s="62">
        <v>40728</v>
      </c>
      <c r="F203" s="63"/>
    </row>
    <row r="204" spans="1:6" ht="14.25" thickTop="1" thickBot="1">
      <c r="A204" s="91" t="s">
        <v>2625</v>
      </c>
      <c r="B204" s="68" t="s">
        <v>2413</v>
      </c>
      <c r="C204" s="194" t="s">
        <v>2625</v>
      </c>
      <c r="D204" s="61">
        <v>164569</v>
      </c>
      <c r="E204" s="62">
        <v>43767</v>
      </c>
      <c r="F204" s="63"/>
    </row>
    <row r="205" spans="1:6" ht="14.25" thickTop="1" thickBot="1">
      <c r="A205" s="91" t="str">
        <f>C205</f>
        <v>ANDERSON DOS SANTOS SILVA</v>
      </c>
      <c r="B205" s="68" t="s">
        <v>62</v>
      </c>
      <c r="C205" s="66" t="s">
        <v>929</v>
      </c>
      <c r="D205" s="65">
        <v>42986</v>
      </c>
      <c r="E205" s="62">
        <v>40532</v>
      </c>
      <c r="F205" s="171" t="s">
        <v>1624</v>
      </c>
    </row>
    <row r="206" spans="1:6" ht="14.25" thickTop="1" thickBot="1">
      <c r="A206" s="91" t="str">
        <f>C206</f>
        <v>ANDERSON FERREIRA CARVALHO</v>
      </c>
      <c r="B206" s="68" t="s">
        <v>62</v>
      </c>
      <c r="C206" s="66" t="s">
        <v>1269</v>
      </c>
      <c r="D206" s="67"/>
      <c r="E206" s="62"/>
      <c r="F206" s="63"/>
    </row>
    <row r="207" spans="1:6" ht="14.25" thickTop="1" thickBot="1">
      <c r="A207" s="91" t="s">
        <v>2412</v>
      </c>
      <c r="B207" s="68" t="s">
        <v>2413</v>
      </c>
      <c r="C207" s="64" t="s">
        <v>2412</v>
      </c>
      <c r="D207" s="65">
        <v>54407</v>
      </c>
      <c r="E207" s="62"/>
      <c r="F207" s="63"/>
    </row>
    <row r="208" spans="1:6" ht="14.25" thickTop="1" thickBot="1">
      <c r="A208" s="91" t="s">
        <v>2610</v>
      </c>
      <c r="B208" s="68" t="s">
        <v>2406</v>
      </c>
      <c r="C208" s="66" t="s">
        <v>2532</v>
      </c>
      <c r="D208" s="61">
        <v>122766</v>
      </c>
      <c r="E208" s="62">
        <v>43529</v>
      </c>
      <c r="F208" s="63"/>
    </row>
    <row r="209" spans="1:6" ht="14.25" thickTop="1" thickBot="1">
      <c r="A209" s="91" t="str">
        <f>C209</f>
        <v>ANDERSON FERREIRA SCHEUNEMANN (Carção)</v>
      </c>
      <c r="B209" s="68" t="s">
        <v>2406</v>
      </c>
      <c r="C209" s="60" t="s">
        <v>2532</v>
      </c>
      <c r="D209" s="226">
        <v>122766</v>
      </c>
      <c r="E209" s="70">
        <v>43539</v>
      </c>
      <c r="F209" s="71"/>
    </row>
    <row r="210" spans="1:6" ht="14.25" thickTop="1" thickBot="1">
      <c r="A210" s="193"/>
      <c r="B210" s="68" t="s">
        <v>546</v>
      </c>
      <c r="C210" s="64" t="s">
        <v>503</v>
      </c>
      <c r="D210" s="65">
        <v>78527</v>
      </c>
      <c r="E210" s="62">
        <v>42433</v>
      </c>
      <c r="F210" s="63"/>
    </row>
    <row r="211" spans="1:6" ht="14.25" thickTop="1" thickBot="1">
      <c r="A211" s="91" t="str">
        <f>C211</f>
        <v>ANDERSON GOBBI FERREIRA</v>
      </c>
      <c r="B211" s="68" t="s">
        <v>126</v>
      </c>
      <c r="C211" s="66" t="s">
        <v>1744</v>
      </c>
      <c r="D211" s="67"/>
      <c r="E211" s="62">
        <v>39234</v>
      </c>
      <c r="F211" s="63"/>
    </row>
    <row r="212" spans="1:6" ht="14.25" thickTop="1" thickBot="1">
      <c r="A212" s="91"/>
      <c r="B212" s="68" t="s">
        <v>1264</v>
      </c>
      <c r="C212" s="327" t="s">
        <v>2186</v>
      </c>
      <c r="D212" s="61">
        <v>257025</v>
      </c>
      <c r="E212" s="62">
        <v>43928</v>
      </c>
      <c r="F212" s="63"/>
    </row>
    <row r="213" spans="1:6" ht="14.25" thickTop="1" thickBot="1">
      <c r="A213" s="91" t="str">
        <f>C213</f>
        <v>ANDERSON GONÇALVES DA SILVA</v>
      </c>
      <c r="B213" s="68" t="s">
        <v>2347</v>
      </c>
      <c r="C213" s="66" t="s">
        <v>2186</v>
      </c>
      <c r="D213" s="61">
        <v>142861</v>
      </c>
      <c r="E213" s="62">
        <v>43346</v>
      </c>
      <c r="F213" s="63"/>
    </row>
    <row r="214" spans="1:6" ht="14.25" thickTop="1" thickBot="1">
      <c r="A214" s="91" t="str">
        <f>C214</f>
        <v>ANDERSON JHONI TRINDADE</v>
      </c>
      <c r="B214" s="68" t="s">
        <v>1306</v>
      </c>
      <c r="C214" s="66" t="s">
        <v>1312</v>
      </c>
      <c r="D214" s="65">
        <v>54189</v>
      </c>
      <c r="E214" s="62">
        <v>41646</v>
      </c>
      <c r="F214" s="63"/>
    </row>
    <row r="215" spans="1:6" ht="14.25" thickTop="1" thickBot="1">
      <c r="A215" s="216"/>
      <c r="B215" s="68" t="s">
        <v>1812</v>
      </c>
      <c r="C215" s="66" t="s">
        <v>3490</v>
      </c>
      <c r="D215" s="61">
        <v>127471</v>
      </c>
      <c r="E215" s="62">
        <v>43987</v>
      </c>
      <c r="F215" s="63"/>
    </row>
    <row r="216" spans="1:6" ht="14.25" thickTop="1" thickBot="1">
      <c r="A216" s="91" t="str">
        <f>C216</f>
        <v>ANDERSON JOSE DOS SANTOS              (Nego Sete)</v>
      </c>
      <c r="B216" s="61" t="s">
        <v>2413</v>
      </c>
      <c r="C216" s="77" t="s">
        <v>3123</v>
      </c>
      <c r="D216" s="61">
        <v>127471</v>
      </c>
      <c r="E216" s="62">
        <v>43528</v>
      </c>
      <c r="F216" s="71"/>
    </row>
    <row r="217" spans="1:6" ht="14.25" thickTop="1" thickBot="1">
      <c r="A217" s="91"/>
      <c r="B217" s="61" t="s">
        <v>3630</v>
      </c>
      <c r="C217" s="60" t="s">
        <v>2508</v>
      </c>
      <c r="D217" s="61">
        <v>162556</v>
      </c>
      <c r="E217" s="70">
        <v>44123</v>
      </c>
      <c r="F217" s="395"/>
    </row>
    <row r="218" spans="1:6" ht="14.25" thickTop="1" thickBot="1">
      <c r="A218" s="91" t="s">
        <v>2360</v>
      </c>
      <c r="B218" s="61" t="s">
        <v>3630</v>
      </c>
      <c r="C218" s="60" t="s">
        <v>2509</v>
      </c>
      <c r="D218" s="61">
        <v>162554</v>
      </c>
      <c r="E218" s="70">
        <v>44123</v>
      </c>
      <c r="F218" s="395"/>
    </row>
    <row r="219" spans="1:6" ht="14.25" thickTop="1" thickBot="1">
      <c r="A219" s="91"/>
      <c r="B219" s="68" t="s">
        <v>62</v>
      </c>
      <c r="C219" s="66" t="s">
        <v>980</v>
      </c>
      <c r="D219" s="67"/>
      <c r="E219" s="62">
        <v>41555</v>
      </c>
      <c r="F219" s="63"/>
    </row>
    <row r="220" spans="1:6" ht="14.25" thickTop="1" thickBot="1">
      <c r="A220" s="91" t="str">
        <f>C220</f>
        <v>ANDERSON LUIS ROMUALDO DA CRUZ</v>
      </c>
      <c r="B220" s="68" t="s">
        <v>62</v>
      </c>
      <c r="C220" s="66" t="s">
        <v>1750</v>
      </c>
      <c r="D220" s="65"/>
      <c r="E220" s="62">
        <v>43648</v>
      </c>
      <c r="F220" s="63"/>
    </row>
    <row r="221" spans="1:6" ht="14.25" thickTop="1" thickBot="1">
      <c r="A221" s="77" t="s">
        <v>2549</v>
      </c>
      <c r="B221" s="68" t="s">
        <v>2593</v>
      </c>
      <c r="C221" s="77" t="s">
        <v>3124</v>
      </c>
      <c r="D221" s="198">
        <v>63596</v>
      </c>
      <c r="E221" s="62">
        <v>43524</v>
      </c>
      <c r="F221" s="63"/>
    </row>
    <row r="222" spans="1:6" ht="14.25" thickTop="1" thickBot="1">
      <c r="A222" s="91" t="str">
        <f t="shared" ref="A222:A228" si="9">C222</f>
        <v>ANDERSON LUIZ DE OLIVEIRA</v>
      </c>
      <c r="B222" s="68" t="s">
        <v>62</v>
      </c>
      <c r="C222" s="66" t="s">
        <v>1272</v>
      </c>
      <c r="D222" s="61">
        <v>4605</v>
      </c>
      <c r="E222" s="70">
        <v>42691</v>
      </c>
      <c r="F222" s="71"/>
    </row>
    <row r="223" spans="1:6" ht="14.25" thickTop="1" thickBot="1">
      <c r="A223" s="91" t="str">
        <f t="shared" si="9"/>
        <v>ANDERSON LUIZ SAMPAIO         ( Neguinho )</v>
      </c>
      <c r="B223" s="68" t="s">
        <v>1306</v>
      </c>
      <c r="C223" s="66" t="s">
        <v>3125</v>
      </c>
      <c r="D223" s="61">
        <v>4605</v>
      </c>
      <c r="E223" s="70">
        <v>43355</v>
      </c>
      <c r="F223" s="71"/>
    </row>
    <row r="224" spans="1:6" ht="14.25" thickTop="1" thickBot="1">
      <c r="A224" s="91" t="str">
        <f t="shared" si="9"/>
        <v>ANDERSON LUIZ SAMPAIO         (Neguinho)</v>
      </c>
      <c r="B224" s="89" t="s">
        <v>62</v>
      </c>
      <c r="C224" s="66" t="s">
        <v>3126</v>
      </c>
      <c r="D224" s="174"/>
      <c r="E224" s="175">
        <v>40953</v>
      </c>
      <c r="F224" s="176" t="s">
        <v>757</v>
      </c>
    </row>
    <row r="225" spans="1:6" ht="14.25" thickTop="1" thickBot="1">
      <c r="A225" s="91" t="str">
        <f t="shared" si="9"/>
        <v>ANDERSON MAINARDES</v>
      </c>
      <c r="B225" s="68" t="s">
        <v>62</v>
      </c>
      <c r="C225" s="66" t="s">
        <v>798</v>
      </c>
      <c r="D225" s="61">
        <v>98582</v>
      </c>
      <c r="E225" s="62">
        <v>43077</v>
      </c>
      <c r="F225" s="63"/>
    </row>
    <row r="226" spans="1:6" ht="14.25" thickTop="1" thickBot="1">
      <c r="A226" s="91" t="str">
        <f t="shared" si="9"/>
        <v>ANDERSON MAINARDES</v>
      </c>
      <c r="B226" s="68" t="s">
        <v>1518</v>
      </c>
      <c r="C226" s="66" t="s">
        <v>798</v>
      </c>
      <c r="D226" s="67"/>
      <c r="E226" s="62"/>
      <c r="F226" s="63"/>
    </row>
    <row r="227" spans="1:6" ht="14.25" thickTop="1" thickBot="1">
      <c r="A227" s="91" t="str">
        <f t="shared" si="9"/>
        <v>ANDERSON MARQUES MARTINS (Comando Vermelho)</v>
      </c>
      <c r="B227" s="68" t="s">
        <v>546</v>
      </c>
      <c r="C227" s="66" t="s">
        <v>2559</v>
      </c>
      <c r="D227" s="203">
        <v>117392</v>
      </c>
      <c r="E227" s="204">
        <v>43721</v>
      </c>
      <c r="F227" s="63"/>
    </row>
    <row r="228" spans="1:6" ht="14.25" thickTop="1" thickBot="1">
      <c r="A228" s="91" t="str">
        <f t="shared" si="9"/>
        <v>ANDERSON MARQUES MARTINS (Comando Vermelho)</v>
      </c>
      <c r="B228" s="68" t="s">
        <v>546</v>
      </c>
      <c r="C228" s="60" t="s">
        <v>2559</v>
      </c>
      <c r="D228" s="61">
        <v>117392</v>
      </c>
      <c r="E228" s="62">
        <v>43357</v>
      </c>
      <c r="F228" s="63"/>
    </row>
    <row r="229" spans="1:6" ht="14.25" thickTop="1" thickBot="1">
      <c r="A229" s="91"/>
      <c r="B229" s="68" t="s">
        <v>2203</v>
      </c>
      <c r="C229" s="192" t="s">
        <v>3407</v>
      </c>
      <c r="D229" s="61"/>
      <c r="E229" s="62">
        <v>43895</v>
      </c>
      <c r="F229" s="63"/>
    </row>
    <row r="230" spans="1:6" ht="14.25" thickTop="1" thickBot="1">
      <c r="A230" s="91"/>
      <c r="B230" s="68" t="s">
        <v>546</v>
      </c>
      <c r="C230" s="64" t="s">
        <v>858</v>
      </c>
      <c r="D230" s="65">
        <v>63108</v>
      </c>
      <c r="E230" s="62">
        <v>41380</v>
      </c>
      <c r="F230" s="63"/>
    </row>
    <row r="231" spans="1:6" ht="14.25" thickTop="1" thickBot="1">
      <c r="A231" s="91" t="str">
        <f>C231</f>
        <v>ANDERSON MONTEIRO</v>
      </c>
      <c r="B231" s="68" t="s">
        <v>62</v>
      </c>
      <c r="C231" s="66" t="s">
        <v>1265</v>
      </c>
      <c r="D231" s="61">
        <v>73046</v>
      </c>
      <c r="E231" s="62">
        <v>42558</v>
      </c>
      <c r="F231" s="63"/>
    </row>
    <row r="232" spans="1:6" ht="14.25" thickTop="1" thickBot="1">
      <c r="A232" s="91" t="str">
        <f>C232</f>
        <v>ANDERSON OLIVEIRA DOS SANTOS    (Gambá / G.B.)</v>
      </c>
      <c r="B232" s="68" t="s">
        <v>1812</v>
      </c>
      <c r="C232" s="114" t="s">
        <v>2900</v>
      </c>
      <c r="D232" s="69">
        <v>63913</v>
      </c>
      <c r="E232" s="62">
        <v>42201</v>
      </c>
      <c r="F232" s="63"/>
    </row>
    <row r="233" spans="1:6" ht="14.25" thickTop="1" thickBot="1">
      <c r="A233" s="91" t="str">
        <f>C233</f>
        <v>ANDERSON PAES DE CAMARGO</v>
      </c>
      <c r="B233" s="68" t="s">
        <v>1002</v>
      </c>
      <c r="C233" s="66" t="s">
        <v>825</v>
      </c>
      <c r="D233" s="65">
        <v>63729</v>
      </c>
      <c r="E233" s="62">
        <v>40681</v>
      </c>
      <c r="F233" s="63"/>
    </row>
    <row r="234" spans="1:6" ht="14.25" thickTop="1" thickBot="1">
      <c r="A234" s="91" t="str">
        <f>C234</f>
        <v>ANDERSON PAIANO</v>
      </c>
      <c r="B234" s="68" t="s">
        <v>62</v>
      </c>
      <c r="C234" s="66" t="s">
        <v>1429</v>
      </c>
      <c r="D234" s="69">
        <v>63671</v>
      </c>
      <c r="E234" s="62">
        <v>40094</v>
      </c>
      <c r="F234" s="63"/>
    </row>
    <row r="235" spans="1:6" ht="14.25" thickTop="1" thickBot="1">
      <c r="A235" s="91" t="str">
        <f>C235</f>
        <v>ANDERSON PEDRO SIQUEIRA</v>
      </c>
      <c r="B235" s="68" t="s">
        <v>62</v>
      </c>
      <c r="C235" s="66" t="s">
        <v>865</v>
      </c>
      <c r="D235" s="61">
        <v>27181</v>
      </c>
      <c r="E235" s="70">
        <v>42691</v>
      </c>
      <c r="F235" s="71"/>
    </row>
    <row r="236" spans="1:6" ht="14.25" thickTop="1" thickBot="1">
      <c r="A236" s="91"/>
      <c r="B236" s="68" t="s">
        <v>3416</v>
      </c>
      <c r="C236" s="66" t="s">
        <v>3411</v>
      </c>
      <c r="D236" s="65"/>
      <c r="E236" s="62">
        <v>43914</v>
      </c>
      <c r="F236" s="63"/>
    </row>
    <row r="237" spans="1:6" ht="14.25" thickTop="1" thickBot="1">
      <c r="A237" s="91" t="str">
        <f>C237</f>
        <v>ANDERSON RIBEIRO FERNANDES MESSIAS</v>
      </c>
      <c r="B237" s="89" t="s">
        <v>62</v>
      </c>
      <c r="C237" s="66" t="s">
        <v>1024</v>
      </c>
      <c r="D237" s="65"/>
      <c r="E237" s="62">
        <v>42703</v>
      </c>
      <c r="F237" s="63"/>
    </row>
    <row r="238" spans="1:6" ht="14.25" thickTop="1" thickBot="1">
      <c r="A238" s="91" t="str">
        <f>C238</f>
        <v>ANDERSON RODRIGUES SCHINEIDER</v>
      </c>
      <c r="B238" s="68" t="s">
        <v>1812</v>
      </c>
      <c r="C238" s="66" t="s">
        <v>1925</v>
      </c>
      <c r="D238" s="69">
        <v>63667</v>
      </c>
      <c r="E238" s="62"/>
      <c r="F238" s="75"/>
    </row>
    <row r="239" spans="1:6" ht="14.25" thickTop="1" thickBot="1">
      <c r="A239" s="91" t="str">
        <f>C239</f>
        <v>ANDERSON SCHULTZ</v>
      </c>
      <c r="B239" s="68" t="s">
        <v>62</v>
      </c>
      <c r="C239" s="66" t="s">
        <v>866</v>
      </c>
      <c r="D239" s="65">
        <v>27173</v>
      </c>
      <c r="E239" s="62">
        <v>41128</v>
      </c>
      <c r="F239" s="63"/>
    </row>
    <row r="240" spans="1:6" ht="14.25" thickTop="1" thickBot="1">
      <c r="A240" s="91" t="str">
        <f>C240</f>
        <v>ANDERSON SIEIRO DE SALLES</v>
      </c>
      <c r="B240" s="89" t="s">
        <v>62</v>
      </c>
      <c r="C240" s="66" t="s">
        <v>2213</v>
      </c>
      <c r="D240" s="61">
        <v>146628</v>
      </c>
      <c r="E240" s="70"/>
      <c r="F240" s="71"/>
    </row>
    <row r="241" spans="1:6" ht="14.25" thickTop="1" thickBot="1">
      <c r="A241" s="60" t="s">
        <v>1973</v>
      </c>
      <c r="B241" s="68" t="s">
        <v>2593</v>
      </c>
      <c r="C241" s="60" t="s">
        <v>1973</v>
      </c>
      <c r="D241" s="61">
        <v>109794</v>
      </c>
      <c r="E241" s="62">
        <v>43524</v>
      </c>
      <c r="F241" s="63"/>
    </row>
    <row r="242" spans="1:6" ht="14.25" thickTop="1" thickBot="1">
      <c r="A242" s="91" t="str">
        <f>C242</f>
        <v>ANDERSON VOLSKI                     (Tropeço)</v>
      </c>
      <c r="B242" s="68" t="s">
        <v>62</v>
      </c>
      <c r="C242" s="66" t="s">
        <v>3127</v>
      </c>
      <c r="D242" s="67"/>
      <c r="E242" s="62">
        <v>39946</v>
      </c>
      <c r="F242" s="63"/>
    </row>
    <row r="243" spans="1:6" ht="14.25" thickTop="1" thickBot="1">
      <c r="A243" s="91" t="str">
        <f>C243</f>
        <v>ANDERVILCSON DA LUZ COUTINHO DA VITORIA</v>
      </c>
      <c r="B243" s="68" t="s">
        <v>62</v>
      </c>
      <c r="C243" s="66" t="s">
        <v>1527</v>
      </c>
      <c r="D243" s="61">
        <v>27296</v>
      </c>
      <c r="E243" s="70">
        <v>42247</v>
      </c>
      <c r="F243" s="71"/>
    </row>
    <row r="244" spans="1:6" ht="14.25" thickTop="1" thickBot="1">
      <c r="A244" s="91"/>
      <c r="B244" s="89" t="s">
        <v>15</v>
      </c>
      <c r="C244" s="66" t="s">
        <v>3128</v>
      </c>
      <c r="D244" s="61">
        <v>102453</v>
      </c>
      <c r="E244" s="62">
        <v>42130</v>
      </c>
      <c r="F244" s="63"/>
    </row>
    <row r="245" spans="1:6" ht="14.25" thickTop="1" thickBot="1">
      <c r="A245" s="91" t="str">
        <f>C245</f>
        <v>ANDRE ANTUNES BATISTA</v>
      </c>
      <c r="B245" s="68" t="s">
        <v>62</v>
      </c>
      <c r="C245" s="66" t="s">
        <v>1613</v>
      </c>
      <c r="D245" s="65">
        <v>63306</v>
      </c>
      <c r="E245" s="62">
        <v>40757</v>
      </c>
      <c r="F245" s="63"/>
    </row>
    <row r="246" spans="1:6" ht="14.25" thickTop="1" thickBot="1">
      <c r="A246" s="91" t="str">
        <f>C246</f>
        <v>ANDRE ILTON PEREIRA</v>
      </c>
      <c r="B246" s="68" t="s">
        <v>2347</v>
      </c>
      <c r="C246" s="192" t="s">
        <v>2185</v>
      </c>
      <c r="D246" s="61">
        <v>25998</v>
      </c>
      <c r="E246" s="62">
        <v>43346</v>
      </c>
      <c r="F246" s="63"/>
    </row>
    <row r="247" spans="1:6" ht="14.25" thickTop="1" thickBot="1">
      <c r="A247" s="91" t="s">
        <v>2128</v>
      </c>
      <c r="B247" s="68" t="s">
        <v>2406</v>
      </c>
      <c r="C247" s="66" t="s">
        <v>2128</v>
      </c>
      <c r="D247" s="61">
        <v>126164</v>
      </c>
      <c r="E247" s="62">
        <v>43452</v>
      </c>
      <c r="F247" s="63"/>
    </row>
    <row r="248" spans="1:6" ht="14.25" thickTop="1" thickBot="1">
      <c r="A248" s="91" t="str">
        <f>C248</f>
        <v>ANDRE LUIS DE SOUZA</v>
      </c>
      <c r="B248" s="68" t="s">
        <v>62</v>
      </c>
      <c r="C248" s="66" t="s">
        <v>229</v>
      </c>
      <c r="D248" s="65">
        <v>63724</v>
      </c>
      <c r="E248" s="62">
        <v>40242</v>
      </c>
      <c r="F248" s="63"/>
    </row>
    <row r="249" spans="1:6" ht="14.25" thickTop="1" thickBot="1">
      <c r="A249" s="91" t="str">
        <f>C250</f>
        <v>ANDRE LUIS PRUDENCIANO GOUVEIA    (Paulista)</v>
      </c>
      <c r="B249" s="68" t="s">
        <v>62</v>
      </c>
      <c r="C249" s="66" t="s">
        <v>1425</v>
      </c>
      <c r="D249" s="61">
        <v>27348</v>
      </c>
      <c r="E249" s="62">
        <v>42327</v>
      </c>
      <c r="F249" s="63"/>
    </row>
    <row r="250" spans="1:6" ht="14.25" thickTop="1" thickBot="1">
      <c r="A250" s="91" t="str">
        <f>C251</f>
        <v>ANDRE LUIZ DE SOUZA</v>
      </c>
      <c r="B250" s="68" t="s">
        <v>62</v>
      </c>
      <c r="C250" s="66" t="s">
        <v>2901</v>
      </c>
      <c r="D250" s="61">
        <v>63889</v>
      </c>
      <c r="E250" s="62">
        <v>41873</v>
      </c>
      <c r="F250" s="63"/>
    </row>
    <row r="251" spans="1:6" ht="14.25" thickTop="1" thickBot="1">
      <c r="A251" s="91" t="str">
        <f>C252</f>
        <v>ANDRE LUIZ FERNANDES MARTINS EGAS</v>
      </c>
      <c r="B251" s="68" t="s">
        <v>62</v>
      </c>
      <c r="C251" s="66" t="s">
        <v>150</v>
      </c>
      <c r="D251" s="65">
        <v>101755</v>
      </c>
      <c r="E251" s="62">
        <v>42177</v>
      </c>
      <c r="F251" s="63"/>
    </row>
    <row r="252" spans="1:6" ht="14.25" thickTop="1" thickBot="1">
      <c r="A252" s="91" t="str">
        <f>C254</f>
        <v>ANDRE LUIZ PEREIRA</v>
      </c>
      <c r="B252" s="68" t="s">
        <v>846</v>
      </c>
      <c r="C252" s="66" t="s">
        <v>1035</v>
      </c>
      <c r="D252" s="65"/>
      <c r="E252" s="62">
        <v>41128</v>
      </c>
      <c r="F252" s="63"/>
    </row>
    <row r="253" spans="1:6" ht="14.25" thickTop="1" thickBot="1">
      <c r="A253" s="91" t="s">
        <v>1218</v>
      </c>
      <c r="B253" s="68" t="s">
        <v>2406</v>
      </c>
      <c r="C253" s="64" t="s">
        <v>1115</v>
      </c>
      <c r="D253" s="65">
        <v>27039</v>
      </c>
      <c r="E253" s="70">
        <v>43452</v>
      </c>
      <c r="F253" s="71"/>
    </row>
    <row r="254" spans="1:6" ht="14.25" thickTop="1" thickBot="1">
      <c r="A254" s="91" t="str">
        <f>C255</f>
        <v>ANDRE LUIZ TORRES CUNHA      (Cabelo)</v>
      </c>
      <c r="B254" s="68" t="s">
        <v>62</v>
      </c>
      <c r="C254" s="192" t="s">
        <v>1218</v>
      </c>
      <c r="D254" s="61">
        <v>57767</v>
      </c>
      <c r="E254" s="70">
        <v>42319</v>
      </c>
      <c r="F254" s="71"/>
    </row>
    <row r="255" spans="1:6" ht="14.25" thickTop="1" thickBot="1">
      <c r="A255" s="91" t="str">
        <f>C256</f>
        <v>ANDRE MAICON KREVELIN</v>
      </c>
      <c r="B255" s="68" t="s">
        <v>1306</v>
      </c>
      <c r="C255" s="66" t="s">
        <v>2902</v>
      </c>
      <c r="D255" s="61">
        <v>102105</v>
      </c>
      <c r="E255" s="62">
        <v>42341</v>
      </c>
      <c r="F255" s="63"/>
    </row>
    <row r="256" spans="1:6" ht="14.25" thickTop="1" thickBot="1">
      <c r="A256" s="91"/>
      <c r="B256" s="89" t="s">
        <v>62</v>
      </c>
      <c r="C256" s="66" t="s">
        <v>249</v>
      </c>
      <c r="D256" s="69">
        <v>27042</v>
      </c>
      <c r="E256" s="70"/>
      <c r="F256" s="71"/>
    </row>
    <row r="257" spans="1:16" ht="14.25" thickTop="1" thickBot="1">
      <c r="A257" s="91" t="str">
        <f>C259</f>
        <v>ANDRE PEREIRA DA VEIGA JUNIOR</v>
      </c>
      <c r="B257" s="68" t="s">
        <v>62</v>
      </c>
      <c r="C257" s="66" t="s">
        <v>2903</v>
      </c>
      <c r="D257" s="61">
        <v>102105</v>
      </c>
      <c r="E257" s="70">
        <v>42909</v>
      </c>
      <c r="F257" s="71"/>
    </row>
    <row r="258" spans="1:16" ht="14.25" thickTop="1" thickBot="1">
      <c r="A258" s="481" t="s">
        <v>2865</v>
      </c>
      <c r="B258" s="68" t="s">
        <v>1812</v>
      </c>
      <c r="C258" s="66" t="s">
        <v>3391</v>
      </c>
      <c r="D258" s="61">
        <v>108258</v>
      </c>
      <c r="E258" s="70">
        <v>43965</v>
      </c>
      <c r="F258" s="71"/>
    </row>
    <row r="259" spans="1:16" ht="14.25" thickTop="1" thickBot="1">
      <c r="A259" s="91"/>
      <c r="B259" s="68" t="s">
        <v>2820</v>
      </c>
      <c r="C259" s="66" t="s">
        <v>2799</v>
      </c>
      <c r="D259" s="61">
        <v>166651</v>
      </c>
      <c r="E259" s="70">
        <v>43861</v>
      </c>
      <c r="F259" s="71"/>
    </row>
    <row r="260" spans="1:16" ht="14.25" thickTop="1" thickBot="1">
      <c r="A260" s="393"/>
      <c r="B260" s="395" t="s">
        <v>3594</v>
      </c>
      <c r="C260" s="60" t="s">
        <v>3487</v>
      </c>
      <c r="D260" s="82"/>
      <c r="E260" s="198">
        <v>115084</v>
      </c>
      <c r="F260" s="89"/>
      <c r="G260" s="113"/>
      <c r="H260" s="408"/>
      <c r="I260" s="407"/>
      <c r="J260" s="408"/>
      <c r="K260" s="199" t="str">
        <f>HYPERLINK(CONCATENATE("http://www.spr.depen.pr.gov.br/centralvagas/exibirFoto.jpg?numProntuario=",$E260,"&amp;idImagem=1"),"FOTO 1")</f>
        <v>FOTO 1</v>
      </c>
      <c r="L260" s="199" t="str">
        <f>HYPERLINK(CONCATENATE("http://www.spr.depen.pr.gov.br/centralvagas/exibirFoto.jpg?numProntuario=",$E260,"&amp;idImagem=2"),"FOTO 2")</f>
        <v>FOTO 2</v>
      </c>
      <c r="M260" s="199" t="str">
        <f>HYPERLINK(CONCATENATE("http://www.spr.depen.pr.gov.br/centralvagas/exibirFoto.jpg?numProntuario=",$E260,"&amp;idImagem=3"),"FOTO 3")</f>
        <v>FOTO 3</v>
      </c>
      <c r="N260" s="199" t="str">
        <f>HYPERLINK(CONCATENATE("http://www.spr.depen.pr.gov.br/centralvagas/exibirFoto.jpg?numProntuario=",$E260,"&amp;idImagem=4"),"FOTO 4")</f>
        <v>FOTO 4</v>
      </c>
      <c r="O260" s="199" t="str">
        <f>HYPERLINK(CONCATENATE("http://www.spr.depen.pr.gov.br/centralvagas/exibirFoto.jpg?numProntuario=",$E260,"&amp;idImagem=5"),"FOTO 5")</f>
        <v>FOTO 5</v>
      </c>
      <c r="P260" s="199" t="str">
        <f>HYPERLINK(CONCATENATE("http://www.spr.depen.pr.gov.br/centralvagas/exibirFoto.jpg?numProntuario=",$E260,"&amp;idImagem=6"),"FOTO 6")</f>
        <v>FOTO 6</v>
      </c>
    </row>
    <row r="261" spans="1:16" ht="14.25" thickTop="1" thickBot="1">
      <c r="A261" s="91"/>
      <c r="B261" s="68" t="s">
        <v>1812</v>
      </c>
      <c r="C261" s="60" t="s">
        <v>2675</v>
      </c>
      <c r="D261" s="61">
        <v>118717</v>
      </c>
      <c r="E261" s="70">
        <v>43691</v>
      </c>
      <c r="F261" s="71"/>
    </row>
    <row r="262" spans="1:16" ht="14.25" thickTop="1" thickBot="1">
      <c r="A262" s="91" t="str">
        <f>C263</f>
        <v>ANDREI BATISTA DA SILVA                       (Fininho)</v>
      </c>
      <c r="B262" s="68" t="s">
        <v>2347</v>
      </c>
      <c r="C262" s="66" t="s">
        <v>396</v>
      </c>
      <c r="D262" s="61">
        <v>118298</v>
      </c>
      <c r="E262" s="62">
        <v>43346</v>
      </c>
      <c r="F262" s="63"/>
    </row>
    <row r="263" spans="1:16" ht="14.25" thickTop="1" thickBot="1">
      <c r="A263" s="91" t="str">
        <f>C264</f>
        <v>ANDREIKE CARDOSO DE LIMA</v>
      </c>
      <c r="B263" s="68" t="s">
        <v>62</v>
      </c>
      <c r="C263" s="60" t="s">
        <v>3129</v>
      </c>
      <c r="D263" s="61">
        <v>124976</v>
      </c>
      <c r="E263" s="62">
        <v>41757</v>
      </c>
      <c r="F263" s="63"/>
    </row>
    <row r="264" spans="1:16" ht="14.25" thickTop="1" thickBot="1">
      <c r="A264" s="91"/>
      <c r="B264" s="68" t="s">
        <v>2406</v>
      </c>
      <c r="C264" s="66" t="s">
        <v>2261</v>
      </c>
      <c r="D264" s="61">
        <v>148518</v>
      </c>
      <c r="E264" s="62">
        <v>43892</v>
      </c>
      <c r="F264" s="63"/>
    </row>
    <row r="265" spans="1:16" ht="14.25" thickTop="1" thickBot="1">
      <c r="A265" s="192"/>
      <c r="B265" s="213" t="s">
        <v>2413</v>
      </c>
      <c r="C265" s="66" t="s">
        <v>2904</v>
      </c>
      <c r="D265" s="65">
        <v>27068</v>
      </c>
      <c r="E265" s="70">
        <v>43440</v>
      </c>
      <c r="F265" s="71"/>
    </row>
    <row r="266" spans="1:16" ht="14.25" thickTop="1" thickBot="1">
      <c r="A266" s="91" t="str">
        <f>C268</f>
        <v>ANTONINHO MARCOS PEREIRA</v>
      </c>
      <c r="B266" s="68" t="s">
        <v>1033</v>
      </c>
      <c r="C266" s="77" t="s">
        <v>2905</v>
      </c>
      <c r="D266" s="61">
        <v>100517</v>
      </c>
      <c r="E266" s="62">
        <v>41101</v>
      </c>
      <c r="F266" s="63"/>
    </row>
    <row r="267" spans="1:16" ht="14.25" thickTop="1" thickBot="1">
      <c r="A267" s="91" t="str">
        <f t="shared" ref="A267:A273" si="10">C268</f>
        <v>ANTONINHO MARCOS PEREIRA</v>
      </c>
      <c r="B267" s="68" t="s">
        <v>62</v>
      </c>
      <c r="C267" s="66" t="s">
        <v>3130</v>
      </c>
      <c r="D267" s="65">
        <v>27111</v>
      </c>
      <c r="E267" s="62">
        <v>41834</v>
      </c>
      <c r="F267" s="63"/>
    </row>
    <row r="268" spans="1:16" ht="14.25" thickTop="1" thickBot="1">
      <c r="A268" s="91" t="str">
        <f t="shared" si="10"/>
        <v>ANTONINHO MENDES</v>
      </c>
      <c r="B268" s="68" t="s">
        <v>62</v>
      </c>
      <c r="C268" s="66" t="s">
        <v>1186</v>
      </c>
      <c r="D268" s="65">
        <v>27298</v>
      </c>
      <c r="E268" s="62">
        <v>41379</v>
      </c>
      <c r="F268" s="63"/>
    </row>
    <row r="269" spans="1:16" ht="14.25" thickTop="1" thickBot="1">
      <c r="A269" s="91" t="str">
        <f t="shared" si="10"/>
        <v>ANTONIO ADEMIR RIBEIRO</v>
      </c>
      <c r="B269" s="68" t="s">
        <v>62</v>
      </c>
      <c r="C269" s="64" t="s">
        <v>965</v>
      </c>
      <c r="D269" s="65">
        <v>27228</v>
      </c>
      <c r="E269" s="62">
        <v>39363</v>
      </c>
      <c r="F269" s="63"/>
    </row>
    <row r="270" spans="1:16" ht="14.25" thickTop="1" thickBot="1">
      <c r="A270" s="91" t="str">
        <f t="shared" si="10"/>
        <v>ANTONIO ALBARI FERREIRA</v>
      </c>
      <c r="B270" s="68" t="s">
        <v>62</v>
      </c>
      <c r="C270" s="66" t="s">
        <v>1288</v>
      </c>
      <c r="D270" s="67"/>
      <c r="E270" s="62">
        <v>41108</v>
      </c>
      <c r="F270" s="63"/>
    </row>
    <row r="271" spans="1:16" ht="14.25" thickTop="1" thickBot="1">
      <c r="A271" s="91" t="str">
        <f t="shared" si="10"/>
        <v>ANTONIO AMARILDO MENDES        (Tonho / Papelão)</v>
      </c>
      <c r="B271" s="68" t="s">
        <v>62</v>
      </c>
      <c r="C271" s="66" t="s">
        <v>1313</v>
      </c>
      <c r="D271" s="65">
        <v>63770</v>
      </c>
      <c r="E271" s="62"/>
      <c r="F271" s="63"/>
    </row>
    <row r="272" spans="1:16" ht="14.25" thickTop="1" thickBot="1">
      <c r="A272" s="91" t="str">
        <f t="shared" si="10"/>
        <v>ANTONIO APARECIDO MIRANDA</v>
      </c>
      <c r="B272" s="68" t="s">
        <v>62</v>
      </c>
      <c r="C272" s="66" t="s">
        <v>3131</v>
      </c>
      <c r="D272" s="67"/>
      <c r="E272" s="62">
        <v>40843</v>
      </c>
      <c r="F272" s="63"/>
    </row>
    <row r="273" spans="1:6" ht="14.25" thickTop="1" thickBot="1">
      <c r="A273" s="91" t="str">
        <f t="shared" si="10"/>
        <v>ANTONIO BARTOZEWSKI JUNIOR</v>
      </c>
      <c r="B273" s="68"/>
      <c r="C273" s="66" t="s">
        <v>868</v>
      </c>
      <c r="D273" s="61">
        <v>27011</v>
      </c>
      <c r="E273" s="62">
        <v>42130</v>
      </c>
      <c r="F273" s="63"/>
    </row>
    <row r="274" spans="1:6" ht="14.25" thickTop="1" thickBot="1">
      <c r="A274" s="77" t="s">
        <v>2843</v>
      </c>
      <c r="B274" s="68" t="s">
        <v>1522</v>
      </c>
      <c r="C274" s="77" t="s">
        <v>2843</v>
      </c>
      <c r="D274" s="61">
        <v>121105</v>
      </c>
      <c r="E274" s="62">
        <v>43781</v>
      </c>
      <c r="F274" s="63"/>
    </row>
    <row r="275" spans="1:6" ht="14.25" thickTop="1" thickBot="1">
      <c r="A275" s="91" t="str">
        <f>C276</f>
        <v>ANTONIO CARLOS MIRANDA</v>
      </c>
      <c r="B275" s="68" t="s">
        <v>62</v>
      </c>
      <c r="C275" s="66" t="s">
        <v>2906</v>
      </c>
      <c r="D275" s="61">
        <v>101804</v>
      </c>
      <c r="E275" s="62"/>
      <c r="F275" s="63"/>
    </row>
    <row r="276" spans="1:6" ht="14.25" thickTop="1" thickBot="1">
      <c r="A276" s="91" t="str">
        <f>C278</f>
        <v>ANTONIO CASTORINO ROSA</v>
      </c>
      <c r="B276" s="68" t="s">
        <v>62</v>
      </c>
      <c r="C276" s="66" t="s">
        <v>1600</v>
      </c>
      <c r="D276" s="67"/>
      <c r="E276" s="62"/>
      <c r="F276" s="63"/>
    </row>
    <row r="277" spans="1:6" ht="14.25" thickTop="1" thickBot="1">
      <c r="A277" s="91"/>
      <c r="B277" s="68" t="s">
        <v>3378</v>
      </c>
      <c r="C277" s="77" t="s">
        <v>2662</v>
      </c>
      <c r="D277" s="61">
        <v>37434</v>
      </c>
      <c r="E277" s="62">
        <v>43845</v>
      </c>
      <c r="F277" s="63"/>
    </row>
    <row r="278" spans="1:6" ht="14.25" thickTop="1" thickBot="1">
      <c r="A278" s="91" t="str">
        <f>C279</f>
        <v>ANTONIO CELIO BETIM DE OLIVEIRA</v>
      </c>
      <c r="B278" s="67" t="s">
        <v>1298</v>
      </c>
      <c r="C278" s="64" t="s">
        <v>869</v>
      </c>
      <c r="D278" s="67"/>
      <c r="E278" s="62">
        <v>40115</v>
      </c>
      <c r="F278" s="63"/>
    </row>
    <row r="279" spans="1:6" ht="14.25" thickTop="1" thickBot="1">
      <c r="A279" s="91" t="str">
        <f>C280</f>
        <v>ANTONIO DE CASTRO BUENO</v>
      </c>
      <c r="B279" s="68" t="s">
        <v>62</v>
      </c>
      <c r="C279" s="64" t="s">
        <v>536</v>
      </c>
      <c r="D279" s="67"/>
      <c r="E279" s="62">
        <v>39548</v>
      </c>
      <c r="F279" s="63"/>
    </row>
    <row r="280" spans="1:6" ht="14.25" thickTop="1" thickBot="1">
      <c r="A280" s="91" t="str">
        <f>C281</f>
        <v xml:space="preserve">ANTONIO DEJANIR DINIZ        </v>
      </c>
      <c r="B280" s="68" t="s">
        <v>62</v>
      </c>
      <c r="C280" s="66" t="s">
        <v>1506</v>
      </c>
      <c r="D280" s="67"/>
      <c r="E280" s="62">
        <v>39603</v>
      </c>
      <c r="F280" s="63"/>
    </row>
    <row r="281" spans="1:6" ht="14.25" thickTop="1" thickBot="1">
      <c r="A281" s="91" t="str">
        <f>C282</f>
        <v>ANTONIO DEMETIER JIANAKEF</v>
      </c>
      <c r="B281" s="68" t="s">
        <v>62</v>
      </c>
      <c r="C281" s="64" t="s">
        <v>1314</v>
      </c>
      <c r="D281" s="67"/>
      <c r="E281" s="115">
        <v>39400</v>
      </c>
      <c r="F281" s="83" t="s">
        <v>77</v>
      </c>
    </row>
    <row r="282" spans="1:6" ht="14.25" thickTop="1" thickBot="1">
      <c r="A282" s="91" t="str">
        <f>C285</f>
        <v>ANTONIO FERNANDES</v>
      </c>
      <c r="B282" s="68" t="s">
        <v>62</v>
      </c>
      <c r="C282" s="64" t="s">
        <v>1315</v>
      </c>
      <c r="D282" s="177"/>
      <c r="E282" s="62">
        <v>40345</v>
      </c>
      <c r="F282" s="63"/>
    </row>
    <row r="283" spans="1:6" ht="14.25" thickTop="1" thickBot="1">
      <c r="A283" s="91" t="str">
        <f>C284</f>
        <v>ANTONIO EDVAN DA SILVA SANTOS</v>
      </c>
      <c r="B283" s="68" t="s">
        <v>62</v>
      </c>
      <c r="C283" s="66" t="s">
        <v>1316</v>
      </c>
      <c r="D283" s="67"/>
      <c r="E283" s="62"/>
      <c r="F283" s="63"/>
    </row>
    <row r="284" spans="1:6" ht="14.25" thickTop="1" thickBot="1">
      <c r="A284" s="91" t="str">
        <f>C285</f>
        <v>ANTONIO FERNANDES</v>
      </c>
      <c r="B284" s="68" t="s">
        <v>62</v>
      </c>
      <c r="C284" s="66" t="s">
        <v>797</v>
      </c>
      <c r="D284" s="67"/>
      <c r="E284" s="62"/>
      <c r="F284" s="63"/>
    </row>
    <row r="285" spans="1:6" ht="14.25" thickTop="1" thickBot="1">
      <c r="A285" s="91" t="str">
        <f>C286</f>
        <v>ANTONIO FERREIRA DOS SANTOS</v>
      </c>
      <c r="B285" s="68" t="s">
        <v>62</v>
      </c>
      <c r="C285" s="66" t="s">
        <v>1317</v>
      </c>
      <c r="D285" s="61">
        <v>63881</v>
      </c>
      <c r="E285" s="62">
        <v>42703</v>
      </c>
      <c r="F285" s="63"/>
    </row>
    <row r="286" spans="1:6" ht="14.25" thickTop="1" thickBot="1">
      <c r="A286" s="91"/>
      <c r="B286" s="68" t="s">
        <v>2413</v>
      </c>
      <c r="C286" s="64" t="s">
        <v>927</v>
      </c>
      <c r="D286" s="65">
        <v>27318</v>
      </c>
      <c r="E286" s="70">
        <v>43693</v>
      </c>
      <c r="F286" s="75"/>
    </row>
    <row r="287" spans="1:6" ht="14.25" thickTop="1" thickBot="1">
      <c r="A287" s="91" t="str">
        <f>C288</f>
        <v>ANTONIO GOMES DE ARAUJO</v>
      </c>
      <c r="B287" s="68" t="s">
        <v>1812</v>
      </c>
      <c r="C287" s="66" t="s">
        <v>2907</v>
      </c>
      <c r="D287" s="65"/>
      <c r="E287" s="62">
        <v>42921</v>
      </c>
      <c r="F287" s="63"/>
    </row>
    <row r="288" spans="1:6" ht="14.25" thickTop="1" thickBot="1">
      <c r="A288" s="91" t="str">
        <f>C289</f>
        <v>ANTONIO GUEDES RODRIGUES</v>
      </c>
      <c r="B288" s="68" t="s">
        <v>62</v>
      </c>
      <c r="C288" s="66" t="s">
        <v>1926</v>
      </c>
      <c r="D288" s="61">
        <v>107593</v>
      </c>
      <c r="E288" s="62">
        <v>39400</v>
      </c>
      <c r="F288" s="63"/>
    </row>
    <row r="289" spans="1:6" ht="14.25" thickTop="1" thickBot="1">
      <c r="A289" s="91" t="str">
        <f>C290</f>
        <v>ANTONIO JOSE DE MOURA JUNIOR</v>
      </c>
      <c r="B289" s="68" t="s">
        <v>62</v>
      </c>
      <c r="C289" s="66" t="s">
        <v>355</v>
      </c>
      <c r="D289" s="67"/>
      <c r="E289" s="62"/>
      <c r="F289" s="63"/>
    </row>
    <row r="290" spans="1:6" ht="14.25" thickTop="1" thickBot="1">
      <c r="A290" s="91" t="str">
        <f>C291</f>
        <v>ANTONIO JOSE PADILHA                  (Índio)</v>
      </c>
      <c r="B290" s="68" t="s">
        <v>1298</v>
      </c>
      <c r="C290" s="66" t="s">
        <v>1318</v>
      </c>
      <c r="D290" s="67"/>
      <c r="E290" s="62">
        <v>41417</v>
      </c>
      <c r="F290" s="63"/>
    </row>
    <row r="291" spans="1:6" ht="14.25" thickTop="1" thickBot="1">
      <c r="A291" s="91" t="str">
        <f>C292</f>
        <v>ANTONIO LEMES DE SOUZA</v>
      </c>
      <c r="B291" s="68" t="s">
        <v>546</v>
      </c>
      <c r="C291" s="66" t="s">
        <v>3132</v>
      </c>
      <c r="D291" s="65">
        <v>63741</v>
      </c>
      <c r="E291" s="62">
        <v>40280</v>
      </c>
      <c r="F291" s="63"/>
    </row>
    <row r="292" spans="1:6" ht="14.25" thickTop="1" thickBot="1">
      <c r="A292" s="216"/>
      <c r="B292" s="61" t="s">
        <v>2406</v>
      </c>
      <c r="C292" s="66" t="s">
        <v>1451</v>
      </c>
      <c r="D292" s="312">
        <v>63828</v>
      </c>
      <c r="E292" s="70">
        <v>43504</v>
      </c>
      <c r="F292" s="71"/>
    </row>
    <row r="293" spans="1:6" ht="14.25" thickTop="1" thickBot="1">
      <c r="A293" s="91" t="str">
        <f t="shared" ref="A293:A299" si="11">C294</f>
        <v>ANTONIO LUIZ MARCONATO</v>
      </c>
      <c r="B293" s="68" t="s">
        <v>62</v>
      </c>
      <c r="C293" s="66" t="s">
        <v>2142</v>
      </c>
      <c r="D293" s="61">
        <v>120004</v>
      </c>
      <c r="E293" s="62">
        <v>40681</v>
      </c>
      <c r="F293" s="63"/>
    </row>
    <row r="294" spans="1:6" ht="14.25" thickTop="1" thickBot="1">
      <c r="A294" s="91" t="str">
        <f t="shared" si="11"/>
        <v>ANTONIO MARCELO PIRES</v>
      </c>
      <c r="B294" s="68" t="s">
        <v>62</v>
      </c>
      <c r="C294" s="64" t="s">
        <v>791</v>
      </c>
      <c r="D294" s="65">
        <v>63988</v>
      </c>
      <c r="E294" s="62">
        <v>41647</v>
      </c>
      <c r="F294" s="63"/>
    </row>
    <row r="295" spans="1:6" ht="14.25" thickTop="1" thickBot="1">
      <c r="A295" s="91" t="str">
        <f t="shared" si="11"/>
        <v>ANTONIO MARCIO PAES DE ALMEIDA</v>
      </c>
      <c r="B295" s="68" t="s">
        <v>62</v>
      </c>
      <c r="C295" s="66" t="s">
        <v>501</v>
      </c>
      <c r="D295" s="69">
        <v>63835</v>
      </c>
      <c r="E295" s="62">
        <v>39489</v>
      </c>
      <c r="F295" s="63"/>
    </row>
    <row r="296" spans="1:6" ht="14.25" thickTop="1" thickBot="1">
      <c r="A296" s="91" t="str">
        <f t="shared" si="11"/>
        <v>ANTONIO MARCOS CARNEIRO</v>
      </c>
      <c r="B296" s="68" t="s">
        <v>62</v>
      </c>
      <c r="C296" s="66" t="s">
        <v>251</v>
      </c>
      <c r="D296" s="67"/>
      <c r="E296" s="62">
        <v>42061</v>
      </c>
      <c r="F296" s="63"/>
    </row>
    <row r="297" spans="1:6" ht="14.25" thickTop="1" thickBot="1">
      <c r="A297" s="91" t="str">
        <f t="shared" si="11"/>
        <v>ANTONIO MARCOS DA LUZ DE MELLO    (Tio Casca)</v>
      </c>
      <c r="B297" s="68" t="s">
        <v>62</v>
      </c>
      <c r="C297" s="66" t="s">
        <v>1319</v>
      </c>
      <c r="D297" s="65">
        <v>63588</v>
      </c>
      <c r="E297" s="70">
        <v>42447</v>
      </c>
      <c r="F297" s="75"/>
    </row>
    <row r="298" spans="1:6" ht="14.25" thickTop="1" thickBot="1">
      <c r="A298" s="206" t="str">
        <f t="shared" si="11"/>
        <v>ANTONIO MARCOS DE OLIVEIRA</v>
      </c>
      <c r="B298" s="68" t="s">
        <v>62</v>
      </c>
      <c r="C298" s="131" t="s">
        <v>2908</v>
      </c>
      <c r="D298" s="117">
        <v>101669</v>
      </c>
      <c r="E298" s="62">
        <v>39904</v>
      </c>
      <c r="F298" s="63"/>
    </row>
    <row r="299" spans="1:6" ht="14.25" thickTop="1" thickBot="1">
      <c r="A299" s="91" t="str">
        <f t="shared" si="11"/>
        <v>ANTONIO MARCOS DE SOUZA PANTALEÃO</v>
      </c>
      <c r="B299" s="68" t="s">
        <v>62</v>
      </c>
      <c r="C299" s="66" t="s">
        <v>1239</v>
      </c>
      <c r="D299" s="67"/>
      <c r="E299" s="62">
        <v>39408</v>
      </c>
      <c r="F299" s="63"/>
    </row>
    <row r="300" spans="1:6" ht="14.25" thickTop="1" thickBot="1">
      <c r="A300" s="91"/>
      <c r="B300" s="68" t="s">
        <v>62</v>
      </c>
      <c r="C300" s="66" t="s">
        <v>872</v>
      </c>
      <c r="D300" s="67"/>
      <c r="E300" s="62">
        <v>39548</v>
      </c>
      <c r="F300" s="63"/>
    </row>
    <row r="301" spans="1:6" ht="14.25" thickTop="1" thickBot="1">
      <c r="A301" s="91" t="str">
        <f>C302</f>
        <v xml:space="preserve">ANTONIO MARCOS KREMER  </v>
      </c>
      <c r="B301" s="68" t="s">
        <v>62</v>
      </c>
      <c r="C301" s="66" t="s">
        <v>78</v>
      </c>
      <c r="D301" s="67"/>
      <c r="E301" s="62"/>
      <c r="F301" s="63"/>
    </row>
    <row r="302" spans="1:6" ht="14.25" thickTop="1" thickBot="1">
      <c r="A302" s="91" t="str">
        <f>C304</f>
        <v>ANTONIO MARCOS MOREIRA PADILHA</v>
      </c>
      <c r="B302" s="68" t="s">
        <v>62</v>
      </c>
      <c r="C302" s="64" t="s">
        <v>576</v>
      </c>
      <c r="D302" s="67"/>
      <c r="E302" s="62">
        <v>39266</v>
      </c>
      <c r="F302" s="63"/>
    </row>
    <row r="303" spans="1:6" ht="14.25" thickTop="1" thickBot="1">
      <c r="A303" s="91" t="str">
        <f>C304</f>
        <v>ANTONIO MARCOS MOREIRA PADILHA</v>
      </c>
      <c r="B303" s="68" t="s">
        <v>62</v>
      </c>
      <c r="C303" s="66" t="s">
        <v>700</v>
      </c>
      <c r="D303" s="67"/>
      <c r="E303" s="62">
        <v>41036</v>
      </c>
      <c r="F303" s="63"/>
    </row>
    <row r="304" spans="1:6" ht="14.25" thickTop="1" thickBot="1">
      <c r="A304" s="91" t="str">
        <f>C305</f>
        <v>ANTONIO MARCOS RODRIGUES</v>
      </c>
      <c r="B304" s="68" t="s">
        <v>62</v>
      </c>
      <c r="C304" s="66" t="s">
        <v>579</v>
      </c>
      <c r="D304" s="65">
        <v>63034</v>
      </c>
      <c r="E304" s="62">
        <v>40728</v>
      </c>
      <c r="F304" s="63"/>
    </row>
    <row r="305" spans="1:6" ht="14.25" thickTop="1" thickBot="1">
      <c r="A305" s="91" t="str">
        <f>C306</f>
        <v>ANTONIO MARIO CAVAGNARI</v>
      </c>
      <c r="B305" s="68" t="s">
        <v>62</v>
      </c>
      <c r="C305" s="66" t="s">
        <v>580</v>
      </c>
      <c r="D305" s="72"/>
      <c r="E305" s="70">
        <v>42919</v>
      </c>
      <c r="F305" s="71"/>
    </row>
    <row r="306" spans="1:6" ht="14.25" thickTop="1" thickBot="1">
      <c r="A306" s="91" t="str">
        <f>C307</f>
        <v>ANTONIO NALCIO LOURENÇO PINTO</v>
      </c>
      <c r="B306" s="89" t="s">
        <v>62</v>
      </c>
      <c r="C306" s="66" t="s">
        <v>725</v>
      </c>
      <c r="D306" s="61">
        <v>110805</v>
      </c>
      <c r="E306" s="62">
        <v>42705</v>
      </c>
      <c r="F306" s="63"/>
    </row>
    <row r="307" spans="1:6" ht="14.25" thickTop="1" thickBot="1">
      <c r="A307" s="91"/>
      <c r="B307" s="68" t="s">
        <v>1812</v>
      </c>
      <c r="C307" s="66" t="s">
        <v>1979</v>
      </c>
      <c r="D307" s="65"/>
      <c r="E307" s="62">
        <v>42327</v>
      </c>
      <c r="F307" s="63"/>
    </row>
    <row r="308" spans="1:6" ht="14.25" thickTop="1" thickBot="1">
      <c r="A308" s="91" t="str">
        <f t="shared" ref="A308:A322" si="12">C309</f>
        <v>ANTONIO PADILHA DOS SANTOS          (Tonho)</v>
      </c>
      <c r="B308" s="68" t="s">
        <v>62</v>
      </c>
      <c r="C308" s="64" t="s">
        <v>1815</v>
      </c>
      <c r="D308" s="61">
        <v>63297</v>
      </c>
      <c r="E308" s="62">
        <v>42558</v>
      </c>
      <c r="F308" s="63"/>
    </row>
    <row r="309" spans="1:6" ht="14.25" thickTop="1" thickBot="1">
      <c r="A309" s="91" t="str">
        <f t="shared" si="12"/>
        <v>ANTONIO PAULO LUCIO DE MIRANDA</v>
      </c>
      <c r="B309" s="68" t="s">
        <v>1812</v>
      </c>
      <c r="C309" s="66" t="s">
        <v>3133</v>
      </c>
      <c r="D309" s="61">
        <v>117805</v>
      </c>
      <c r="E309" s="62">
        <v>39345</v>
      </c>
      <c r="F309" s="63"/>
    </row>
    <row r="310" spans="1:6" ht="14.25" thickTop="1" thickBot="1">
      <c r="A310" s="91" t="str">
        <f t="shared" si="12"/>
        <v>ANTONIO PEREIRA DA SILVA FILHO</v>
      </c>
      <c r="B310" s="68" t="s">
        <v>62</v>
      </c>
      <c r="C310" s="66" t="s">
        <v>1737</v>
      </c>
      <c r="D310" s="67"/>
      <c r="E310" s="62">
        <v>40427</v>
      </c>
      <c r="F310" s="63"/>
    </row>
    <row r="311" spans="1:6" ht="14.25" thickTop="1" thickBot="1">
      <c r="A311" s="91" t="str">
        <f t="shared" si="12"/>
        <v>ANTONIO PEREIRA DOS SANTOS</v>
      </c>
      <c r="B311" s="68" t="s">
        <v>62</v>
      </c>
      <c r="C311" s="66" t="s">
        <v>586</v>
      </c>
      <c r="D311" s="65">
        <v>63870</v>
      </c>
      <c r="E311" s="62"/>
      <c r="F311" s="63"/>
    </row>
    <row r="312" spans="1:6" ht="14.25" thickTop="1" thickBot="1">
      <c r="A312" s="91" t="str">
        <f t="shared" si="12"/>
        <v xml:space="preserve">ANTONIO RENATO DOS SANTOS </v>
      </c>
      <c r="B312" s="68" t="s">
        <v>62</v>
      </c>
      <c r="C312" s="64" t="s">
        <v>155</v>
      </c>
      <c r="D312" s="67"/>
      <c r="E312" s="62">
        <v>40094</v>
      </c>
      <c r="F312" s="63"/>
    </row>
    <row r="313" spans="1:6" ht="14.25" thickTop="1" thickBot="1">
      <c r="A313" s="91" t="str">
        <f t="shared" si="12"/>
        <v>ANTONIO ROMILDO CAMARGO DE OLIVEIRA</v>
      </c>
      <c r="B313" s="68" t="s">
        <v>62</v>
      </c>
      <c r="C313" s="64" t="s">
        <v>875</v>
      </c>
      <c r="D313" s="69">
        <v>63830</v>
      </c>
      <c r="E313" s="62">
        <v>41096</v>
      </c>
      <c r="F313" s="63"/>
    </row>
    <row r="314" spans="1:6" ht="14.25" thickTop="1" thickBot="1">
      <c r="A314" s="91" t="str">
        <f t="shared" si="12"/>
        <v>ANTONIO SALES DA SILVA</v>
      </c>
      <c r="B314" s="68" t="s">
        <v>62</v>
      </c>
      <c r="C314" s="66" t="s">
        <v>789</v>
      </c>
      <c r="D314" s="65"/>
      <c r="E314" s="62">
        <v>41207</v>
      </c>
      <c r="F314" s="76"/>
    </row>
    <row r="315" spans="1:6" ht="14.25" thickTop="1" thickBot="1">
      <c r="A315" s="91" t="str">
        <f t="shared" si="12"/>
        <v>ANTONIO SAMUEL RESENDE BORGES</v>
      </c>
      <c r="B315" s="68" t="s">
        <v>62</v>
      </c>
      <c r="C315" s="66" t="s">
        <v>72</v>
      </c>
      <c r="D315" s="61">
        <v>63929</v>
      </c>
      <c r="E315" s="62">
        <v>42471</v>
      </c>
      <c r="F315" s="63"/>
    </row>
    <row r="316" spans="1:6" ht="14.25" thickTop="1" thickBot="1">
      <c r="A316" s="91" t="str">
        <f t="shared" si="12"/>
        <v>ANTONIO SANTOS COSTA</v>
      </c>
      <c r="B316" s="68" t="s">
        <v>1812</v>
      </c>
      <c r="C316" s="66" t="s">
        <v>1192</v>
      </c>
      <c r="D316" s="74"/>
      <c r="E316" s="62">
        <v>41351</v>
      </c>
      <c r="F316" s="63"/>
    </row>
    <row r="317" spans="1:6" ht="14.25" thickTop="1" thickBot="1">
      <c r="A317" s="91" t="str">
        <f t="shared" si="12"/>
        <v>ANTONIO VALDECI SOUZA            (Zezinho)</v>
      </c>
      <c r="B317" s="68" t="s">
        <v>62</v>
      </c>
      <c r="C317" s="66" t="s">
        <v>1236</v>
      </c>
      <c r="D317" s="65">
        <v>63873</v>
      </c>
      <c r="E317" s="62">
        <v>40112</v>
      </c>
      <c r="F317" s="63"/>
    </row>
    <row r="318" spans="1:6" ht="14.25" thickTop="1" thickBot="1">
      <c r="A318" s="91" t="str">
        <f t="shared" si="12"/>
        <v>ANTONIO VALDEVINO DE PAIVA</v>
      </c>
      <c r="B318" s="68" t="s">
        <v>62</v>
      </c>
      <c r="C318" s="64" t="s">
        <v>3134</v>
      </c>
      <c r="D318" s="65">
        <v>63608</v>
      </c>
      <c r="E318" s="115">
        <v>40287</v>
      </c>
      <c r="F318" s="83" t="s">
        <v>729</v>
      </c>
    </row>
    <row r="319" spans="1:6" ht="14.25" thickTop="1" thickBot="1">
      <c r="A319" s="91" t="str">
        <f t="shared" si="12"/>
        <v>APARECIDO DESIDERIO LEAL</v>
      </c>
      <c r="B319" s="68" t="s">
        <v>62</v>
      </c>
      <c r="C319" s="66" t="s">
        <v>470</v>
      </c>
      <c r="D319" s="178">
        <v>30545</v>
      </c>
      <c r="E319" s="62">
        <v>41851</v>
      </c>
      <c r="F319" s="63"/>
    </row>
    <row r="320" spans="1:6" ht="14.25" thickTop="1" thickBot="1">
      <c r="A320" s="91" t="str">
        <f t="shared" si="12"/>
        <v>APARECIDO DOS SANTOS ANDRADE        (Arlan)</v>
      </c>
      <c r="B320" s="68" t="s">
        <v>62</v>
      </c>
      <c r="C320" s="66" t="s">
        <v>1426</v>
      </c>
      <c r="D320" s="65">
        <v>63652</v>
      </c>
      <c r="E320" s="62">
        <v>39405</v>
      </c>
      <c r="F320" s="63"/>
    </row>
    <row r="321" spans="1:6" ht="14.25" thickTop="1" thickBot="1">
      <c r="A321" s="91" t="str">
        <f t="shared" si="12"/>
        <v>APARECIDO FERREIRA</v>
      </c>
      <c r="B321" s="68" t="s">
        <v>62</v>
      </c>
      <c r="C321" s="66" t="s">
        <v>3135</v>
      </c>
      <c r="D321" s="67"/>
      <c r="E321" s="62"/>
      <c r="F321" s="63"/>
    </row>
    <row r="322" spans="1:6" ht="14.25" thickTop="1" thickBot="1">
      <c r="A322" s="91" t="str">
        <f t="shared" si="12"/>
        <v>ARGEO DOS SANTOS BUENO FILHO</v>
      </c>
      <c r="B322" s="68" t="s">
        <v>62</v>
      </c>
      <c r="C322" s="66" t="s">
        <v>587</v>
      </c>
      <c r="D322" s="67"/>
      <c r="E322" s="62">
        <v>39631</v>
      </c>
      <c r="F322" s="63"/>
    </row>
    <row r="323" spans="1:6" ht="14.25" thickTop="1" thickBot="1">
      <c r="A323" s="91"/>
      <c r="B323" s="68" t="s">
        <v>1306</v>
      </c>
      <c r="C323" s="66" t="s">
        <v>1944</v>
      </c>
      <c r="D323" s="61">
        <v>102296</v>
      </c>
      <c r="E323" s="62">
        <v>44015</v>
      </c>
      <c r="F323" s="63"/>
    </row>
    <row r="324" spans="1:6" ht="14.25" thickTop="1" thickBot="1">
      <c r="A324" s="91" t="str">
        <f>C325</f>
        <v>ARGEU RODRIGUES DE OLIVEIRA</v>
      </c>
      <c r="B324" s="68" t="s">
        <v>62</v>
      </c>
      <c r="C324" s="66" t="s">
        <v>518</v>
      </c>
      <c r="D324" s="67"/>
      <c r="E324" s="62">
        <v>41891</v>
      </c>
      <c r="F324" s="63"/>
    </row>
    <row r="325" spans="1:6" ht="14.25" thickTop="1" thickBot="1">
      <c r="A325" s="91" t="str">
        <f>C326</f>
        <v>ARI FERREIRA MAINARDES</v>
      </c>
      <c r="B325" s="68" t="s">
        <v>62</v>
      </c>
      <c r="C325" s="66" t="s">
        <v>876</v>
      </c>
      <c r="D325" s="65">
        <v>63728</v>
      </c>
      <c r="E325" s="62">
        <v>42113</v>
      </c>
      <c r="F325" s="63"/>
    </row>
    <row r="326" spans="1:6" ht="14.25" thickTop="1" thickBot="1">
      <c r="A326" s="91" t="str">
        <f>C327</f>
        <v>ARI SOUZA MACHADO</v>
      </c>
      <c r="B326" s="68" t="s">
        <v>1597</v>
      </c>
      <c r="C326" s="66" t="s">
        <v>1101</v>
      </c>
      <c r="D326" s="69">
        <v>113591</v>
      </c>
      <c r="E326" s="62">
        <v>42108</v>
      </c>
      <c r="F326" s="63"/>
    </row>
    <row r="327" spans="1:6" ht="14.25" thickTop="1" thickBot="1">
      <c r="A327" s="91" t="str">
        <f>C328</f>
        <v>ARIANO MATEUS FARIA DE MELLO</v>
      </c>
      <c r="B327" s="68" t="s">
        <v>62</v>
      </c>
      <c r="C327" s="66" t="s">
        <v>1580</v>
      </c>
      <c r="D327" s="61">
        <v>10948</v>
      </c>
      <c r="E327" s="62">
        <v>39252</v>
      </c>
      <c r="F327" s="63"/>
    </row>
    <row r="328" spans="1:6" ht="14.25" thickTop="1" thickBot="1">
      <c r="A328" s="91" t="str">
        <f>C331</f>
        <v>ARISTEU RODRIGUES DA SILVA</v>
      </c>
      <c r="B328" s="68"/>
      <c r="C328" s="77" t="s">
        <v>2733</v>
      </c>
      <c r="D328" s="61">
        <v>117454</v>
      </c>
      <c r="E328" s="62">
        <v>43945</v>
      </c>
      <c r="F328" s="63"/>
    </row>
    <row r="329" spans="1:6" ht="14.25" thickTop="1" thickBot="1">
      <c r="A329" s="91" t="str">
        <f t="shared" ref="A329:A335" si="13">C330</f>
        <v>ARISTEU APARECIDO PONTES</v>
      </c>
      <c r="B329" s="68" t="s">
        <v>62</v>
      </c>
      <c r="C329" s="66" t="s">
        <v>562</v>
      </c>
      <c r="D329" s="67"/>
      <c r="E329" s="70">
        <v>42775</v>
      </c>
      <c r="F329" s="79"/>
    </row>
    <row r="330" spans="1:6" ht="14.25" thickTop="1" thickBot="1">
      <c r="A330" s="91" t="str">
        <f t="shared" si="13"/>
        <v>ARISTEU RODRIGUES DA SILVA</v>
      </c>
      <c r="B330" s="68" t="s">
        <v>62</v>
      </c>
      <c r="C330" s="66" t="s">
        <v>588</v>
      </c>
      <c r="D330" s="61">
        <v>117812</v>
      </c>
      <c r="E330" s="70">
        <v>43363</v>
      </c>
      <c r="F330" s="79"/>
    </row>
    <row r="331" spans="1:6" ht="14.25" thickTop="1" thickBot="1">
      <c r="A331" s="91" t="str">
        <f t="shared" si="13"/>
        <v>ARISTON APARECIDO CARNEIRO REIS</v>
      </c>
      <c r="B331" s="68"/>
      <c r="C331" s="192" t="s">
        <v>1964</v>
      </c>
      <c r="D331" s="61">
        <v>109096</v>
      </c>
      <c r="E331" s="70">
        <v>43348</v>
      </c>
      <c r="F331" s="71"/>
    </row>
    <row r="332" spans="1:6" ht="14.25" thickTop="1" thickBot="1">
      <c r="A332" s="91" t="str">
        <f t="shared" si="13"/>
        <v>ARLEU LOPES DA LUZ                         (Bugrinho)</v>
      </c>
      <c r="B332" s="89" t="s">
        <v>1821</v>
      </c>
      <c r="C332" s="66" t="s">
        <v>2332</v>
      </c>
      <c r="D332" s="67"/>
      <c r="E332" s="62">
        <v>40057</v>
      </c>
      <c r="F332" s="63"/>
    </row>
    <row r="333" spans="1:6" ht="14.25" thickTop="1" thickBot="1">
      <c r="A333" s="91" t="str">
        <f t="shared" si="13"/>
        <v>ARLINDO FLORIANO DA SILVA</v>
      </c>
      <c r="B333" s="68" t="s">
        <v>62</v>
      </c>
      <c r="C333" s="66" t="s">
        <v>3136</v>
      </c>
      <c r="D333" s="68"/>
      <c r="E333" s="62"/>
      <c r="F333" s="63"/>
    </row>
    <row r="334" spans="1:6" ht="14.25" thickTop="1" thickBot="1">
      <c r="A334" s="91" t="str">
        <f t="shared" si="13"/>
        <v>ARLINDO KRINK FILHO</v>
      </c>
      <c r="B334" s="68" t="s">
        <v>62</v>
      </c>
      <c r="C334" s="64" t="s">
        <v>1528</v>
      </c>
      <c r="D334" s="61">
        <v>56285</v>
      </c>
      <c r="E334" s="62">
        <v>39248</v>
      </c>
      <c r="F334" s="63"/>
    </row>
    <row r="335" spans="1:6" ht="14.25" thickTop="1" thickBot="1">
      <c r="A335" s="91" t="str">
        <f t="shared" si="13"/>
        <v>AROLDO GARCIA JUNIOR</v>
      </c>
      <c r="B335" s="68" t="s">
        <v>62</v>
      </c>
      <c r="C335" s="64" t="s">
        <v>1116</v>
      </c>
      <c r="D335" s="67"/>
      <c r="E335" s="62"/>
      <c r="F335" s="63"/>
    </row>
    <row r="336" spans="1:6" ht="14.25" thickTop="1" thickBot="1">
      <c r="A336" s="91"/>
      <c r="B336" s="61" t="s">
        <v>3630</v>
      </c>
      <c r="C336" s="192" t="s">
        <v>2229</v>
      </c>
      <c r="D336" s="61">
        <v>237075</v>
      </c>
      <c r="E336" s="70">
        <v>44123</v>
      </c>
      <c r="F336" s="395"/>
    </row>
    <row r="337" spans="1:6" ht="14.25" thickTop="1" thickBot="1">
      <c r="A337" s="91" t="str">
        <f t="shared" ref="A337:A348" si="14">C338</f>
        <v>ARTHUR CORREA DE MELO FILHO</v>
      </c>
      <c r="B337" s="68" t="s">
        <v>1298</v>
      </c>
      <c r="C337" s="66" t="s">
        <v>589</v>
      </c>
      <c r="D337" s="67"/>
      <c r="E337" s="115">
        <v>40669</v>
      </c>
      <c r="F337" s="83" t="s">
        <v>757</v>
      </c>
    </row>
    <row r="338" spans="1:6" ht="14.25" thickTop="1" thickBot="1">
      <c r="A338" s="91" t="str">
        <f t="shared" si="14"/>
        <v>ATHOS CHAGAS</v>
      </c>
      <c r="B338" s="68" t="s">
        <v>603</v>
      </c>
      <c r="C338" s="66" t="s">
        <v>528</v>
      </c>
      <c r="D338" s="178">
        <v>63519</v>
      </c>
      <c r="E338" s="62">
        <v>40287</v>
      </c>
      <c r="F338" s="63"/>
    </row>
    <row r="339" spans="1:6" ht="14.25" thickTop="1" thickBot="1">
      <c r="A339" s="91" t="str">
        <f t="shared" si="14"/>
        <v>AUGUSTO CEZAR RIBEIRO DE OLIVEIRA</v>
      </c>
      <c r="B339" s="68" t="s">
        <v>62</v>
      </c>
      <c r="C339" s="66" t="s">
        <v>70</v>
      </c>
      <c r="D339" s="65">
        <v>63426</v>
      </c>
      <c r="E339" s="62">
        <v>40592</v>
      </c>
      <c r="F339" s="63"/>
    </row>
    <row r="340" spans="1:6" ht="14.25" thickTop="1" thickBot="1">
      <c r="A340" s="91" t="str">
        <f t="shared" si="14"/>
        <v>AUGUSTO PEDROSO DOS SANTOS</v>
      </c>
      <c r="B340" s="68" t="s">
        <v>98</v>
      </c>
      <c r="C340" s="66" t="s">
        <v>1248</v>
      </c>
      <c r="D340" s="69">
        <v>7027</v>
      </c>
      <c r="E340" s="62">
        <v>40045</v>
      </c>
      <c r="F340" s="63"/>
    </row>
    <row r="341" spans="1:6" ht="14.25" thickTop="1" thickBot="1">
      <c r="A341" s="91" t="str">
        <f t="shared" si="14"/>
        <v>AZEVIR ROQUE BATISTEL</v>
      </c>
      <c r="B341" s="68" t="s">
        <v>62</v>
      </c>
      <c r="C341" s="66" t="s">
        <v>160</v>
      </c>
      <c r="D341" s="65">
        <v>63772</v>
      </c>
      <c r="E341" s="62">
        <v>39685</v>
      </c>
      <c r="F341" s="63"/>
    </row>
    <row r="342" spans="1:6" ht="14.25" thickTop="1" thickBot="1">
      <c r="A342" s="91" t="str">
        <f t="shared" si="14"/>
        <v xml:space="preserve">AZIZ MIGUEL HAGGEN NETO  </v>
      </c>
      <c r="B342" s="68" t="s">
        <v>546</v>
      </c>
      <c r="C342" s="66" t="s">
        <v>842</v>
      </c>
      <c r="D342" s="67"/>
      <c r="E342" s="62">
        <v>41082</v>
      </c>
      <c r="F342" s="63"/>
    </row>
    <row r="343" spans="1:6" ht="14.25" thickTop="1" thickBot="1">
      <c r="A343" s="91" t="str">
        <f t="shared" si="14"/>
        <v>BENTO ADEMIR SILVA</v>
      </c>
      <c r="B343" s="68" t="s">
        <v>62</v>
      </c>
      <c r="C343" s="64" t="s">
        <v>879</v>
      </c>
      <c r="D343" s="65">
        <v>63977</v>
      </c>
      <c r="E343" s="62">
        <v>42353</v>
      </c>
      <c r="F343" s="63"/>
    </row>
    <row r="344" spans="1:6" ht="14.25" thickTop="1" thickBot="1">
      <c r="A344" s="91" t="str">
        <f t="shared" si="14"/>
        <v>BENTO JOSE HAAS DE MORAES</v>
      </c>
      <c r="B344" s="68" t="s">
        <v>62</v>
      </c>
      <c r="C344" s="66" t="s">
        <v>881</v>
      </c>
      <c r="D344" s="61">
        <v>10987</v>
      </c>
      <c r="E344" s="62"/>
      <c r="F344" s="63"/>
    </row>
    <row r="345" spans="1:6" ht="14.25" thickTop="1" thickBot="1">
      <c r="A345" s="91" t="str">
        <f t="shared" si="14"/>
        <v>BERNARDINO FREITAS DA SILVA</v>
      </c>
      <c r="B345" s="68" t="s">
        <v>62</v>
      </c>
      <c r="C345" s="66" t="s">
        <v>1727</v>
      </c>
      <c r="D345" s="67"/>
      <c r="E345" s="62">
        <v>41687</v>
      </c>
      <c r="F345" s="63"/>
    </row>
    <row r="346" spans="1:6" ht="14.25" thickTop="1" thickBot="1">
      <c r="A346" s="91" t="str">
        <f t="shared" si="14"/>
        <v>BINITUS JOMAR CARVALHO</v>
      </c>
      <c r="B346" s="68" t="s">
        <v>62</v>
      </c>
      <c r="C346" s="66" t="s">
        <v>818</v>
      </c>
      <c r="D346" s="65">
        <v>83759</v>
      </c>
      <c r="E346" s="62"/>
      <c r="F346" s="63"/>
    </row>
    <row r="347" spans="1:6" ht="14.25" thickTop="1" thickBot="1">
      <c r="A347" s="91" t="str">
        <f t="shared" si="14"/>
        <v>BRAZILIO CORDEIRO</v>
      </c>
      <c r="B347" s="68" t="s">
        <v>62</v>
      </c>
      <c r="C347" s="64" t="s">
        <v>751</v>
      </c>
      <c r="D347" s="67"/>
      <c r="E347" s="62">
        <v>40360</v>
      </c>
      <c r="F347" s="63"/>
    </row>
    <row r="348" spans="1:6" ht="14.25" thickTop="1" thickBot="1">
      <c r="A348" s="91" t="str">
        <f t="shared" si="14"/>
        <v xml:space="preserve">BRIAN FERNANDO DE OLIVEIRA </v>
      </c>
      <c r="B348" s="68" t="s">
        <v>1866</v>
      </c>
      <c r="C348" s="64" t="s">
        <v>819</v>
      </c>
      <c r="D348" s="65">
        <v>63892</v>
      </c>
      <c r="E348" s="62">
        <v>43138</v>
      </c>
      <c r="F348" s="61"/>
    </row>
    <row r="349" spans="1:6" ht="14.25" thickTop="1" thickBot="1">
      <c r="A349" s="91"/>
      <c r="B349" s="68" t="s">
        <v>1812</v>
      </c>
      <c r="C349" s="194" t="s">
        <v>2014</v>
      </c>
      <c r="D349" s="61">
        <v>137123</v>
      </c>
      <c r="E349" s="70">
        <v>44140</v>
      </c>
      <c r="F349" s="71"/>
    </row>
    <row r="350" spans="1:6" ht="14.25" thickTop="1" thickBot="1">
      <c r="A350" s="91" t="str">
        <f>C351</f>
        <v>BRUNO ALEXANDRO GOMES VENSÃO</v>
      </c>
      <c r="B350" s="68" t="s">
        <v>2347</v>
      </c>
      <c r="C350" s="66" t="s">
        <v>2208</v>
      </c>
      <c r="D350" s="61">
        <v>89687</v>
      </c>
      <c r="E350" s="62">
        <v>43346</v>
      </c>
      <c r="F350" s="63"/>
    </row>
    <row r="351" spans="1:6" ht="14.25" thickTop="1" thickBot="1">
      <c r="A351" s="91" t="str">
        <f>C352</f>
        <v>BRUNO DA SILVA KIEL</v>
      </c>
      <c r="B351" s="68" t="s">
        <v>62</v>
      </c>
      <c r="C351" s="60" t="s">
        <v>2107</v>
      </c>
      <c r="D351" s="61">
        <v>122524</v>
      </c>
      <c r="E351" s="62">
        <v>42704</v>
      </c>
      <c r="F351" s="63"/>
    </row>
    <row r="352" spans="1:6" ht="14.25" thickTop="1" thickBot="1">
      <c r="A352" s="91"/>
      <c r="B352" s="68" t="s">
        <v>1812</v>
      </c>
      <c r="C352" s="66" t="s">
        <v>188</v>
      </c>
      <c r="D352" s="65"/>
      <c r="E352" s="62">
        <v>40933</v>
      </c>
      <c r="F352" s="63"/>
    </row>
    <row r="353" spans="1:6" ht="14.25" thickTop="1" thickBot="1">
      <c r="A353" s="91" t="str">
        <f>C354</f>
        <v>BRUNO HENRIQUE SANTOS</v>
      </c>
      <c r="B353" s="68" t="s">
        <v>2347</v>
      </c>
      <c r="C353" s="64" t="s">
        <v>1794</v>
      </c>
      <c r="D353" s="65">
        <v>63907</v>
      </c>
      <c r="E353" s="62">
        <v>43346</v>
      </c>
      <c r="F353" s="63"/>
    </row>
    <row r="354" spans="1:6" ht="14.25" thickTop="1" thickBot="1">
      <c r="A354" s="91" t="str">
        <f>C355</f>
        <v>BRUNO LEANDRO RAMOS</v>
      </c>
      <c r="B354" s="67" t="s">
        <v>1522</v>
      </c>
      <c r="C354" s="66" t="s">
        <v>2189</v>
      </c>
      <c r="D354" s="61">
        <v>142866</v>
      </c>
      <c r="E354" s="70">
        <v>42343</v>
      </c>
      <c r="F354" s="75"/>
    </row>
    <row r="355" spans="1:6" ht="14.25" thickTop="1" thickBot="1">
      <c r="A355" s="91" t="str">
        <f>C356</f>
        <v>BRUNO MATEUS DA SILVEIRA DOMINGUES</v>
      </c>
      <c r="B355" s="68" t="s">
        <v>1306</v>
      </c>
      <c r="C355" s="66" t="s">
        <v>1179</v>
      </c>
      <c r="D355" s="61">
        <v>118718</v>
      </c>
      <c r="E355" s="70">
        <v>42649</v>
      </c>
      <c r="F355" s="71"/>
    </row>
    <row r="356" spans="1:6" ht="14.25" thickTop="1" thickBot="1">
      <c r="A356" s="91" t="s">
        <v>2402</v>
      </c>
      <c r="B356" s="68" t="s">
        <v>126</v>
      </c>
      <c r="C356" s="66" t="s">
        <v>1716</v>
      </c>
      <c r="D356" s="61">
        <v>122996</v>
      </c>
      <c r="E356" s="70">
        <v>43398</v>
      </c>
      <c r="F356" s="71"/>
    </row>
    <row r="357" spans="1:6" ht="14.25" thickTop="1" thickBot="1">
      <c r="A357" s="91"/>
      <c r="B357" s="68" t="s">
        <v>2406</v>
      </c>
      <c r="C357" s="60" t="s">
        <v>3137</v>
      </c>
      <c r="D357" s="61">
        <v>148179</v>
      </c>
      <c r="E357" s="62">
        <v>43615</v>
      </c>
      <c r="F357" s="63"/>
    </row>
    <row r="358" spans="1:6" ht="14.25" thickTop="1" thickBot="1">
      <c r="A358" s="91" t="str">
        <f>C359</f>
        <v>BRUNO RAFAEL DOS SANTOS</v>
      </c>
      <c r="B358" s="68" t="s">
        <v>62</v>
      </c>
      <c r="C358" s="60" t="s">
        <v>2479</v>
      </c>
      <c r="D358" s="61">
        <v>161885</v>
      </c>
      <c r="E358" s="62">
        <v>43250</v>
      </c>
      <c r="F358" s="63"/>
    </row>
    <row r="359" spans="1:6" ht="14.25" thickTop="1" thickBot="1">
      <c r="A359" s="91" t="str">
        <f>C360</f>
        <v>BRUNO RICARDO OLIVEIRA ALVES        (Bruninho)</v>
      </c>
      <c r="B359" s="89" t="s">
        <v>62</v>
      </c>
      <c r="C359" s="66" t="s">
        <v>2178</v>
      </c>
      <c r="D359" s="61">
        <v>142731</v>
      </c>
      <c r="E359" s="62">
        <v>40500</v>
      </c>
      <c r="F359" s="63"/>
    </row>
    <row r="360" spans="1:6" ht="12" customHeight="1" thickTop="1" thickBot="1">
      <c r="A360" s="91" t="s">
        <v>1798</v>
      </c>
      <c r="B360" s="89" t="s">
        <v>2413</v>
      </c>
      <c r="C360" s="66" t="s">
        <v>3138</v>
      </c>
      <c r="D360" s="65"/>
      <c r="E360" s="62">
        <v>43563</v>
      </c>
      <c r="F360" s="63"/>
    </row>
    <row r="361" spans="1:6" ht="14.25" thickTop="1" thickBot="1">
      <c r="A361" s="91" t="str">
        <f>C362</f>
        <v>BRUNO ROBERTO DA SILVA ALVES</v>
      </c>
      <c r="B361" s="68" t="s">
        <v>62</v>
      </c>
      <c r="C361" s="192" t="s">
        <v>1798</v>
      </c>
      <c r="D361" s="61">
        <v>108499</v>
      </c>
      <c r="E361" s="62">
        <v>42480</v>
      </c>
      <c r="F361" s="63"/>
    </row>
    <row r="362" spans="1:6" ht="14.25" thickTop="1" thickBot="1">
      <c r="A362" s="91"/>
      <c r="B362" s="68" t="s">
        <v>2406</v>
      </c>
      <c r="C362" s="66" t="s">
        <v>1798</v>
      </c>
      <c r="D362" s="61">
        <v>108499</v>
      </c>
      <c r="E362" s="70">
        <v>44036</v>
      </c>
      <c r="F362" s="71"/>
    </row>
    <row r="363" spans="1:6" ht="14.25" thickTop="1" thickBot="1">
      <c r="A363" s="91" t="str">
        <f>C364</f>
        <v>BRUNO TRESKA</v>
      </c>
      <c r="B363" s="68" t="s">
        <v>62</v>
      </c>
      <c r="C363" s="64" t="s">
        <v>373</v>
      </c>
      <c r="D363" s="61">
        <v>102203</v>
      </c>
      <c r="E363" s="62">
        <v>42590</v>
      </c>
      <c r="F363" s="63"/>
    </row>
    <row r="364" spans="1:6" ht="14.25" thickTop="1" thickBot="1">
      <c r="A364" s="216"/>
      <c r="B364" s="61" t="s">
        <v>2406</v>
      </c>
      <c r="C364" s="246" t="s">
        <v>127</v>
      </c>
      <c r="D364" s="65">
        <v>63769</v>
      </c>
      <c r="E364" s="70">
        <v>43504</v>
      </c>
      <c r="F364" s="71"/>
    </row>
    <row r="365" spans="1:6" ht="14.25" thickTop="1" thickBot="1">
      <c r="A365" s="91" t="s">
        <v>1691</v>
      </c>
      <c r="B365" s="61" t="s">
        <v>1306</v>
      </c>
      <c r="C365" s="91" t="s">
        <v>127</v>
      </c>
      <c r="D365" s="61">
        <v>102203</v>
      </c>
      <c r="E365" s="70"/>
      <c r="F365" s="71"/>
    </row>
    <row r="366" spans="1:6" ht="14.25" thickTop="1" thickBot="1">
      <c r="A366" s="91" t="str">
        <f t="shared" ref="A366:A375" si="15">C367</f>
        <v>CAIO VINICIUS DA SILVA                (Jerry)</v>
      </c>
      <c r="B366" s="68" t="s">
        <v>2347</v>
      </c>
      <c r="C366" s="60" t="s">
        <v>2475</v>
      </c>
      <c r="D366" s="61">
        <v>161747</v>
      </c>
      <c r="E366" s="62">
        <v>43346</v>
      </c>
      <c r="F366" s="63"/>
    </row>
    <row r="367" spans="1:6" ht="14.25" thickTop="1" thickBot="1">
      <c r="A367" s="91" t="str">
        <f t="shared" si="15"/>
        <v>CALOS CESAR DE PAULA</v>
      </c>
      <c r="B367" s="68" t="s">
        <v>62</v>
      </c>
      <c r="C367" s="197" t="s">
        <v>3139</v>
      </c>
      <c r="D367" s="61">
        <v>73141</v>
      </c>
      <c r="E367" s="62">
        <v>40094</v>
      </c>
      <c r="F367" s="63"/>
    </row>
    <row r="368" spans="1:6" ht="14.25" thickTop="1" thickBot="1">
      <c r="A368" s="91" t="str">
        <f t="shared" si="15"/>
        <v>CARLOS ALBARI DE OLIVEIRA</v>
      </c>
      <c r="B368" s="68" t="s">
        <v>62</v>
      </c>
      <c r="C368" s="64" t="s">
        <v>1878</v>
      </c>
      <c r="D368" s="61">
        <v>127762</v>
      </c>
      <c r="E368" s="62">
        <v>40693</v>
      </c>
      <c r="F368" s="63"/>
    </row>
    <row r="369" spans="1:6" ht="14.25" thickTop="1" thickBot="1">
      <c r="A369" s="91" t="str">
        <f t="shared" si="15"/>
        <v>CARLOS ALBERTO DE OLIVEIRA</v>
      </c>
      <c r="B369" s="68" t="s">
        <v>62</v>
      </c>
      <c r="C369" s="66" t="s">
        <v>2049</v>
      </c>
      <c r="D369" s="69">
        <v>29021</v>
      </c>
      <c r="E369" s="62">
        <v>41060</v>
      </c>
      <c r="F369" s="63"/>
    </row>
    <row r="370" spans="1:6" ht="14.25" thickTop="1" thickBot="1">
      <c r="A370" s="91" t="str">
        <f t="shared" si="15"/>
        <v>CARLOS ALBERTO FRANCISCO DE MENEZES (Paulista/Dinho/Nene)</v>
      </c>
      <c r="B370" s="68" t="s">
        <v>62</v>
      </c>
      <c r="C370" s="131" t="s">
        <v>824</v>
      </c>
      <c r="D370" s="202"/>
      <c r="E370" s="62">
        <v>43077</v>
      </c>
      <c r="F370" s="63"/>
    </row>
    <row r="371" spans="1:6" ht="14.25" thickTop="1" thickBot="1">
      <c r="A371" s="91" t="str">
        <f t="shared" si="15"/>
        <v>CARLOS ALBERTO GONÇALVES LEMES</v>
      </c>
      <c r="B371" s="68" t="s">
        <v>1264</v>
      </c>
      <c r="C371" s="66" t="s">
        <v>1630</v>
      </c>
      <c r="D371" s="61">
        <v>63439</v>
      </c>
      <c r="E371" s="62">
        <v>41164</v>
      </c>
      <c r="F371" s="63"/>
    </row>
    <row r="372" spans="1:6" ht="14.25" thickTop="1" thickBot="1">
      <c r="A372" s="91" t="str">
        <f t="shared" si="15"/>
        <v>CARLOS ALBERTO MORAES</v>
      </c>
      <c r="B372" s="68" t="s">
        <v>62</v>
      </c>
      <c r="C372" s="64" t="s">
        <v>784</v>
      </c>
      <c r="D372" s="65">
        <v>27174</v>
      </c>
      <c r="E372" s="62">
        <v>40416</v>
      </c>
      <c r="F372" s="63"/>
    </row>
    <row r="373" spans="1:6" ht="14.25" thickTop="1" thickBot="1">
      <c r="A373" s="91" t="str">
        <f t="shared" si="15"/>
        <v>CARLOS ALBERTO PEDROSO</v>
      </c>
      <c r="B373" s="68" t="s">
        <v>62</v>
      </c>
      <c r="C373" s="66" t="s">
        <v>956</v>
      </c>
      <c r="D373" s="61">
        <v>63311</v>
      </c>
      <c r="E373" s="70">
        <v>42331</v>
      </c>
      <c r="F373" s="71"/>
    </row>
    <row r="374" spans="1:6" ht="14.25" thickTop="1" thickBot="1">
      <c r="A374" s="91" t="str">
        <f t="shared" si="15"/>
        <v>CARLOS ALBERTO SIMÃO</v>
      </c>
      <c r="B374" s="68" t="s">
        <v>62</v>
      </c>
      <c r="C374" s="66" t="s">
        <v>832</v>
      </c>
      <c r="D374" s="65">
        <v>63797</v>
      </c>
      <c r="E374" s="70">
        <v>42447</v>
      </c>
      <c r="F374" s="75"/>
    </row>
    <row r="375" spans="1:6" ht="14.25" thickTop="1" thickBot="1">
      <c r="A375" s="91" t="str">
        <f t="shared" si="15"/>
        <v>CARLOS ALESSANDRO DAVIDOSKI SARAIVA</v>
      </c>
      <c r="B375" s="68" t="s">
        <v>62</v>
      </c>
      <c r="C375" s="66" t="s">
        <v>739</v>
      </c>
      <c r="D375" s="61">
        <v>102901</v>
      </c>
      <c r="E375" s="62"/>
      <c r="F375" s="63"/>
    </row>
    <row r="376" spans="1:6" ht="14.25" thickTop="1" thickBot="1">
      <c r="A376" s="91" t="str">
        <f>C378</f>
        <v>CARLOS ANDRE COSTA SILVEIRA</v>
      </c>
      <c r="B376" s="68" t="s">
        <v>62</v>
      </c>
      <c r="C376" s="66" t="s">
        <v>1047</v>
      </c>
      <c r="D376" s="61">
        <v>101664</v>
      </c>
      <c r="E376" s="62">
        <v>40242</v>
      </c>
      <c r="F376" s="63"/>
    </row>
    <row r="377" spans="1:6" ht="14.25" thickTop="1" thickBot="1">
      <c r="A377" s="91" t="str">
        <f>C378</f>
        <v>CARLOS ANDRE COSTA SILVEIRA</v>
      </c>
      <c r="B377" s="68" t="s">
        <v>62</v>
      </c>
      <c r="C377" s="66" t="s">
        <v>1708</v>
      </c>
      <c r="D377" s="67"/>
      <c r="E377" s="62">
        <v>41095</v>
      </c>
      <c r="F377" s="63"/>
    </row>
    <row r="378" spans="1:6" ht="14.25" thickTop="1" thickBot="1">
      <c r="A378" s="91" t="str">
        <f>C379</f>
        <v>CARLOS ANTONIO DOMINGUES</v>
      </c>
      <c r="B378" s="68" t="s">
        <v>546</v>
      </c>
      <c r="C378" s="66" t="s">
        <v>8</v>
      </c>
      <c r="D378" s="312">
        <v>63860</v>
      </c>
      <c r="E378" s="62">
        <v>41570</v>
      </c>
      <c r="F378" s="63"/>
    </row>
    <row r="379" spans="1:6" ht="14.25" thickTop="1" thickBot="1">
      <c r="A379" s="91" t="str">
        <f>C380</f>
        <v>CARLOS ANTONIO PIRES                (Tio Carlinho)</v>
      </c>
      <c r="B379" s="68" t="s">
        <v>62</v>
      </c>
      <c r="C379" s="66" t="s">
        <v>856</v>
      </c>
      <c r="D379" s="65">
        <v>23233</v>
      </c>
      <c r="E379" s="62">
        <v>41624</v>
      </c>
      <c r="F379" s="63"/>
    </row>
    <row r="380" spans="1:6" ht="14.25" thickTop="1" thickBot="1">
      <c r="A380" s="91" t="str">
        <f>C381</f>
        <v>CARLOS AUGUSTO CAMARGO JARONSKI</v>
      </c>
      <c r="B380" s="68" t="s">
        <v>62</v>
      </c>
      <c r="C380" s="66" t="s">
        <v>3352</v>
      </c>
      <c r="D380" s="61">
        <v>27197</v>
      </c>
      <c r="E380" s="62">
        <v>40641</v>
      </c>
      <c r="F380" s="63"/>
    </row>
    <row r="381" spans="1:6" ht="14.25" thickTop="1" thickBot="1">
      <c r="A381" s="91" t="s">
        <v>3469</v>
      </c>
      <c r="B381" s="68" t="s">
        <v>1264</v>
      </c>
      <c r="C381" s="192" t="s">
        <v>3419</v>
      </c>
      <c r="D381" s="67"/>
      <c r="E381" s="62">
        <v>43928</v>
      </c>
      <c r="F381" s="63"/>
    </row>
    <row r="382" spans="1:6" ht="14.25" thickTop="1" thickBot="1">
      <c r="A382" s="91" t="str">
        <f>C383</f>
        <v>CARLOS AUGUSTO JANACIEVICZ                (Guto / Piquá)</v>
      </c>
      <c r="B382" s="68" t="s">
        <v>62</v>
      </c>
      <c r="C382" s="66" t="s">
        <v>3140</v>
      </c>
      <c r="D382" s="65">
        <v>27208</v>
      </c>
      <c r="E382" s="62">
        <v>39285</v>
      </c>
      <c r="F382" s="63"/>
    </row>
    <row r="383" spans="1:6" ht="14.25" thickTop="1" thickBot="1">
      <c r="A383" s="91" t="str">
        <f>C384</f>
        <v>CARLOS AUGUSTO MORAES DOMINGOS</v>
      </c>
      <c r="B383" s="68" t="s">
        <v>62</v>
      </c>
      <c r="C383" s="66" t="s">
        <v>3141</v>
      </c>
      <c r="D383" s="65">
        <v>63769</v>
      </c>
      <c r="E383" s="62">
        <v>40814</v>
      </c>
      <c r="F383" s="63"/>
    </row>
    <row r="384" spans="1:6" ht="14.25" thickTop="1" thickBot="1">
      <c r="A384" s="91"/>
      <c r="B384" s="68" t="s">
        <v>2413</v>
      </c>
      <c r="C384" s="66" t="s">
        <v>2039</v>
      </c>
      <c r="D384" s="61">
        <v>115956</v>
      </c>
      <c r="E384" s="62">
        <v>43749</v>
      </c>
      <c r="F384" s="63"/>
    </row>
    <row r="385" spans="1:6" ht="14.25" thickTop="1" thickBot="1">
      <c r="A385" s="91" t="str">
        <f>C386</f>
        <v>CARLOS CESAR RODRIGUES DE SOUZA</v>
      </c>
      <c r="B385" s="68" t="s">
        <v>74</v>
      </c>
      <c r="C385" s="66" t="s">
        <v>157</v>
      </c>
      <c r="D385" s="67"/>
      <c r="E385" s="70">
        <v>42523</v>
      </c>
      <c r="F385" s="75"/>
    </row>
    <row r="386" spans="1:6" ht="14.25" thickTop="1" thickBot="1">
      <c r="A386" s="91" t="str">
        <f>C387</f>
        <v>CARLOS DA SILVA COSTA                            (Gardenal)</v>
      </c>
      <c r="B386" s="68" t="s">
        <v>62</v>
      </c>
      <c r="C386" s="66" t="s">
        <v>590</v>
      </c>
      <c r="D386" s="65">
        <v>8159</v>
      </c>
      <c r="E386" s="62">
        <v>40823</v>
      </c>
      <c r="F386" s="63"/>
    </row>
    <row r="387" spans="1:6" ht="14.25" thickTop="1" thickBot="1">
      <c r="A387" s="91" t="str">
        <f>C388</f>
        <v>CARLOS DE JESUS CAETANO FILHO</v>
      </c>
      <c r="B387" s="68" t="s">
        <v>62</v>
      </c>
      <c r="C387" s="64" t="s">
        <v>3353</v>
      </c>
      <c r="D387" s="61">
        <v>100821</v>
      </c>
      <c r="E387" s="62">
        <v>43364</v>
      </c>
      <c r="F387" s="63"/>
    </row>
    <row r="388" spans="1:6" ht="14.25" thickTop="1" thickBot="1">
      <c r="A388" s="91" t="str">
        <f>C390</f>
        <v>CARLOS DOS SANTOS</v>
      </c>
      <c r="B388" s="68" t="s">
        <v>62</v>
      </c>
      <c r="C388" s="66" t="s">
        <v>2129</v>
      </c>
      <c r="D388" s="198">
        <v>122247</v>
      </c>
      <c r="E388" s="62">
        <v>42038</v>
      </c>
      <c r="F388" s="63"/>
    </row>
    <row r="389" spans="1:6" ht="14.25" thickTop="1" thickBot="1">
      <c r="A389" s="91" t="str">
        <f>C390</f>
        <v>CARLOS DOS SANTOS</v>
      </c>
      <c r="B389" s="68" t="s">
        <v>62</v>
      </c>
      <c r="C389" s="66" t="s">
        <v>261</v>
      </c>
      <c r="D389" s="65">
        <v>63919</v>
      </c>
      <c r="E389" s="62">
        <v>39309</v>
      </c>
      <c r="F389" s="63"/>
    </row>
    <row r="390" spans="1:6" ht="14.25" thickTop="1" thickBot="1">
      <c r="A390" s="91" t="str">
        <f>C394</f>
        <v>CARLOS EDUARDO FELIX</v>
      </c>
      <c r="B390" s="68" t="s">
        <v>1570</v>
      </c>
      <c r="C390" s="66" t="s">
        <v>550</v>
      </c>
      <c r="D390" s="65">
        <v>50451</v>
      </c>
      <c r="E390" s="62">
        <v>41687</v>
      </c>
      <c r="F390" s="63"/>
    </row>
    <row r="391" spans="1:6" ht="14.25" thickTop="1" thickBot="1">
      <c r="A391" s="91"/>
      <c r="B391" s="68" t="s">
        <v>2413</v>
      </c>
      <c r="C391" s="60" t="s">
        <v>2093</v>
      </c>
      <c r="D391" s="61">
        <v>27143</v>
      </c>
      <c r="E391" s="70">
        <v>43847</v>
      </c>
      <c r="F391" s="71"/>
    </row>
    <row r="392" spans="1:6" ht="14.25" thickTop="1" thickBot="1">
      <c r="A392" s="91" t="str">
        <f>C393</f>
        <v>CARLOS EDUARDO DOS SANTOS</v>
      </c>
      <c r="B392" s="68" t="s">
        <v>2347</v>
      </c>
      <c r="C392" s="66" t="s">
        <v>2909</v>
      </c>
      <c r="D392" s="67"/>
      <c r="E392" s="62">
        <v>43346</v>
      </c>
      <c r="F392" s="63"/>
    </row>
    <row r="393" spans="1:6" ht="14.25" thickTop="1" thickBot="1">
      <c r="A393" s="340"/>
      <c r="B393" s="408" t="s">
        <v>1812</v>
      </c>
      <c r="C393" s="141" t="s">
        <v>2682</v>
      </c>
      <c r="D393" s="117">
        <v>138840</v>
      </c>
      <c r="E393" s="62">
        <v>43875</v>
      </c>
      <c r="F393" s="63"/>
    </row>
    <row r="394" spans="1:6" ht="14.25" thickTop="1" thickBot="1">
      <c r="A394" s="340" t="str">
        <f>C395</f>
        <v>CARLOS EMILIO HONIG</v>
      </c>
      <c r="B394" s="408" t="s">
        <v>846</v>
      </c>
      <c r="C394" s="141" t="s">
        <v>1946</v>
      </c>
      <c r="D394" s="117">
        <v>102089</v>
      </c>
      <c r="E394" s="62">
        <v>43349</v>
      </c>
      <c r="F394" s="63"/>
    </row>
    <row r="395" spans="1:6" ht="14.25" thickTop="1" thickBot="1">
      <c r="A395" s="91" t="str">
        <f>C398</f>
        <v>CARLOS GILBERTO MENDES JEBI</v>
      </c>
      <c r="B395" s="68" t="s">
        <v>62</v>
      </c>
      <c r="C395" s="77" t="s">
        <v>2043</v>
      </c>
      <c r="D395" s="61">
        <v>139299</v>
      </c>
      <c r="E395" s="62">
        <v>40093</v>
      </c>
      <c r="F395" s="63"/>
    </row>
    <row r="396" spans="1:6" ht="14.25" thickTop="1" thickBot="1">
      <c r="A396" s="91" t="str">
        <f>C397</f>
        <v>CARLOS FARIA DOS SANTOS            (Gamarra / Corinthiano)</v>
      </c>
      <c r="B396" s="68" t="s">
        <v>351</v>
      </c>
      <c r="C396" s="66" t="s">
        <v>591</v>
      </c>
      <c r="D396" s="65">
        <v>27282</v>
      </c>
      <c r="E396" s="62"/>
      <c r="F396" s="63"/>
    </row>
    <row r="397" spans="1:6" ht="14.25" thickTop="1" thickBot="1">
      <c r="A397" s="91" t="str">
        <f>C399</f>
        <v>CARLOS GILBERTO MENDES JEBI</v>
      </c>
      <c r="B397" s="68" t="s">
        <v>546</v>
      </c>
      <c r="C397" s="64" t="s">
        <v>3142</v>
      </c>
      <c r="D397" s="69">
        <v>10874</v>
      </c>
      <c r="E397" s="204">
        <v>43721</v>
      </c>
      <c r="F397" s="63"/>
    </row>
    <row r="398" spans="1:6" ht="14.25" thickTop="1" thickBot="1">
      <c r="A398" s="91" t="str">
        <f>C399</f>
        <v>CARLOS GILBERTO MENDES JEBI</v>
      </c>
      <c r="B398" s="68" t="s">
        <v>546</v>
      </c>
      <c r="C398" s="66" t="s">
        <v>2285</v>
      </c>
      <c r="D398" s="203">
        <v>64178</v>
      </c>
      <c r="E398" s="62">
        <v>43357</v>
      </c>
      <c r="F398" s="63"/>
    </row>
    <row r="399" spans="1:6" ht="14.25" thickTop="1" thickBot="1">
      <c r="A399" s="91" t="str">
        <f>C400</f>
        <v>CARLOS HECTOR DE LA CRUZ ALAVA             (Peruano)</v>
      </c>
      <c r="B399" s="68" t="s">
        <v>62</v>
      </c>
      <c r="C399" s="77" t="s">
        <v>2285</v>
      </c>
      <c r="D399" s="61">
        <v>64178</v>
      </c>
      <c r="E399" s="62">
        <v>40851</v>
      </c>
      <c r="F399" s="63"/>
    </row>
    <row r="400" spans="1:6" ht="14.25" thickTop="1" thickBot="1">
      <c r="A400" s="91" t="str">
        <f>C401</f>
        <v>CARLOS HENRIQUE DAMASCENO DO JESUS</v>
      </c>
      <c r="B400" s="68" t="s">
        <v>62</v>
      </c>
      <c r="C400" s="66" t="s">
        <v>3143</v>
      </c>
      <c r="D400" s="67"/>
      <c r="E400" s="62">
        <v>42522</v>
      </c>
      <c r="F400" s="63"/>
    </row>
    <row r="401" spans="1:6" ht="14.25" thickTop="1" thickBot="1">
      <c r="A401" s="91" t="str">
        <f>C402</f>
        <v>CARLOS HENRIQUE RICHUITI COSTA</v>
      </c>
      <c r="B401" s="68" t="s">
        <v>62</v>
      </c>
      <c r="C401" s="64" t="s">
        <v>134</v>
      </c>
      <c r="D401" s="65">
        <v>63787</v>
      </c>
      <c r="E401" s="62">
        <v>39402</v>
      </c>
      <c r="F401" s="63"/>
    </row>
    <row r="402" spans="1:6" ht="14.25" thickTop="1" thickBot="1">
      <c r="A402" s="91"/>
      <c r="B402" s="68" t="s">
        <v>1264</v>
      </c>
      <c r="C402" s="192" t="s">
        <v>3420</v>
      </c>
      <c r="D402" s="67"/>
      <c r="E402" s="62">
        <v>43928</v>
      </c>
      <c r="F402" s="63"/>
    </row>
    <row r="403" spans="1:6" ht="14.25" thickTop="1" thickBot="1">
      <c r="A403" s="91" t="str">
        <f t="shared" ref="A403:A408" si="16">C404</f>
        <v>CARLOS IZIDIO JUNIOR</v>
      </c>
      <c r="B403" s="68" t="s">
        <v>62</v>
      </c>
      <c r="C403" s="66" t="s">
        <v>1536</v>
      </c>
      <c r="D403" s="61">
        <v>27025</v>
      </c>
      <c r="E403" s="62">
        <v>41673</v>
      </c>
      <c r="F403" s="63"/>
    </row>
    <row r="404" spans="1:6" ht="14.25" thickTop="1" thickBot="1">
      <c r="A404" s="91" t="str">
        <f t="shared" si="16"/>
        <v>CARLOS JOSE SIEBRE DE OLIVEIRA</v>
      </c>
      <c r="B404" s="68" t="s">
        <v>62</v>
      </c>
      <c r="C404" s="66" t="s">
        <v>270</v>
      </c>
      <c r="D404" s="67"/>
      <c r="E404" s="62">
        <v>42327</v>
      </c>
      <c r="F404" s="63"/>
    </row>
    <row r="405" spans="1:6" ht="14.25" thickTop="1" thickBot="1">
      <c r="A405" s="91" t="str">
        <f t="shared" si="16"/>
        <v>CARLOS LEANDRO FARAGO BITTAR</v>
      </c>
      <c r="B405" s="68" t="s">
        <v>62</v>
      </c>
      <c r="C405" s="66" t="s">
        <v>592</v>
      </c>
      <c r="D405" s="67"/>
      <c r="E405" s="62">
        <v>42920</v>
      </c>
      <c r="F405" s="63"/>
    </row>
    <row r="406" spans="1:6" ht="14.25" thickTop="1" thickBot="1">
      <c r="A406" s="91" t="str">
        <f t="shared" si="16"/>
        <v>CARLOS LEONARDO PACHECO</v>
      </c>
      <c r="B406" s="68" t="s">
        <v>62</v>
      </c>
      <c r="C406" s="66" t="s">
        <v>939</v>
      </c>
      <c r="D406" s="61">
        <v>114318</v>
      </c>
      <c r="E406" s="62">
        <v>42590</v>
      </c>
      <c r="F406" s="63"/>
    </row>
    <row r="407" spans="1:6" ht="14.25" thickTop="1" thickBot="1">
      <c r="A407" s="91" t="str">
        <f t="shared" si="16"/>
        <v>CARLOS LUIZ FREITAS                   (Veio)</v>
      </c>
      <c r="B407" s="68" t="s">
        <v>62</v>
      </c>
      <c r="C407" s="66" t="s">
        <v>1992</v>
      </c>
      <c r="D407" s="61">
        <v>24489</v>
      </c>
      <c r="E407" s="62">
        <v>42257</v>
      </c>
      <c r="F407" s="63"/>
    </row>
    <row r="408" spans="1:6" ht="14.25" thickTop="1" thickBot="1">
      <c r="A408" s="91" t="str">
        <f t="shared" si="16"/>
        <v>CARLOS MARLON POHL</v>
      </c>
      <c r="B408" s="68" t="s">
        <v>62</v>
      </c>
      <c r="C408" s="66" t="s">
        <v>3354</v>
      </c>
      <c r="D408" s="65">
        <v>27060</v>
      </c>
      <c r="E408" s="62">
        <v>42914</v>
      </c>
      <c r="F408" s="63"/>
    </row>
    <row r="409" spans="1:6" ht="14.25" thickTop="1" thickBot="1">
      <c r="A409" s="91"/>
      <c r="B409" s="68" t="s">
        <v>62</v>
      </c>
      <c r="C409" s="64" t="s">
        <v>724</v>
      </c>
      <c r="D409" s="65">
        <v>27300</v>
      </c>
      <c r="E409" s="62">
        <v>42705</v>
      </c>
      <c r="F409" s="63"/>
    </row>
    <row r="410" spans="1:6" ht="14.25" thickTop="1" thickBot="1">
      <c r="A410" s="91" t="str">
        <f t="shared" ref="A410:A416" si="17">C411</f>
        <v>CARLOS RAFAEL FERREIRA</v>
      </c>
      <c r="B410" s="68" t="s">
        <v>62</v>
      </c>
      <c r="C410" s="66" t="s">
        <v>960</v>
      </c>
      <c r="D410" s="65">
        <v>101528</v>
      </c>
      <c r="E410" s="62">
        <v>39870</v>
      </c>
      <c r="F410" s="63"/>
    </row>
    <row r="411" spans="1:6" ht="14.25" thickTop="1" thickBot="1">
      <c r="A411" s="91" t="str">
        <f t="shared" si="17"/>
        <v>CARLOS RENATO DE JESUS</v>
      </c>
      <c r="B411" s="68" t="s">
        <v>1812</v>
      </c>
      <c r="C411" s="66" t="s">
        <v>1010</v>
      </c>
      <c r="D411" s="65"/>
      <c r="E411" s="70">
        <v>42523</v>
      </c>
      <c r="F411" s="75"/>
    </row>
    <row r="412" spans="1:6" ht="14.25" thickTop="1" thickBot="1">
      <c r="A412" s="91" t="str">
        <f t="shared" si="17"/>
        <v>CARLOS ROBERTO DE OLIVEIRA</v>
      </c>
      <c r="B412" s="68" t="s">
        <v>62</v>
      </c>
      <c r="C412" s="64" t="s">
        <v>1937</v>
      </c>
      <c r="D412" s="67"/>
      <c r="E412" s="62">
        <v>41058</v>
      </c>
      <c r="F412" s="63"/>
    </row>
    <row r="413" spans="1:6" ht="14.25" thickTop="1" thickBot="1">
      <c r="A413" s="91" t="str">
        <f t="shared" si="17"/>
        <v>CARLOS ROBERTO TOCANTINS</v>
      </c>
      <c r="B413" s="68" t="s">
        <v>62</v>
      </c>
      <c r="C413" s="64" t="s">
        <v>169</v>
      </c>
      <c r="D413" s="61">
        <v>111054</v>
      </c>
      <c r="E413" s="70">
        <v>42760</v>
      </c>
      <c r="F413" s="71"/>
    </row>
    <row r="414" spans="1:6" ht="14.25" thickTop="1" thickBot="1">
      <c r="A414" s="91" t="str">
        <f t="shared" si="17"/>
        <v>CARLOS ROSNEI CESAR                      C532    (Caio)</v>
      </c>
      <c r="B414" s="68" t="s">
        <v>62</v>
      </c>
      <c r="C414" s="66" t="s">
        <v>1810</v>
      </c>
      <c r="D414" s="65">
        <v>49596</v>
      </c>
      <c r="E414" s="62"/>
      <c r="F414" s="63"/>
    </row>
    <row r="415" spans="1:6" ht="14.25" thickTop="1" thickBot="1">
      <c r="A415" s="91" t="str">
        <f t="shared" si="17"/>
        <v>CARMO SEBASTIAO DE MATOS JUNIOR           (Junico)</v>
      </c>
      <c r="B415" s="68" t="s">
        <v>62</v>
      </c>
      <c r="C415" s="66" t="s">
        <v>3355</v>
      </c>
      <c r="D415" s="61">
        <v>27185</v>
      </c>
      <c r="E415" s="62">
        <v>40773</v>
      </c>
      <c r="F415" s="63"/>
    </row>
    <row r="416" spans="1:6" ht="14.25" thickTop="1" thickBot="1">
      <c r="A416" s="91" t="str">
        <f t="shared" si="17"/>
        <v>CASSIANO CARDOSO VISCZAK</v>
      </c>
      <c r="B416" s="68" t="s">
        <v>62</v>
      </c>
      <c r="C416" s="66" t="s">
        <v>3144</v>
      </c>
      <c r="D416" s="68"/>
      <c r="E416" s="70">
        <v>42373</v>
      </c>
      <c r="F416" s="71"/>
    </row>
    <row r="417" spans="1:6" ht="14.25" thickTop="1" thickBot="1">
      <c r="A417" s="91"/>
      <c r="B417" s="68" t="s">
        <v>62</v>
      </c>
      <c r="C417" s="66" t="s">
        <v>1190</v>
      </c>
      <c r="D417" s="65">
        <v>63946</v>
      </c>
      <c r="E417" s="62">
        <v>41600</v>
      </c>
      <c r="F417" s="63"/>
    </row>
    <row r="418" spans="1:6" ht="14.25" thickTop="1" thickBot="1">
      <c r="A418" s="91" t="str">
        <f>C419</f>
        <v>CELIO ROBERTO DA ROCHA           (Beto)</v>
      </c>
      <c r="B418" s="89"/>
      <c r="C418" s="66" t="s">
        <v>743</v>
      </c>
      <c r="D418" s="61">
        <v>106419</v>
      </c>
      <c r="E418" s="62">
        <v>41096</v>
      </c>
      <c r="F418" s="63"/>
    </row>
    <row r="419" spans="1:6" ht="14.25" thickTop="1" thickBot="1">
      <c r="A419" s="91" t="str">
        <f>C420</f>
        <v>CELIO ROBERTO DE MACEDO</v>
      </c>
      <c r="B419" s="68" t="s">
        <v>62</v>
      </c>
      <c r="C419" s="66" t="s">
        <v>3145</v>
      </c>
      <c r="D419" s="65">
        <v>53563</v>
      </c>
      <c r="E419" s="62">
        <v>39874</v>
      </c>
      <c r="F419" s="63"/>
    </row>
    <row r="420" spans="1:6" ht="14.25" thickTop="1" thickBot="1">
      <c r="A420" s="91" t="s">
        <v>2802</v>
      </c>
      <c r="B420" s="68" t="s">
        <v>2406</v>
      </c>
      <c r="C420" s="60" t="s">
        <v>2516</v>
      </c>
      <c r="D420" s="61">
        <v>53563</v>
      </c>
      <c r="E420" s="62">
        <v>43798</v>
      </c>
      <c r="F420" s="63"/>
    </row>
    <row r="421" spans="1:6" ht="14.25" thickTop="1" thickBot="1">
      <c r="A421" s="91" t="str">
        <f>C422</f>
        <v>CELIO TEIXEIRA PINTO</v>
      </c>
      <c r="B421" s="163" t="s">
        <v>62</v>
      </c>
      <c r="C421" s="66" t="s">
        <v>3146</v>
      </c>
      <c r="D421" s="65"/>
      <c r="E421" s="204">
        <v>43360</v>
      </c>
      <c r="F421" s="63"/>
    </row>
    <row r="422" spans="1:6" ht="14.25" thickTop="1" thickBot="1">
      <c r="A422" s="91" t="str">
        <f>C423</f>
        <v>CELIO TEIXEIRA PINTO</v>
      </c>
      <c r="B422" s="68" t="s">
        <v>62</v>
      </c>
      <c r="C422" s="193" t="s">
        <v>1127</v>
      </c>
      <c r="D422" s="198">
        <v>27036</v>
      </c>
      <c r="E422" s="62">
        <v>39472</v>
      </c>
      <c r="F422" s="63"/>
    </row>
    <row r="423" spans="1:6" ht="14.25" thickTop="1" thickBot="1">
      <c r="A423" s="91" t="str">
        <f>C424</f>
        <v>CELSO ADRIANO VIEIRA</v>
      </c>
      <c r="B423" s="68" t="s">
        <v>62</v>
      </c>
      <c r="C423" s="66" t="s">
        <v>1127</v>
      </c>
      <c r="D423" s="67"/>
      <c r="E423" s="62">
        <v>39945</v>
      </c>
      <c r="F423" s="63"/>
    </row>
    <row r="424" spans="1:6" ht="14.25" thickTop="1" thickBot="1">
      <c r="A424" s="91" t="str">
        <f>C425</f>
        <v>CELSO DJAVAN GUIDO</v>
      </c>
      <c r="B424" s="68" t="s">
        <v>62</v>
      </c>
      <c r="C424" s="64" t="s">
        <v>171</v>
      </c>
      <c r="D424" s="67"/>
      <c r="E424" s="62">
        <v>41470</v>
      </c>
      <c r="F424" s="63"/>
    </row>
    <row r="425" spans="1:6" ht="14.25" thickTop="1" thickBot="1">
      <c r="A425" s="91"/>
      <c r="B425" s="68" t="s">
        <v>1812</v>
      </c>
      <c r="C425" s="60" t="s">
        <v>2842</v>
      </c>
      <c r="D425" s="61">
        <v>123664</v>
      </c>
      <c r="E425" s="62">
        <v>43875</v>
      </c>
      <c r="F425" s="63"/>
    </row>
    <row r="426" spans="1:6" ht="14.25" thickTop="1" thickBot="1">
      <c r="A426" s="91" t="str">
        <f t="shared" ref="A426:A431" si="18">C427</f>
        <v>CELSO LACERDA</v>
      </c>
      <c r="B426" s="68" t="s">
        <v>62</v>
      </c>
      <c r="C426" s="66" t="s">
        <v>593</v>
      </c>
      <c r="D426" s="67"/>
      <c r="E426" s="62">
        <v>39285</v>
      </c>
      <c r="F426" s="63"/>
    </row>
    <row r="427" spans="1:6" ht="14.25" thickTop="1" thickBot="1">
      <c r="A427" s="91" t="str">
        <f t="shared" si="18"/>
        <v>CELSO LUIZ DOS SANTOS</v>
      </c>
      <c r="B427" s="68" t="s">
        <v>62</v>
      </c>
      <c r="C427" s="66" t="s">
        <v>75</v>
      </c>
      <c r="D427" s="61">
        <v>102100</v>
      </c>
      <c r="E427" s="62"/>
      <c r="F427" s="63"/>
    </row>
    <row r="428" spans="1:6" ht="14.25" thickTop="1" thickBot="1">
      <c r="A428" s="91" t="str">
        <f t="shared" si="18"/>
        <v>CELSO MIRANDA DA SILVA</v>
      </c>
      <c r="B428" s="68" t="s">
        <v>62</v>
      </c>
      <c r="C428" s="66" t="s">
        <v>405</v>
      </c>
      <c r="D428" s="65">
        <v>63738</v>
      </c>
      <c r="E428" s="62">
        <v>41773</v>
      </c>
      <c r="F428" s="63"/>
    </row>
    <row r="429" spans="1:6" ht="14.25" thickTop="1" thickBot="1">
      <c r="A429" s="91" t="str">
        <f t="shared" si="18"/>
        <v>CELSO RODRIGUES DE OLIVEIRA</v>
      </c>
      <c r="B429" s="68" t="s">
        <v>74</v>
      </c>
      <c r="C429" s="66" t="s">
        <v>1001</v>
      </c>
      <c r="D429" s="67"/>
      <c r="E429" s="62">
        <v>42919</v>
      </c>
      <c r="F429" s="63"/>
    </row>
    <row r="430" spans="1:6" ht="14.25" thickTop="1" thickBot="1">
      <c r="A430" s="91" t="str">
        <f t="shared" si="18"/>
        <v>CELSON ELIESER FONTES            (Cabelo)</v>
      </c>
      <c r="B430" s="68" t="s">
        <v>126</v>
      </c>
      <c r="C430" s="66" t="s">
        <v>594</v>
      </c>
      <c r="D430" s="65">
        <v>95573</v>
      </c>
      <c r="E430" s="62">
        <v>42704</v>
      </c>
      <c r="F430" s="63"/>
    </row>
    <row r="431" spans="1:6" ht="14.25" thickTop="1" thickBot="1">
      <c r="A431" s="91" t="str">
        <f t="shared" si="18"/>
        <v>CESAR ALVES PIRES</v>
      </c>
      <c r="B431" s="68" t="s">
        <v>62</v>
      </c>
      <c r="C431" s="66" t="s">
        <v>3147</v>
      </c>
      <c r="D431" s="69">
        <v>41531</v>
      </c>
      <c r="E431" s="62">
        <v>39995</v>
      </c>
      <c r="F431" s="63"/>
    </row>
    <row r="432" spans="1:6" ht="14.25" thickTop="1" thickBot="1">
      <c r="A432" s="91"/>
      <c r="B432" s="68" t="s">
        <v>62</v>
      </c>
      <c r="C432" s="66" t="s">
        <v>96</v>
      </c>
      <c r="D432" s="67"/>
      <c r="E432" s="70">
        <v>42523</v>
      </c>
      <c r="F432" s="75"/>
    </row>
    <row r="433" spans="1:6" ht="14.25" thickTop="1" thickBot="1">
      <c r="A433" s="91" t="str">
        <f>C434</f>
        <v>CEZAR NATANAEL NOGUEIRA DE LIMA</v>
      </c>
      <c r="B433" s="68" t="s">
        <v>1812</v>
      </c>
      <c r="C433" s="66" t="s">
        <v>172</v>
      </c>
      <c r="D433" s="65"/>
      <c r="E433" s="70">
        <v>42845</v>
      </c>
      <c r="F433" s="71"/>
    </row>
    <row r="434" spans="1:6" ht="14.25" thickTop="1" thickBot="1">
      <c r="A434" s="91"/>
      <c r="B434" s="68" t="s">
        <v>2413</v>
      </c>
      <c r="C434" s="78" t="s">
        <v>2137</v>
      </c>
      <c r="D434" s="61">
        <v>123373</v>
      </c>
      <c r="E434" s="62">
        <v>43859</v>
      </c>
      <c r="F434" s="63"/>
    </row>
    <row r="435" spans="1:6" ht="14.25" thickTop="1" thickBot="1">
      <c r="A435" s="91" t="str">
        <f>C436</f>
        <v>CHARLES DOMINGUES DE LIMA</v>
      </c>
      <c r="B435" s="89" t="s">
        <v>62</v>
      </c>
      <c r="C435" s="64" t="s">
        <v>1816</v>
      </c>
      <c r="D435" s="67"/>
      <c r="E435" s="70"/>
      <c r="F435" s="71"/>
    </row>
    <row r="436" spans="1:6" ht="14.25" thickTop="1" thickBot="1">
      <c r="A436" s="91" t="str">
        <f>C437</f>
        <v>CHARLES FIELTS</v>
      </c>
      <c r="B436" s="68" t="s">
        <v>62</v>
      </c>
      <c r="C436" s="66" t="s">
        <v>1816</v>
      </c>
      <c r="D436" s="61">
        <v>109466</v>
      </c>
      <c r="E436" s="62">
        <v>41788</v>
      </c>
      <c r="F436" s="63"/>
    </row>
    <row r="437" spans="1:6" ht="14.25" thickTop="1" thickBot="1">
      <c r="A437" s="91" t="str">
        <f>C438</f>
        <v>CHARLES LIRMANE</v>
      </c>
      <c r="B437" s="68" t="s">
        <v>62</v>
      </c>
      <c r="C437" s="66" t="s">
        <v>173</v>
      </c>
      <c r="D437" s="61">
        <v>101088</v>
      </c>
      <c r="E437" s="62">
        <v>42590</v>
      </c>
      <c r="F437" s="63"/>
    </row>
    <row r="438" spans="1:6" ht="14.25" thickTop="1" thickBot="1">
      <c r="A438" s="91" t="str">
        <f>C439</f>
        <v>CHARLES RIBEIRO RODRIGUES    (Charlinho)</v>
      </c>
      <c r="B438" s="68" t="s">
        <v>62</v>
      </c>
      <c r="C438" s="66" t="s">
        <v>1709</v>
      </c>
      <c r="D438" s="65">
        <v>52491</v>
      </c>
      <c r="E438" s="62">
        <v>40546</v>
      </c>
      <c r="F438" s="63"/>
    </row>
    <row r="439" spans="1:6" ht="14.25" thickTop="1" thickBot="1">
      <c r="A439" s="91" t="str">
        <f>C440</f>
        <v>CHARLES WILLIAM DE LIMA (Caverna)</v>
      </c>
      <c r="B439" s="68" t="s">
        <v>62</v>
      </c>
      <c r="C439" s="66" t="s">
        <v>2910</v>
      </c>
      <c r="D439" s="69">
        <v>40300</v>
      </c>
      <c r="E439" s="70">
        <v>42975</v>
      </c>
      <c r="F439" s="71"/>
    </row>
    <row r="440" spans="1:6" ht="14.25" thickTop="1" thickBot="1">
      <c r="A440" s="91" t="s">
        <v>1978</v>
      </c>
      <c r="B440" s="68" t="s">
        <v>2812</v>
      </c>
      <c r="C440" s="192" t="s">
        <v>2555</v>
      </c>
      <c r="D440" s="61">
        <v>102334</v>
      </c>
      <c r="E440" s="62">
        <v>44007</v>
      </c>
      <c r="F440" s="63"/>
    </row>
    <row r="441" spans="1:6" ht="14.25" thickTop="1" thickBot="1">
      <c r="A441" s="91" t="str">
        <f>C442</f>
        <v>CHRISTIAN EMANUEL SILVÉRIO PEREIRA</v>
      </c>
      <c r="B441" s="68" t="s">
        <v>62</v>
      </c>
      <c r="C441" s="66" t="s">
        <v>1011</v>
      </c>
      <c r="D441" s="61">
        <v>116818</v>
      </c>
      <c r="E441" s="62">
        <v>39248</v>
      </c>
      <c r="F441" s="63"/>
    </row>
    <row r="442" spans="1:6" ht="14.25" thickTop="1" thickBot="1">
      <c r="A442" s="91"/>
      <c r="B442" s="68" t="s">
        <v>1812</v>
      </c>
      <c r="C442" s="66" t="s">
        <v>3453</v>
      </c>
      <c r="D442" s="61">
        <v>125146</v>
      </c>
      <c r="E442" s="70">
        <v>44035</v>
      </c>
      <c r="F442" s="71"/>
    </row>
    <row r="443" spans="1:6" ht="14.25" thickTop="1" thickBot="1">
      <c r="A443" s="91" t="str">
        <f>C444</f>
        <v>CIDERLEI DE OLIVEIRA MIRANDA</v>
      </c>
      <c r="B443" s="68" t="s">
        <v>62</v>
      </c>
      <c r="C443" s="66" t="s">
        <v>2911</v>
      </c>
      <c r="D443" s="65">
        <v>10824</v>
      </c>
      <c r="E443" s="62">
        <v>40325</v>
      </c>
      <c r="F443" s="63"/>
    </row>
    <row r="444" spans="1:6" ht="14.25" thickTop="1" thickBot="1">
      <c r="A444" s="91" t="str">
        <f>C445</f>
        <v>CIDMAR DA SILVA</v>
      </c>
      <c r="B444" s="68" t="s">
        <v>62</v>
      </c>
      <c r="C444" s="64" t="s">
        <v>595</v>
      </c>
      <c r="D444" s="65">
        <v>63841</v>
      </c>
      <c r="E444" s="62">
        <v>42327</v>
      </c>
      <c r="F444" s="63"/>
    </row>
    <row r="445" spans="1:6" ht="14.25" thickTop="1" thickBot="1">
      <c r="A445" s="91" t="str">
        <f>C446</f>
        <v>CIRIACO FERREIRA DOS SANTOS</v>
      </c>
      <c r="B445" s="68" t="s">
        <v>62</v>
      </c>
      <c r="C445" s="64" t="s">
        <v>802</v>
      </c>
      <c r="D445" s="67"/>
      <c r="E445" s="62">
        <v>41255</v>
      </c>
      <c r="F445" s="63"/>
    </row>
    <row r="446" spans="1:6" ht="14.25" thickTop="1" thickBot="1">
      <c r="A446" s="91" t="str">
        <f>C447</f>
        <v>CIRO LUIZ MANOSSO FILHO</v>
      </c>
      <c r="B446" s="163" t="s">
        <v>62</v>
      </c>
      <c r="C446" s="66" t="s">
        <v>596</v>
      </c>
      <c r="D446" s="61">
        <v>63134</v>
      </c>
      <c r="E446" s="204">
        <v>43360</v>
      </c>
      <c r="F446" s="63"/>
    </row>
    <row r="447" spans="1:6" ht="14.25" thickTop="1" thickBot="1">
      <c r="A447" s="91"/>
      <c r="B447" s="68" t="s">
        <v>62</v>
      </c>
      <c r="C447" s="60" t="s">
        <v>2299</v>
      </c>
      <c r="D447" s="61">
        <v>124435</v>
      </c>
      <c r="E447" s="62">
        <v>40388</v>
      </c>
      <c r="F447" s="63"/>
    </row>
    <row r="448" spans="1:6" ht="14.25" thickTop="1" thickBot="1">
      <c r="A448" s="91" t="s">
        <v>2609</v>
      </c>
      <c r="B448" s="68" t="s">
        <v>2406</v>
      </c>
      <c r="C448" s="66" t="s">
        <v>2912</v>
      </c>
      <c r="D448" s="65">
        <v>27074</v>
      </c>
      <c r="E448" s="62">
        <v>43529</v>
      </c>
      <c r="F448" s="63"/>
    </row>
    <row r="449" spans="1:6" ht="14.25" thickTop="1" thickBot="1">
      <c r="A449" s="91" t="str">
        <f t="shared" ref="A449:A459" si="19">C450</f>
        <v>CLAILTON JOSUÉ MENDES    (Pimpolho)</v>
      </c>
      <c r="B449" s="68" t="s">
        <v>2406</v>
      </c>
      <c r="C449" s="66" t="s">
        <v>2913</v>
      </c>
      <c r="D449" s="61">
        <v>63134</v>
      </c>
      <c r="E449" s="70">
        <v>43539</v>
      </c>
      <c r="F449" s="71"/>
    </row>
    <row r="450" spans="1:6" ht="14.25" thickTop="1" thickBot="1">
      <c r="A450" s="91" t="str">
        <f t="shared" si="19"/>
        <v>CLAITON EZEQUIEL DA SILVA</v>
      </c>
      <c r="B450" s="68" t="s">
        <v>62</v>
      </c>
      <c r="C450" s="192" t="s">
        <v>2913</v>
      </c>
      <c r="D450" s="65">
        <v>63134</v>
      </c>
      <c r="E450" s="62">
        <v>42038</v>
      </c>
      <c r="F450" s="63"/>
    </row>
    <row r="451" spans="1:6" ht="14.25" thickTop="1" thickBot="1">
      <c r="A451" s="91" t="str">
        <f t="shared" si="19"/>
        <v>CLAUDECIR MOTA                               (Bochecha)</v>
      </c>
      <c r="B451" s="68" t="s">
        <v>62</v>
      </c>
      <c r="C451" s="66" t="s">
        <v>312</v>
      </c>
      <c r="D451" s="65">
        <v>63991</v>
      </c>
      <c r="E451" s="62">
        <v>42705</v>
      </c>
      <c r="F451" s="63"/>
    </row>
    <row r="452" spans="1:6" ht="14.25" thickTop="1" thickBot="1">
      <c r="A452" s="91" t="str">
        <f t="shared" si="19"/>
        <v>CLAUDEMIR APARECIDO DE OLIVEIRA   (Paulista / Esqueleto)</v>
      </c>
      <c r="B452" s="68" t="s">
        <v>15</v>
      </c>
      <c r="C452" s="66" t="s">
        <v>3149</v>
      </c>
      <c r="D452" s="65">
        <v>57283</v>
      </c>
      <c r="E452" s="62">
        <v>42522</v>
      </c>
      <c r="F452" s="63"/>
    </row>
    <row r="453" spans="1:6" ht="14.25" thickTop="1" thickBot="1">
      <c r="A453" s="91" t="str">
        <f t="shared" si="19"/>
        <v>CLAUDEMIR CANDIDO DE OLIVEIRA</v>
      </c>
      <c r="B453" s="68" t="s">
        <v>62</v>
      </c>
      <c r="C453" s="66" t="s">
        <v>2914</v>
      </c>
      <c r="D453" s="61">
        <v>44914</v>
      </c>
      <c r="E453" s="62">
        <v>42720</v>
      </c>
      <c r="F453" s="63"/>
    </row>
    <row r="454" spans="1:6" ht="14.25" thickTop="1" thickBot="1">
      <c r="A454" s="91" t="str">
        <f t="shared" si="19"/>
        <v>CLAUDEMIR DOS SANTOS DE JESUS</v>
      </c>
      <c r="B454" s="68" t="s">
        <v>1812</v>
      </c>
      <c r="C454" s="66" t="s">
        <v>1048</v>
      </c>
      <c r="D454" s="65"/>
      <c r="E454" s="62">
        <v>40765</v>
      </c>
      <c r="F454" s="63"/>
    </row>
    <row r="455" spans="1:6" ht="14.25" thickTop="1" thickBot="1">
      <c r="A455" s="91" t="str">
        <f t="shared" si="19"/>
        <v>CLAUDEMIR PEDRO COPI</v>
      </c>
      <c r="B455" s="68" t="s">
        <v>62</v>
      </c>
      <c r="C455" s="64" t="s">
        <v>1938</v>
      </c>
      <c r="D455" s="61">
        <v>106275</v>
      </c>
      <c r="E455" s="62">
        <v>40864</v>
      </c>
      <c r="F455" s="63"/>
    </row>
    <row r="456" spans="1:6" ht="14.25" thickTop="1" thickBot="1">
      <c r="A456" s="91" t="str">
        <f t="shared" si="19"/>
        <v xml:space="preserve">CLAUDEMIR RODRIGUES             (Feio)   </v>
      </c>
      <c r="B456" s="68" t="s">
        <v>62</v>
      </c>
      <c r="C456" s="66" t="s">
        <v>1666</v>
      </c>
      <c r="D456" s="65">
        <v>63010</v>
      </c>
      <c r="E456" s="62">
        <v>41379</v>
      </c>
      <c r="F456" s="63"/>
    </row>
    <row r="457" spans="1:6" ht="14.25" thickTop="1" thickBot="1">
      <c r="A457" s="91" t="str">
        <f t="shared" si="19"/>
        <v>CLAUDINEI BUENO IEGER</v>
      </c>
      <c r="B457" s="68" t="s">
        <v>25</v>
      </c>
      <c r="C457" s="66" t="s">
        <v>3148</v>
      </c>
      <c r="D457" s="65">
        <v>63768</v>
      </c>
      <c r="E457" s="70">
        <v>42915</v>
      </c>
      <c r="F457" s="71"/>
    </row>
    <row r="458" spans="1:6" ht="14.25" thickTop="1" thickBot="1">
      <c r="A458" s="91" t="str">
        <f t="shared" si="19"/>
        <v>CLAUDINEI CAMARGO SANTIAGO</v>
      </c>
      <c r="B458" s="68" t="s">
        <v>62</v>
      </c>
      <c r="C458" s="64" t="s">
        <v>1525</v>
      </c>
      <c r="D458" s="61">
        <v>105006</v>
      </c>
      <c r="E458" s="62">
        <v>39352</v>
      </c>
      <c r="F458" s="63"/>
    </row>
    <row r="459" spans="1:6" ht="14.25" thickTop="1" thickBot="1">
      <c r="A459" s="91" t="str">
        <f t="shared" si="19"/>
        <v>CLAUDINEI DA SILVA DE JESUS</v>
      </c>
      <c r="B459" s="68" t="s">
        <v>62</v>
      </c>
      <c r="C459" s="114" t="s">
        <v>1947</v>
      </c>
      <c r="D459" s="69">
        <v>54719</v>
      </c>
      <c r="E459" s="62">
        <v>40679</v>
      </c>
      <c r="F459" s="63"/>
    </row>
    <row r="460" spans="1:6" ht="14.25" thickTop="1" thickBot="1">
      <c r="A460" s="91"/>
      <c r="B460" s="68" t="s">
        <v>351</v>
      </c>
      <c r="C460" s="66" t="s">
        <v>1337</v>
      </c>
      <c r="D460" s="65">
        <v>27229</v>
      </c>
      <c r="E460" s="62">
        <v>43613</v>
      </c>
      <c r="F460" s="75"/>
    </row>
    <row r="461" spans="1:6" ht="14.25" thickTop="1" thickBot="1">
      <c r="A461" s="91" t="str">
        <f t="shared" ref="A461:A466" si="20">C462</f>
        <v>CLAUDINEI DOS SANTOS</v>
      </c>
      <c r="B461" s="68" t="s">
        <v>62</v>
      </c>
      <c r="C461" s="60" t="s">
        <v>2353</v>
      </c>
      <c r="D461" s="61">
        <v>109564</v>
      </c>
      <c r="E461" s="62">
        <v>40388</v>
      </c>
      <c r="F461" s="63"/>
    </row>
    <row r="462" spans="1:6" ht="14.25" thickTop="1" thickBot="1">
      <c r="A462" s="91" t="str">
        <f t="shared" si="20"/>
        <v>CLAUDINEI JOAQUIM DIAS RIBEIRO</v>
      </c>
      <c r="B462" s="68" t="s">
        <v>62</v>
      </c>
      <c r="C462" s="66" t="s">
        <v>174</v>
      </c>
      <c r="D462" s="67"/>
      <c r="E462" s="62">
        <v>39272</v>
      </c>
      <c r="F462" s="63"/>
    </row>
    <row r="463" spans="1:6" ht="14.25" thickTop="1" thickBot="1">
      <c r="A463" s="91" t="str">
        <f t="shared" si="20"/>
        <v>CLAUDINEI SEBASTIÃO DOS SANTOS    (Tabela)</v>
      </c>
      <c r="B463" s="68" t="s">
        <v>62</v>
      </c>
      <c r="C463" s="66" t="s">
        <v>1338</v>
      </c>
      <c r="D463" s="65">
        <v>63566</v>
      </c>
      <c r="E463" s="62">
        <v>41417</v>
      </c>
      <c r="F463" s="63"/>
    </row>
    <row r="464" spans="1:6" ht="14.25" thickTop="1" thickBot="1">
      <c r="A464" s="91" t="str">
        <f t="shared" si="20"/>
        <v>CLAUDINEI SILVEIRA</v>
      </c>
      <c r="B464" s="68" t="s">
        <v>62</v>
      </c>
      <c r="C464" s="64" t="s">
        <v>2915</v>
      </c>
      <c r="D464" s="61">
        <v>25082</v>
      </c>
      <c r="E464" s="70">
        <v>42718</v>
      </c>
      <c r="F464" s="75"/>
    </row>
    <row r="465" spans="1:6" ht="14.25" thickTop="1" thickBot="1">
      <c r="A465" s="91" t="str">
        <f t="shared" si="20"/>
        <v>CLAUDINES GONÇALVES FERREIRA</v>
      </c>
      <c r="B465" s="68" t="s">
        <v>62</v>
      </c>
      <c r="C465" s="66" t="s">
        <v>804</v>
      </c>
      <c r="D465" s="67"/>
      <c r="E465" s="70">
        <v>42919</v>
      </c>
      <c r="F465" s="71"/>
    </row>
    <row r="466" spans="1:6" ht="14.25" thickTop="1" thickBot="1">
      <c r="A466" s="91" t="str">
        <f t="shared" si="20"/>
        <v>CLAUDINEY RIBEIRO</v>
      </c>
      <c r="B466" s="89" t="s">
        <v>62</v>
      </c>
      <c r="C466" s="66" t="s">
        <v>1340</v>
      </c>
      <c r="D466" s="61">
        <v>63650</v>
      </c>
      <c r="E466" s="62">
        <v>41996</v>
      </c>
      <c r="F466" s="63"/>
    </row>
    <row r="467" spans="1:6" ht="14.25" thickTop="1" thickBot="1">
      <c r="A467" s="91" t="str">
        <f>C470</f>
        <v>CLAUDIO CESAR PEREIRA</v>
      </c>
      <c r="B467" s="68" t="s">
        <v>546</v>
      </c>
      <c r="C467" s="66" t="s">
        <v>1651</v>
      </c>
      <c r="D467" s="65"/>
      <c r="E467" s="62">
        <v>39239</v>
      </c>
      <c r="F467" s="63"/>
    </row>
    <row r="468" spans="1:6" ht="14.25" thickTop="1" thickBot="1">
      <c r="A468" s="91" t="str">
        <f t="shared" ref="A468:A474" si="21">C469</f>
        <v>CLAUDIO ANDRE DA CRUZ</v>
      </c>
      <c r="B468" s="68" t="s">
        <v>62</v>
      </c>
      <c r="C468" s="66" t="s">
        <v>233</v>
      </c>
      <c r="D468" s="65">
        <v>63320</v>
      </c>
      <c r="E468" s="62">
        <v>42914</v>
      </c>
      <c r="F468" s="63"/>
    </row>
    <row r="469" spans="1:6" ht="14.25" thickTop="1" thickBot="1">
      <c r="A469" s="91" t="str">
        <f t="shared" si="21"/>
        <v>CLAUDIO CESAR PEREIRA</v>
      </c>
      <c r="B469" s="68" t="s">
        <v>62</v>
      </c>
      <c r="C469" s="66" t="s">
        <v>175</v>
      </c>
      <c r="D469" s="61">
        <v>106847</v>
      </c>
      <c r="E469" s="62">
        <v>41662</v>
      </c>
      <c r="F469" s="63"/>
    </row>
    <row r="470" spans="1:6" ht="14.25" thickTop="1" thickBot="1">
      <c r="A470" s="91" t="str">
        <f t="shared" si="21"/>
        <v>CLAUDIO CONSUELO DOS SANTOS</v>
      </c>
      <c r="B470" s="68" t="s">
        <v>546</v>
      </c>
      <c r="C470" s="66" t="s">
        <v>284</v>
      </c>
      <c r="D470" s="69">
        <v>27324</v>
      </c>
      <c r="E470" s="62">
        <v>42669</v>
      </c>
      <c r="F470" s="63"/>
    </row>
    <row r="471" spans="1:6" ht="14.25" thickTop="1" thickBot="1">
      <c r="A471" s="91" t="str">
        <f t="shared" si="21"/>
        <v>CLAUDIO DE OLIVEIRA</v>
      </c>
      <c r="B471" s="68" t="s">
        <v>62</v>
      </c>
      <c r="C471" s="66" t="s">
        <v>218</v>
      </c>
      <c r="D471" s="67"/>
      <c r="E471" s="62">
        <v>41663</v>
      </c>
      <c r="F471" s="63"/>
    </row>
    <row r="472" spans="1:6" ht="14.25" thickTop="1" thickBot="1">
      <c r="A472" s="91" t="str">
        <f t="shared" si="21"/>
        <v>CLAUDIO LUIZ MARTINS PINTO</v>
      </c>
      <c r="B472" s="68" t="s">
        <v>62</v>
      </c>
      <c r="C472" s="66" t="s">
        <v>1341</v>
      </c>
      <c r="D472" s="65">
        <v>73845</v>
      </c>
      <c r="E472" s="62">
        <v>39961</v>
      </c>
      <c r="F472" s="63"/>
    </row>
    <row r="473" spans="1:6" ht="14.25" thickTop="1" thickBot="1">
      <c r="A473" s="91" t="str">
        <f t="shared" si="21"/>
        <v>CLAUDIO OLIVEIRA                    (Galestri)</v>
      </c>
      <c r="B473" s="68" t="s">
        <v>2347</v>
      </c>
      <c r="C473" s="66" t="s">
        <v>293</v>
      </c>
      <c r="D473" s="61">
        <v>10347</v>
      </c>
      <c r="E473" s="62">
        <v>43346</v>
      </c>
      <c r="F473" s="63"/>
    </row>
    <row r="474" spans="1:6" ht="14.25" thickTop="1" thickBot="1">
      <c r="A474" s="91" t="str">
        <f t="shared" si="21"/>
        <v>CLAUDIO ROBERTO CASCÃO</v>
      </c>
      <c r="B474" s="68" t="s">
        <v>3365</v>
      </c>
      <c r="C474" s="179" t="s">
        <v>3150</v>
      </c>
      <c r="D474" s="61">
        <v>63467</v>
      </c>
      <c r="E474" s="62">
        <v>42705</v>
      </c>
      <c r="F474" s="63"/>
    </row>
    <row r="475" spans="1:6" ht="14.25" thickTop="1" thickBot="1">
      <c r="A475" s="91" t="str">
        <f>C481</f>
        <v>CLAUDOIR FERREIRA BRAUN</v>
      </c>
      <c r="B475" s="68" t="s">
        <v>98</v>
      </c>
      <c r="C475" s="66" t="s">
        <v>1683</v>
      </c>
      <c r="D475" s="68"/>
      <c r="E475" s="62">
        <v>42704</v>
      </c>
      <c r="F475" s="63"/>
    </row>
    <row r="476" spans="1:6" ht="14.25" thickTop="1" thickBot="1">
      <c r="A476" s="91" t="str">
        <f>C477</f>
        <v>CLAUDIOMIRO AMARAL DA SILVA            (Buiu)</v>
      </c>
      <c r="B476" s="68" t="s">
        <v>62</v>
      </c>
      <c r="C476" s="66" t="s">
        <v>318</v>
      </c>
      <c r="D476" s="67"/>
      <c r="E476" s="62">
        <v>40749</v>
      </c>
      <c r="F476" s="63"/>
    </row>
    <row r="477" spans="1:6" ht="14.25" thickTop="1" thickBot="1">
      <c r="A477" s="91" t="str">
        <f>C481</f>
        <v>CLAUDOIR FERREIRA BRAUN</v>
      </c>
      <c r="B477" s="68" t="s">
        <v>62</v>
      </c>
      <c r="C477" s="66" t="s">
        <v>3151</v>
      </c>
      <c r="D477" s="65"/>
      <c r="E477" s="62">
        <v>43199</v>
      </c>
      <c r="F477" s="63"/>
    </row>
    <row r="478" spans="1:6" ht="14.25" thickTop="1" thickBot="1">
      <c r="A478" s="91" t="str">
        <f>C479</f>
        <v>CLAUDIR DE ANDRADE</v>
      </c>
      <c r="B478" s="68" t="s">
        <v>2406</v>
      </c>
      <c r="C478" s="66" t="s">
        <v>1795</v>
      </c>
      <c r="D478" s="61">
        <v>90804</v>
      </c>
      <c r="E478" s="62">
        <v>43980</v>
      </c>
      <c r="F478" s="63"/>
    </row>
    <row r="479" spans="1:6" ht="14.25" thickTop="1" thickBot="1">
      <c r="A479" s="91"/>
      <c r="B479" s="68" t="s">
        <v>62</v>
      </c>
      <c r="C479" s="66" t="s">
        <v>1795</v>
      </c>
      <c r="D479" s="61">
        <v>90804</v>
      </c>
      <c r="E479" s="62"/>
      <c r="F479" s="63"/>
    </row>
    <row r="480" spans="1:6" ht="14.25" thickTop="1" thickBot="1">
      <c r="A480" s="91" t="str">
        <f>C481</f>
        <v>CLAUDOIR FERREIRA BRAUN</v>
      </c>
      <c r="B480" s="68" t="s">
        <v>1812</v>
      </c>
      <c r="C480" s="66" t="s">
        <v>145</v>
      </c>
      <c r="D480" s="61">
        <v>27301</v>
      </c>
      <c r="E480" s="70">
        <v>42662</v>
      </c>
      <c r="F480" s="71"/>
    </row>
    <row r="481" spans="1:6" ht="14.25" thickTop="1" thickBot="1">
      <c r="A481" s="91"/>
      <c r="B481" s="68" t="s">
        <v>1522</v>
      </c>
      <c r="C481" s="64" t="s">
        <v>1235</v>
      </c>
      <c r="D481" s="65"/>
      <c r="E481" s="62">
        <v>43622</v>
      </c>
      <c r="F481" s="63"/>
    </row>
    <row r="482" spans="1:6" ht="14.25" thickTop="1" thickBot="1">
      <c r="A482" s="91" t="str">
        <f>C484</f>
        <v>CLAYTON FREITAS MAINARDES</v>
      </c>
      <c r="B482" s="68" t="s">
        <v>1812</v>
      </c>
      <c r="C482" s="60" t="s">
        <v>1903</v>
      </c>
      <c r="D482" s="61">
        <v>122308</v>
      </c>
      <c r="E482" s="70">
        <v>42283</v>
      </c>
      <c r="F482" s="71"/>
    </row>
    <row r="483" spans="1:6" ht="14.25" thickTop="1" thickBot="1">
      <c r="A483" s="91" t="str">
        <f>C484</f>
        <v>CLAYTON FREITAS MAINARDES</v>
      </c>
      <c r="B483" s="68" t="s">
        <v>62</v>
      </c>
      <c r="C483" s="64" t="s">
        <v>1903</v>
      </c>
      <c r="D483" s="65">
        <v>27046</v>
      </c>
      <c r="E483" s="70">
        <v>42565</v>
      </c>
      <c r="F483" s="75"/>
    </row>
    <row r="484" spans="1:6" ht="14.25" thickTop="1" thickBot="1">
      <c r="A484" s="91" t="str">
        <f>C485</f>
        <v>CLAYTON JACKSON NUNES DE OLIVEIRA</v>
      </c>
      <c r="B484" s="68" t="s">
        <v>1522</v>
      </c>
      <c r="C484" s="66" t="s">
        <v>1383</v>
      </c>
      <c r="D484" s="61"/>
      <c r="E484" s="62"/>
      <c r="F484" s="63"/>
    </row>
    <row r="485" spans="1:6" ht="14.25" thickTop="1" thickBot="1">
      <c r="A485" s="91" t="str">
        <f>C486</f>
        <v>CLEBER ALBERTO SARAFIM (Galize)</v>
      </c>
      <c r="B485" s="68" t="s">
        <v>62</v>
      </c>
      <c r="C485" s="114" t="s">
        <v>1871</v>
      </c>
      <c r="D485" s="61">
        <v>63540</v>
      </c>
      <c r="E485" s="62">
        <v>42703</v>
      </c>
      <c r="F485" s="63"/>
    </row>
    <row r="486" spans="1:6" ht="14.25" thickTop="1" thickBot="1">
      <c r="A486" s="91"/>
      <c r="B486" s="68" t="s">
        <v>2413</v>
      </c>
      <c r="C486" s="77" t="s">
        <v>2091</v>
      </c>
      <c r="D486" s="61">
        <v>63540</v>
      </c>
      <c r="E486" s="62">
        <v>43846</v>
      </c>
      <c r="F486" s="63"/>
    </row>
    <row r="487" spans="1:6" ht="14.25" thickTop="1" thickBot="1">
      <c r="A487" s="91" t="str">
        <f>C488</f>
        <v>CLEBER INOCÊNCIO DA SILVA                  (B.A.)</v>
      </c>
      <c r="B487" s="68" t="s">
        <v>1865</v>
      </c>
      <c r="C487" s="114" t="s">
        <v>478</v>
      </c>
      <c r="D487" s="61">
        <v>125845</v>
      </c>
      <c r="E487" s="62">
        <v>40154</v>
      </c>
      <c r="F487" s="63"/>
    </row>
    <row r="488" spans="1:6" ht="14.25" thickTop="1" thickBot="1">
      <c r="A488" s="91" t="str">
        <f>C489</f>
        <v>CLEBER MARCELO FERREIRA</v>
      </c>
      <c r="B488" s="68" t="s">
        <v>62</v>
      </c>
      <c r="C488" s="66" t="s">
        <v>3152</v>
      </c>
      <c r="D488" s="67"/>
      <c r="E488" s="70">
        <v>42664</v>
      </c>
      <c r="F488" s="71"/>
    </row>
    <row r="489" spans="1:6" ht="14.25" thickTop="1" thickBot="1">
      <c r="A489" s="91"/>
      <c r="B489" s="68" t="s">
        <v>2406</v>
      </c>
      <c r="C489" s="192" t="s">
        <v>3374</v>
      </c>
      <c r="D489" s="61">
        <v>63120</v>
      </c>
      <c r="E489" s="70">
        <v>43969</v>
      </c>
      <c r="F489" s="71"/>
    </row>
    <row r="490" spans="1:6" ht="14.25" thickTop="1" thickBot="1">
      <c r="A490" s="91" t="str">
        <f t="shared" ref="A490:A498" si="22">C491</f>
        <v>CLEBER MARCELO RODRIGUES</v>
      </c>
      <c r="B490" s="68" t="s">
        <v>1812</v>
      </c>
      <c r="C490" s="64" t="s">
        <v>1342</v>
      </c>
      <c r="D490" s="65"/>
      <c r="E490" s="62">
        <v>40431</v>
      </c>
      <c r="F490" s="63"/>
    </row>
    <row r="491" spans="1:6" ht="14.25" thickTop="1" thickBot="1">
      <c r="A491" s="91" t="str">
        <f t="shared" si="22"/>
        <v>CLEBER VINICIUS PEREIRA              (Feijão)</v>
      </c>
      <c r="B491" s="89" t="s">
        <v>1306</v>
      </c>
      <c r="C491" s="66" t="s">
        <v>1921</v>
      </c>
      <c r="D491" s="61">
        <v>63708</v>
      </c>
      <c r="E491" s="62">
        <v>42233</v>
      </c>
      <c r="F491" s="63"/>
    </row>
    <row r="492" spans="1:6" ht="14.25" thickTop="1" thickBot="1">
      <c r="A492" s="91" t="str">
        <f t="shared" si="22"/>
        <v>CLEBERSON ANTUNES FERREIRA            (Polenta)</v>
      </c>
      <c r="B492" s="68" t="s">
        <v>62</v>
      </c>
      <c r="C492" s="66" t="s">
        <v>3153</v>
      </c>
      <c r="D492" s="69">
        <v>51364</v>
      </c>
      <c r="E492" s="62">
        <v>39568</v>
      </c>
      <c r="F492" s="63"/>
    </row>
    <row r="493" spans="1:6" ht="14.25" thickTop="1" thickBot="1">
      <c r="A493" s="91" t="str">
        <f t="shared" si="22"/>
        <v>CLEBERSON DA SILVA PACHECO</v>
      </c>
      <c r="B493" s="68" t="s">
        <v>62</v>
      </c>
      <c r="C493" s="66" t="s">
        <v>3154</v>
      </c>
      <c r="D493" s="65">
        <v>63853</v>
      </c>
      <c r="E493" s="62">
        <v>42914</v>
      </c>
      <c r="F493" s="63"/>
    </row>
    <row r="494" spans="1:6" ht="14.25" thickTop="1" thickBot="1">
      <c r="A494" s="91" t="str">
        <f t="shared" si="22"/>
        <v>CLEBERSON FURMANIAK</v>
      </c>
      <c r="B494" s="68" t="s">
        <v>62</v>
      </c>
      <c r="C494" s="64" t="s">
        <v>848</v>
      </c>
      <c r="D494" s="61">
        <v>102336</v>
      </c>
      <c r="E494" s="62">
        <v>40774</v>
      </c>
      <c r="F494" s="63"/>
    </row>
    <row r="495" spans="1:6" ht="14.25" thickTop="1" thickBot="1">
      <c r="A495" s="91" t="str">
        <f t="shared" si="22"/>
        <v>CLEBERSON FURMANIAK               (Macaco / Dexter)</v>
      </c>
      <c r="B495" s="68" t="s">
        <v>2347</v>
      </c>
      <c r="C495" s="66" t="s">
        <v>1661</v>
      </c>
      <c r="D495" s="67"/>
      <c r="E495" s="62">
        <v>43346</v>
      </c>
      <c r="F495" s="63"/>
    </row>
    <row r="496" spans="1:6" ht="14.25" thickTop="1" thickBot="1">
      <c r="A496" s="91" t="str">
        <f t="shared" si="22"/>
        <v xml:space="preserve">CLEBERSON STANSKI   </v>
      </c>
      <c r="B496" s="68" t="s">
        <v>62</v>
      </c>
      <c r="C496" s="66" t="s">
        <v>3155</v>
      </c>
      <c r="D496" s="61">
        <v>102336</v>
      </c>
      <c r="E496" s="62">
        <v>39262</v>
      </c>
      <c r="F496" s="63"/>
    </row>
    <row r="497" spans="1:6" ht="14.25" thickTop="1" thickBot="1">
      <c r="A497" s="91" t="str">
        <f t="shared" si="22"/>
        <v>CLEBERTON APARECIDO M. DOS SANTOS</v>
      </c>
      <c r="B497" s="68" t="s">
        <v>62</v>
      </c>
      <c r="C497" s="64" t="s">
        <v>1343</v>
      </c>
      <c r="D497" s="69">
        <v>27129</v>
      </c>
      <c r="E497" s="70">
        <v>43363</v>
      </c>
      <c r="F497" s="79"/>
    </row>
    <row r="498" spans="1:6" ht="14.25" thickTop="1" thickBot="1">
      <c r="A498" s="91" t="str">
        <f t="shared" si="22"/>
        <v>CLEBERTON APARECIDO MAÇANEIRO DA SILVA</v>
      </c>
      <c r="B498" s="68" t="s">
        <v>62</v>
      </c>
      <c r="C498" s="77" t="s">
        <v>2198</v>
      </c>
      <c r="D498" s="61">
        <v>27129</v>
      </c>
      <c r="E498" s="62">
        <v>41885</v>
      </c>
      <c r="F498" s="63"/>
    </row>
    <row r="499" spans="1:6" ht="14.25" thickTop="1" thickBot="1">
      <c r="A499" s="91"/>
      <c r="B499" s="68" t="s">
        <v>62</v>
      </c>
      <c r="C499" s="66" t="s">
        <v>624</v>
      </c>
      <c r="D499" s="69">
        <v>64452</v>
      </c>
      <c r="E499" s="62">
        <v>42703</v>
      </c>
      <c r="F499" s="63"/>
    </row>
    <row r="500" spans="1:6" ht="14.25" thickTop="1" thickBot="1">
      <c r="A500" s="91" t="str">
        <f t="shared" ref="A500:A507" si="23">C501</f>
        <v>CLEITON ALBERTO SCHENEMANN</v>
      </c>
      <c r="B500" s="68" t="s">
        <v>62</v>
      </c>
      <c r="C500" s="66" t="s">
        <v>855</v>
      </c>
      <c r="D500" s="67"/>
      <c r="E500" s="62">
        <v>42149</v>
      </c>
      <c r="F500" s="63"/>
    </row>
    <row r="501" spans="1:6" ht="14.25" thickTop="1" thickBot="1">
      <c r="A501" s="91" t="str">
        <f t="shared" si="23"/>
        <v>CLEITON DE JESUS COBESKI</v>
      </c>
      <c r="B501" s="68" t="s">
        <v>1812</v>
      </c>
      <c r="C501" s="66" t="s">
        <v>1345</v>
      </c>
      <c r="D501" s="65"/>
      <c r="E501" s="62">
        <v>40247</v>
      </c>
      <c r="F501" s="63"/>
    </row>
    <row r="502" spans="1:6" ht="14.25" thickTop="1" thickBot="1">
      <c r="A502" s="91" t="str">
        <f t="shared" si="23"/>
        <v>CLEITON MARINHO DE LARA</v>
      </c>
      <c r="B502" s="68" t="s">
        <v>62</v>
      </c>
      <c r="C502" s="66" t="s">
        <v>1008</v>
      </c>
      <c r="D502" s="67"/>
      <c r="E502" s="62"/>
      <c r="F502" s="63"/>
    </row>
    <row r="503" spans="1:6" ht="14.25" thickTop="1" thickBot="1">
      <c r="A503" s="91" t="str">
        <f t="shared" si="23"/>
        <v>CLEITON RIBEIRO DA SILVA</v>
      </c>
      <c r="B503" s="67" t="s">
        <v>1522</v>
      </c>
      <c r="C503" s="64" t="s">
        <v>179</v>
      </c>
      <c r="D503" s="65">
        <v>102162</v>
      </c>
      <c r="E503" s="62">
        <v>42485</v>
      </c>
      <c r="F503" s="63"/>
    </row>
    <row r="504" spans="1:6" ht="14.25" thickTop="1" thickBot="1">
      <c r="A504" s="91" t="str">
        <f t="shared" si="23"/>
        <v>CLEOCIO NERI DE OLIVEIRA</v>
      </c>
      <c r="B504" s="67" t="s">
        <v>1522</v>
      </c>
      <c r="C504" s="66" t="s">
        <v>1608</v>
      </c>
      <c r="D504" s="65"/>
      <c r="E504" s="62">
        <v>42485</v>
      </c>
      <c r="F504" s="63"/>
    </row>
    <row r="505" spans="1:6" ht="14.25" thickTop="1" thickBot="1">
      <c r="A505" s="91" t="str">
        <f t="shared" si="23"/>
        <v>CLEVERSON ALBERTO BELS</v>
      </c>
      <c r="B505" s="68" t="s">
        <v>62</v>
      </c>
      <c r="C505" s="66" t="s">
        <v>539</v>
      </c>
      <c r="D505" s="67"/>
      <c r="E505" s="62">
        <v>40498</v>
      </c>
      <c r="F505" s="63"/>
    </row>
    <row r="506" spans="1:6" ht="14.25" thickTop="1" thickBot="1">
      <c r="A506" s="91" t="str">
        <f t="shared" si="23"/>
        <v>CLEVERSON ALEXANDRE DA SILVA</v>
      </c>
      <c r="B506" s="68" t="s">
        <v>62</v>
      </c>
      <c r="C506" s="64" t="s">
        <v>180</v>
      </c>
      <c r="D506" s="65">
        <v>27177</v>
      </c>
      <c r="E506" s="70">
        <v>42331</v>
      </c>
      <c r="F506" s="71"/>
    </row>
    <row r="507" spans="1:6" ht="14.25" thickTop="1" thickBot="1">
      <c r="A507" s="91" t="str">
        <f t="shared" si="23"/>
        <v>CLEVERSON COLAÇO DIVARDINI (Clevinho)</v>
      </c>
      <c r="B507" s="68" t="s">
        <v>62</v>
      </c>
      <c r="C507" s="64" t="s">
        <v>655</v>
      </c>
      <c r="D507" s="61">
        <v>90108</v>
      </c>
      <c r="E507" s="62">
        <v>40107</v>
      </c>
      <c r="F507" s="63"/>
    </row>
    <row r="508" spans="1:6" ht="14.25" thickTop="1" thickBot="1">
      <c r="A508" s="91"/>
      <c r="B508" s="68" t="s">
        <v>2413</v>
      </c>
      <c r="C508" s="60" t="s">
        <v>2529</v>
      </c>
      <c r="D508" s="61">
        <v>112264</v>
      </c>
      <c r="E508" s="62">
        <v>44062</v>
      </c>
      <c r="F508" s="63"/>
    </row>
    <row r="509" spans="1:6" ht="14.25" thickTop="1" thickBot="1">
      <c r="A509" s="91"/>
      <c r="B509" s="68"/>
      <c r="C509" s="332" t="s">
        <v>3443</v>
      </c>
      <c r="D509" s="334">
        <v>103916</v>
      </c>
      <c r="E509" s="70"/>
      <c r="F509" s="71"/>
    </row>
    <row r="510" spans="1:6" ht="14.25" thickTop="1" thickBot="1">
      <c r="A510" s="91" t="str">
        <f>C511</f>
        <v>CLEVERSON DA SILVA MAGALHÃES</v>
      </c>
      <c r="B510" s="68" t="s">
        <v>25</v>
      </c>
      <c r="C510" s="66" t="s">
        <v>3156</v>
      </c>
      <c r="D510" s="65">
        <v>63829</v>
      </c>
      <c r="E510" s="62">
        <v>41687</v>
      </c>
      <c r="F510" s="63"/>
    </row>
    <row r="511" spans="1:6" ht="14.25" thickTop="1" thickBot="1">
      <c r="A511" s="91" t="str">
        <f>C512</f>
        <v>CLEVERSON DE MORAES LACERDA</v>
      </c>
      <c r="B511" s="68" t="s">
        <v>62</v>
      </c>
      <c r="C511" s="64" t="s">
        <v>790</v>
      </c>
      <c r="D511" s="61">
        <v>101847</v>
      </c>
      <c r="E511" s="62">
        <v>41960</v>
      </c>
      <c r="F511" s="63"/>
    </row>
    <row r="512" spans="1:6" ht="14.25" thickTop="1" thickBot="1">
      <c r="A512" s="91" t="str">
        <f>C513</f>
        <v>CLEVERSON DIEGO BELZ</v>
      </c>
      <c r="B512" s="68" t="s">
        <v>62</v>
      </c>
      <c r="C512" s="66" t="s">
        <v>495</v>
      </c>
      <c r="D512" s="65">
        <v>63509</v>
      </c>
      <c r="E512" s="62">
        <v>42191</v>
      </c>
      <c r="F512" s="63"/>
    </row>
    <row r="513" spans="1:6" ht="14.25" thickTop="1" thickBot="1">
      <c r="A513" s="91" t="str">
        <f>C514</f>
        <v>CLEVERSON DIEGO BELZ</v>
      </c>
      <c r="B513" s="68" t="s">
        <v>2347</v>
      </c>
      <c r="C513" s="64" t="s">
        <v>1346</v>
      </c>
      <c r="D513" s="65">
        <v>63020</v>
      </c>
      <c r="E513" s="62">
        <v>43346</v>
      </c>
      <c r="F513" s="63"/>
    </row>
    <row r="514" spans="1:6" ht="14.25" thickTop="1" thickBot="1">
      <c r="A514" s="91"/>
      <c r="B514" s="68" t="s">
        <v>2812</v>
      </c>
      <c r="C514" s="263" t="s">
        <v>1346</v>
      </c>
      <c r="D514" s="65">
        <v>63509</v>
      </c>
      <c r="E514" s="70"/>
      <c r="F514" s="75"/>
    </row>
    <row r="515" spans="1:6" ht="14.25" thickTop="1" thickBot="1">
      <c r="A515" s="91" t="str">
        <f>C515</f>
        <v>CLEVERSON DO CARMO MARTINS</v>
      </c>
      <c r="B515" s="68" t="s">
        <v>1812</v>
      </c>
      <c r="C515" s="60" t="s">
        <v>2672</v>
      </c>
      <c r="D515" s="61">
        <v>14828</v>
      </c>
      <c r="E515" s="62">
        <v>43917</v>
      </c>
      <c r="F515" s="63"/>
    </row>
    <row r="516" spans="1:6" ht="14.25" thickTop="1" thickBot="1">
      <c r="A516" s="91"/>
      <c r="B516" s="68" t="s">
        <v>2406</v>
      </c>
      <c r="C516" s="60" t="s">
        <v>2673</v>
      </c>
      <c r="D516" s="61">
        <v>152410</v>
      </c>
      <c r="E516" s="70">
        <v>43776</v>
      </c>
      <c r="F516" s="71"/>
    </row>
    <row r="517" spans="1:6" ht="14.25" thickTop="1" thickBot="1">
      <c r="A517" s="91" t="str">
        <f>C518</f>
        <v>CLEVERSON LUIZ PEDROSO             (Polaco)</v>
      </c>
      <c r="B517" s="68" t="s">
        <v>62</v>
      </c>
      <c r="C517" s="66" t="s">
        <v>2916</v>
      </c>
      <c r="D517" s="61">
        <v>114524</v>
      </c>
      <c r="E517" s="62">
        <v>41971</v>
      </c>
      <c r="F517" s="63"/>
    </row>
    <row r="518" spans="1:6" ht="14.25" thickTop="1" thickBot="1">
      <c r="A518" s="91" t="s">
        <v>2626</v>
      </c>
      <c r="B518" s="68" t="s">
        <v>2413</v>
      </c>
      <c r="C518" s="64" t="s">
        <v>3157</v>
      </c>
      <c r="D518" s="65">
        <v>3071</v>
      </c>
      <c r="E518" s="62"/>
      <c r="F518" s="63"/>
    </row>
    <row r="519" spans="1:6" ht="14.25" thickTop="1" thickBot="1">
      <c r="A519" s="91"/>
      <c r="B519" s="68" t="s">
        <v>2413</v>
      </c>
      <c r="C519" s="64" t="s">
        <v>2626</v>
      </c>
      <c r="D519" s="61"/>
      <c r="E519" s="70">
        <v>43544</v>
      </c>
      <c r="F519" s="71"/>
    </row>
    <row r="520" spans="1:6" ht="14.25" thickTop="1" thickBot="1">
      <c r="A520" s="91" t="str">
        <f t="shared" ref="A520:A525" si="24">C521</f>
        <v>CLEVERSON PEREIRA DA CRUZ</v>
      </c>
      <c r="B520" s="68" t="s">
        <v>62</v>
      </c>
      <c r="C520" s="60" t="s">
        <v>2626</v>
      </c>
      <c r="D520" s="61">
        <v>405701</v>
      </c>
      <c r="E520" s="62"/>
      <c r="F520" s="63"/>
    </row>
    <row r="521" spans="1:6" ht="14.25" thickTop="1" thickBot="1">
      <c r="A521" s="91" t="str">
        <f t="shared" si="24"/>
        <v>CLEVERSON PEREIRA DOS SANTOS</v>
      </c>
      <c r="B521" s="68" t="s">
        <v>62</v>
      </c>
      <c r="C521" s="64" t="s">
        <v>133</v>
      </c>
      <c r="D521" s="65">
        <v>101158</v>
      </c>
      <c r="E521" s="62"/>
      <c r="F521" s="63"/>
    </row>
    <row r="522" spans="1:6" ht="14.25" thickTop="1" thickBot="1">
      <c r="A522" s="91" t="str">
        <f t="shared" si="24"/>
        <v>CLEVERTON COLASSO DE GOIS</v>
      </c>
      <c r="B522" s="61" t="s">
        <v>2413</v>
      </c>
      <c r="C522" s="66" t="s">
        <v>489</v>
      </c>
      <c r="D522" s="61">
        <v>107505</v>
      </c>
      <c r="E522" s="62">
        <v>43529</v>
      </c>
      <c r="F522" s="71"/>
    </row>
    <row r="523" spans="1:6" ht="14.25" thickTop="1" thickBot="1">
      <c r="A523" s="91" t="str">
        <f t="shared" si="24"/>
        <v>CLEVERTON HENRIQUE DE MATOS</v>
      </c>
      <c r="B523" s="61" t="s">
        <v>351</v>
      </c>
      <c r="C523" s="77" t="s">
        <v>2573</v>
      </c>
      <c r="D523" s="61">
        <v>103916</v>
      </c>
      <c r="E523" s="62">
        <v>43383</v>
      </c>
      <c r="F523" s="71"/>
    </row>
    <row r="524" spans="1:6" ht="14.25" thickTop="1" thickBot="1">
      <c r="A524" s="91" t="str">
        <f t="shared" si="24"/>
        <v>CLEVERTON VIEIRA DE ALMEIDA           (Maninho)</v>
      </c>
      <c r="B524" s="68" t="s">
        <v>415</v>
      </c>
      <c r="C524" s="66" t="s">
        <v>1714</v>
      </c>
      <c r="D524" s="61">
        <v>100981</v>
      </c>
      <c r="E524" s="62">
        <v>41726</v>
      </c>
      <c r="F524" s="63"/>
    </row>
    <row r="525" spans="1:6" ht="14.25" thickTop="1" thickBot="1">
      <c r="A525" s="91" t="str">
        <f t="shared" si="24"/>
        <v>CLODOALDO BATISTA GONÇALVES</v>
      </c>
      <c r="B525" s="61" t="s">
        <v>351</v>
      </c>
      <c r="C525" s="66" t="s">
        <v>3158</v>
      </c>
      <c r="D525" s="67"/>
      <c r="E525" s="62">
        <v>43383</v>
      </c>
      <c r="F525" s="71"/>
    </row>
    <row r="526" spans="1:6" ht="14.25" thickTop="1" thickBot="1">
      <c r="A526" s="91"/>
      <c r="B526" s="68" t="s">
        <v>603</v>
      </c>
      <c r="C526" s="64" t="s">
        <v>2159</v>
      </c>
      <c r="D526" s="65">
        <v>63467</v>
      </c>
      <c r="E526" s="70">
        <v>44099</v>
      </c>
      <c r="F526" s="75"/>
    </row>
    <row r="527" spans="1:6" ht="14.25" thickTop="1" thickBot="1">
      <c r="A527" s="91" t="str">
        <f>C528</f>
        <v>CLODOALDO ROBERTO PROCOPIO</v>
      </c>
      <c r="B527" s="67" t="s">
        <v>1298</v>
      </c>
      <c r="C527" s="66" t="s">
        <v>1083</v>
      </c>
      <c r="D527" s="61">
        <v>73400</v>
      </c>
      <c r="E527" s="62">
        <v>39959</v>
      </c>
      <c r="F527" s="63"/>
    </row>
    <row r="528" spans="1:6" ht="14.25" thickTop="1" thickBot="1">
      <c r="A528" s="91" t="str">
        <f>C529</f>
        <v>CLOVIS ABRAMOSKI</v>
      </c>
      <c r="B528" s="68" t="s">
        <v>546</v>
      </c>
      <c r="C528" s="64" t="s">
        <v>181</v>
      </c>
      <c r="D528" s="67"/>
      <c r="E528" s="62">
        <v>40532</v>
      </c>
      <c r="F528" s="63"/>
    </row>
    <row r="529" spans="1:6" ht="14.25" thickTop="1" thickBot="1">
      <c r="A529" s="91"/>
      <c r="B529" s="61" t="s">
        <v>2413</v>
      </c>
      <c r="C529" s="66" t="s">
        <v>2814</v>
      </c>
      <c r="D529" s="61">
        <v>176095</v>
      </c>
      <c r="E529" s="70">
        <v>43983</v>
      </c>
      <c r="F529" s="71"/>
    </row>
    <row r="530" spans="1:6" ht="14.25" thickTop="1" thickBot="1">
      <c r="A530" s="197" t="s">
        <v>2495</v>
      </c>
      <c r="B530" s="61"/>
      <c r="C530" s="66" t="s">
        <v>182</v>
      </c>
      <c r="D530" s="65">
        <v>63554</v>
      </c>
      <c r="E530" s="70"/>
      <c r="F530" s="71"/>
    </row>
    <row r="531" spans="1:6" ht="14.25" thickTop="1" thickBot="1">
      <c r="A531" s="91" t="str">
        <f t="shared" ref="A531:A537" si="25">C532</f>
        <v>CRIS NAMURTT CARNEIRO JORGE</v>
      </c>
      <c r="B531" s="68" t="s">
        <v>62</v>
      </c>
      <c r="C531" s="60" t="s">
        <v>2498</v>
      </c>
      <c r="D531" s="61">
        <v>373514</v>
      </c>
      <c r="E531" s="62">
        <v>41733</v>
      </c>
      <c r="F531" s="63"/>
    </row>
    <row r="532" spans="1:6" ht="14.25" thickTop="1" thickBot="1">
      <c r="A532" s="91" t="str">
        <f t="shared" si="25"/>
        <v>CRISTIAN DE MELLO TOBIAS</v>
      </c>
      <c r="B532" s="68" t="s">
        <v>62</v>
      </c>
      <c r="C532" s="66" t="s">
        <v>1290</v>
      </c>
      <c r="D532" s="67"/>
      <c r="E532" s="62">
        <v>42048</v>
      </c>
      <c r="F532" s="63"/>
    </row>
    <row r="533" spans="1:6" ht="14.25" thickTop="1" thickBot="1">
      <c r="A533" s="91" t="str">
        <f t="shared" si="25"/>
        <v>CRISTIAN MAGRINI</v>
      </c>
      <c r="B533" s="68" t="s">
        <v>546</v>
      </c>
      <c r="C533" s="66" t="s">
        <v>684</v>
      </c>
      <c r="D533" s="65">
        <v>52932</v>
      </c>
      <c r="E533" s="62">
        <v>42704</v>
      </c>
      <c r="F533" s="63"/>
    </row>
    <row r="534" spans="1:6" ht="14.25" thickTop="1" thickBot="1">
      <c r="A534" s="91" t="str">
        <f t="shared" si="25"/>
        <v xml:space="preserve">CRISTIAN MATEUS SANTOS </v>
      </c>
      <c r="B534" s="68" t="s">
        <v>1812</v>
      </c>
      <c r="C534" s="66" t="s">
        <v>185</v>
      </c>
      <c r="D534" s="61">
        <v>27256</v>
      </c>
      <c r="E534" s="62">
        <v>43244</v>
      </c>
      <c r="F534" s="63"/>
    </row>
    <row r="535" spans="1:6" ht="14.25" thickTop="1" thickBot="1">
      <c r="A535" s="91" t="str">
        <f t="shared" si="25"/>
        <v>CRISTIAN ROMERO FRANCISCO</v>
      </c>
      <c r="B535" s="68" t="s">
        <v>62</v>
      </c>
      <c r="C535" s="66" t="s">
        <v>2041</v>
      </c>
      <c r="D535" s="61">
        <v>106946</v>
      </c>
      <c r="E535" s="62">
        <v>42436</v>
      </c>
      <c r="F535" s="63"/>
    </row>
    <row r="536" spans="1:6" ht="14.25" thickTop="1" thickBot="1">
      <c r="A536" s="91" t="str">
        <f t="shared" si="25"/>
        <v>CRISTIAN WILLIAN DA SILVA                   (P.T.)</v>
      </c>
      <c r="B536" s="68" t="s">
        <v>351</v>
      </c>
      <c r="C536" s="66" t="s">
        <v>299</v>
      </c>
      <c r="D536" s="61">
        <v>101223</v>
      </c>
      <c r="E536" s="62">
        <v>42317</v>
      </c>
      <c r="F536" s="63"/>
    </row>
    <row r="537" spans="1:6" ht="14.25" thickTop="1" thickBot="1">
      <c r="A537" s="91" t="str">
        <f t="shared" si="25"/>
        <v>CRISTIANO ANTONIO ALVES LOURENÇO</v>
      </c>
      <c r="B537" s="68" t="s">
        <v>1812</v>
      </c>
      <c r="C537" s="66" t="s">
        <v>3159</v>
      </c>
      <c r="D537" s="65"/>
      <c r="E537" s="62">
        <v>40182</v>
      </c>
      <c r="F537" s="63"/>
    </row>
    <row r="538" spans="1:6" ht="14.25" thickTop="1" thickBot="1">
      <c r="A538" s="216"/>
      <c r="B538" s="61" t="s">
        <v>2406</v>
      </c>
      <c r="C538" s="64" t="s">
        <v>1219</v>
      </c>
      <c r="D538" s="65">
        <v>113220</v>
      </c>
      <c r="E538" s="70">
        <v>43504</v>
      </c>
      <c r="F538" s="71"/>
    </row>
    <row r="539" spans="1:6" ht="14.25" thickTop="1" thickBot="1">
      <c r="A539" s="91" t="s">
        <v>2681</v>
      </c>
      <c r="B539" s="68" t="s">
        <v>1812</v>
      </c>
      <c r="C539" s="66" t="s">
        <v>2718</v>
      </c>
      <c r="D539" s="198">
        <v>157363</v>
      </c>
      <c r="E539" s="62">
        <v>43917</v>
      </c>
      <c r="F539" s="63"/>
    </row>
    <row r="540" spans="1:6" ht="14.25" thickTop="1" thickBot="1">
      <c r="A540" s="91"/>
      <c r="B540" s="163" t="s">
        <v>2406</v>
      </c>
      <c r="C540" s="77" t="s">
        <v>2386</v>
      </c>
      <c r="D540" s="61">
        <v>101659</v>
      </c>
      <c r="E540" s="204">
        <v>43496</v>
      </c>
      <c r="F540" s="63"/>
    </row>
    <row r="541" spans="1:6" ht="14.25" thickTop="1" thickBot="1">
      <c r="A541" s="91" t="str">
        <f>C542</f>
        <v>CRISTIANO DOMINGUES DE LIMA</v>
      </c>
      <c r="B541" s="67" t="s">
        <v>1522</v>
      </c>
      <c r="C541" s="60" t="s">
        <v>2560</v>
      </c>
      <c r="D541" s="61">
        <v>161746</v>
      </c>
      <c r="E541" s="62">
        <v>41242</v>
      </c>
      <c r="F541" s="63"/>
    </row>
    <row r="542" spans="1:6" ht="14.25" thickTop="1" thickBot="1">
      <c r="A542" s="91" t="str">
        <f>C543</f>
        <v>CRISTIANO FIDELIS</v>
      </c>
      <c r="B542" s="68" t="s">
        <v>1306</v>
      </c>
      <c r="C542" s="66" t="s">
        <v>1571</v>
      </c>
      <c r="D542" s="311" t="s">
        <v>3359</v>
      </c>
      <c r="E542" s="62">
        <v>42591</v>
      </c>
      <c r="F542" s="63"/>
    </row>
    <row r="543" spans="1:6" ht="14.25" thickTop="1" thickBot="1">
      <c r="A543" s="91" t="str">
        <f>C543</f>
        <v>CRISTIANO FIDELIS</v>
      </c>
      <c r="B543" s="68" t="s">
        <v>1812</v>
      </c>
      <c r="C543" s="60" t="s">
        <v>2687</v>
      </c>
      <c r="D543" s="61">
        <v>123838</v>
      </c>
      <c r="E543" s="70">
        <v>43994</v>
      </c>
      <c r="F543" s="71"/>
    </row>
    <row r="544" spans="1:6" ht="14.25" thickTop="1" thickBot="1">
      <c r="A544" s="91" t="str">
        <f>C546</f>
        <v>CRISTIANO NASCIMENTO</v>
      </c>
      <c r="B544" s="68" t="s">
        <v>2413</v>
      </c>
      <c r="C544" s="60" t="s">
        <v>2435</v>
      </c>
      <c r="D544" s="61">
        <v>139526</v>
      </c>
      <c r="E544" s="62">
        <v>44062</v>
      </c>
      <c r="F544" s="63"/>
    </row>
    <row r="545" spans="1:6" ht="14.25" thickTop="1" thickBot="1">
      <c r="A545" s="91" t="str">
        <f t="shared" ref="A545:A551" si="26">C546</f>
        <v>CRISTIANO NASCIMENTO</v>
      </c>
      <c r="B545" s="68" t="s">
        <v>62</v>
      </c>
      <c r="C545" s="66" t="s">
        <v>3160</v>
      </c>
      <c r="D545" s="61">
        <v>11092</v>
      </c>
      <c r="E545" s="62">
        <v>41885</v>
      </c>
      <c r="F545" s="171"/>
    </row>
    <row r="546" spans="1:6" ht="14.25" thickTop="1" thickBot="1">
      <c r="A546" s="91" t="str">
        <f t="shared" si="26"/>
        <v>CRISTIANO XAVIER DA COSTA</v>
      </c>
      <c r="B546" s="68" t="s">
        <v>62</v>
      </c>
      <c r="C546" s="66" t="s">
        <v>1575</v>
      </c>
      <c r="D546" s="61">
        <v>102335</v>
      </c>
      <c r="E546" s="62">
        <v>40283</v>
      </c>
      <c r="F546" s="63"/>
    </row>
    <row r="547" spans="1:6" ht="14.25" thickTop="1" thickBot="1">
      <c r="A547" s="91" t="str">
        <f t="shared" si="26"/>
        <v>CRISTOPHER ALEXANDRE AURELIANO DOS SANTOS</v>
      </c>
      <c r="B547" s="68" t="s">
        <v>62</v>
      </c>
      <c r="C547" s="66" t="s">
        <v>86</v>
      </c>
      <c r="D547" s="65">
        <v>27117</v>
      </c>
      <c r="E547" s="62">
        <v>40354</v>
      </c>
      <c r="F547" s="63"/>
    </row>
    <row r="548" spans="1:6" ht="14.25" thickTop="1" thickBot="1">
      <c r="A548" s="91" t="str">
        <f t="shared" si="26"/>
        <v>DALVAN OLIARSKI</v>
      </c>
      <c r="B548" s="68" t="s">
        <v>62</v>
      </c>
      <c r="C548" s="66" t="s">
        <v>1148</v>
      </c>
      <c r="D548" s="65">
        <v>101284</v>
      </c>
      <c r="E548" s="70">
        <v>42331</v>
      </c>
      <c r="F548" s="71"/>
    </row>
    <row r="549" spans="1:6" ht="14.25" thickTop="1" thickBot="1">
      <c r="A549" s="91" t="str">
        <f t="shared" si="26"/>
        <v>DANIEL CARNEIRO                      (Buiu)</v>
      </c>
      <c r="B549" s="68" t="s">
        <v>2347</v>
      </c>
      <c r="C549" s="64" t="s">
        <v>566</v>
      </c>
      <c r="D549" s="65">
        <v>63704</v>
      </c>
      <c r="E549" s="62">
        <v>43346</v>
      </c>
      <c r="F549" s="63"/>
    </row>
    <row r="550" spans="1:6" ht="14.25" thickTop="1" thickBot="1">
      <c r="A550" s="91" t="str">
        <f t="shared" si="26"/>
        <v>DANIEL CORDEIRO DE ARRUDA</v>
      </c>
      <c r="B550" s="68" t="s">
        <v>62</v>
      </c>
      <c r="C550" s="66" t="s">
        <v>3161</v>
      </c>
      <c r="D550" s="191">
        <v>10316</v>
      </c>
      <c r="E550" s="62">
        <v>42116</v>
      </c>
      <c r="F550" s="63"/>
    </row>
    <row r="551" spans="1:6" ht="14.25" thickTop="1" thickBot="1">
      <c r="A551" s="91" t="str">
        <f t="shared" si="26"/>
        <v>DANIEL CRUZ</v>
      </c>
      <c r="B551" s="68" t="s">
        <v>62</v>
      </c>
      <c r="C551" s="66" t="s">
        <v>547</v>
      </c>
      <c r="D551" s="65">
        <v>39953</v>
      </c>
      <c r="E551" s="62">
        <v>40802</v>
      </c>
      <c r="F551" s="63"/>
    </row>
    <row r="552" spans="1:6" ht="14.25" thickTop="1" thickBot="1">
      <c r="A552" s="91"/>
      <c r="B552" s="68" t="s">
        <v>351</v>
      </c>
      <c r="C552" s="66" t="s">
        <v>186</v>
      </c>
      <c r="D552" s="61">
        <v>101160</v>
      </c>
      <c r="E552" s="62">
        <v>43613</v>
      </c>
      <c r="F552" s="75"/>
    </row>
    <row r="553" spans="1:6" ht="14.25" thickTop="1" thickBot="1">
      <c r="A553" s="91" t="str">
        <f>C554</f>
        <v>DANIEL DE ANDRADE CHIMESKI</v>
      </c>
      <c r="B553" s="68" t="s">
        <v>62</v>
      </c>
      <c r="C553" s="60" t="s">
        <v>3164</v>
      </c>
      <c r="D553" s="61">
        <v>48723</v>
      </c>
      <c r="E553" s="62">
        <v>43243</v>
      </c>
      <c r="F553" s="63"/>
    </row>
    <row r="554" spans="1:6" ht="14.25" thickTop="1" thickBot="1">
      <c r="A554" s="91"/>
      <c r="B554" s="68" t="s">
        <v>2406</v>
      </c>
      <c r="C554" s="77" t="s">
        <v>3383</v>
      </c>
      <c r="D554" s="61">
        <v>108052</v>
      </c>
      <c r="E554" s="62">
        <v>43906</v>
      </c>
      <c r="F554" s="63"/>
    </row>
    <row r="555" spans="1:6" ht="14.25" thickTop="1" thickBot="1">
      <c r="A555" s="91" t="str">
        <f>C556</f>
        <v>DANIEL DO NASCIMENTO</v>
      </c>
      <c r="B555" s="68" t="s">
        <v>62</v>
      </c>
      <c r="C555" s="66" t="s">
        <v>2156</v>
      </c>
      <c r="D555" s="61">
        <v>142417</v>
      </c>
      <c r="E555" s="62">
        <v>42048</v>
      </c>
      <c r="F555" s="63"/>
    </row>
    <row r="556" spans="1:6" ht="14.25" thickTop="1" thickBot="1">
      <c r="A556" s="91"/>
      <c r="B556" s="68" t="s">
        <v>1812</v>
      </c>
      <c r="C556" s="66" t="s">
        <v>1576</v>
      </c>
      <c r="D556" s="65">
        <v>27278</v>
      </c>
      <c r="E556" s="62">
        <v>43567</v>
      </c>
      <c r="F556" s="63"/>
    </row>
    <row r="557" spans="1:6" ht="14.25" thickTop="1" thickBot="1">
      <c r="A557" s="91" t="str">
        <f>C558</f>
        <v>DANIEL DOS SANTOS                       (Til)</v>
      </c>
      <c r="B557" s="68" t="s">
        <v>126</v>
      </c>
      <c r="C557" s="193" t="s">
        <v>1954</v>
      </c>
      <c r="D557" s="198">
        <v>107922</v>
      </c>
      <c r="E557" s="62">
        <v>39478</v>
      </c>
      <c r="F557" s="63"/>
    </row>
    <row r="558" spans="1:6" ht="14.25" thickTop="1" thickBot="1">
      <c r="A558" s="91" t="s">
        <v>2362</v>
      </c>
      <c r="B558" s="68" t="s">
        <v>126</v>
      </c>
      <c r="C558" s="66" t="s">
        <v>3165</v>
      </c>
      <c r="D558" s="65">
        <v>63318</v>
      </c>
      <c r="E558" s="62">
        <v>43392</v>
      </c>
      <c r="F558" s="63"/>
    </row>
    <row r="559" spans="1:6" ht="14.25" thickTop="1" thickBot="1">
      <c r="A559" s="91" t="str">
        <f>C560</f>
        <v>DANIEL GONÇALVES DE FREITAS</v>
      </c>
      <c r="B559" s="68" t="s">
        <v>62</v>
      </c>
      <c r="C559" s="60" t="s">
        <v>2362</v>
      </c>
      <c r="D559" s="61">
        <v>147419</v>
      </c>
      <c r="E559" s="62">
        <v>40378</v>
      </c>
      <c r="F559" s="63"/>
    </row>
    <row r="560" spans="1:6" ht="14.25" thickTop="1" thickBot="1">
      <c r="A560" s="77"/>
      <c r="B560" s="68" t="s">
        <v>62</v>
      </c>
      <c r="C560" s="66" t="s">
        <v>36</v>
      </c>
      <c r="D560" s="61">
        <v>107500</v>
      </c>
      <c r="E560" s="62">
        <v>43238</v>
      </c>
      <c r="F560" s="63"/>
    </row>
    <row r="561" spans="1:6" ht="14.25" thickTop="1" thickBot="1">
      <c r="A561" s="60"/>
      <c r="B561" s="61" t="s">
        <v>2413</v>
      </c>
      <c r="C561" s="66" t="s">
        <v>3162</v>
      </c>
      <c r="D561" s="61">
        <v>101513</v>
      </c>
      <c r="E561" s="70">
        <v>43440</v>
      </c>
      <c r="F561" s="71"/>
    </row>
    <row r="562" spans="1:6" ht="14.25" thickTop="1" thickBot="1">
      <c r="A562" s="91"/>
      <c r="B562" s="68" t="s">
        <v>351</v>
      </c>
      <c r="C562" s="77" t="s">
        <v>1813</v>
      </c>
      <c r="D562" s="61">
        <v>113280</v>
      </c>
      <c r="E562" s="70">
        <v>42523</v>
      </c>
      <c r="F562" s="75"/>
    </row>
    <row r="563" spans="1:6" ht="14.25" thickTop="1" thickBot="1">
      <c r="A563" s="91" t="str">
        <f t="shared" ref="A563:A568" si="27">C564</f>
        <v>DANIEL WARGENIAK</v>
      </c>
      <c r="B563" s="68" t="s">
        <v>62</v>
      </c>
      <c r="C563" s="66" t="s">
        <v>3163</v>
      </c>
      <c r="D563" s="67"/>
      <c r="E563" s="62">
        <v>39855</v>
      </c>
      <c r="F563" s="63"/>
    </row>
    <row r="564" spans="1:6" ht="14.25" thickTop="1" thickBot="1">
      <c r="A564" s="91" t="str">
        <f t="shared" si="27"/>
        <v>DANILO DE OLIVEIRA CARDOSO</v>
      </c>
      <c r="B564" s="68" t="s">
        <v>2347</v>
      </c>
      <c r="C564" s="66" t="s">
        <v>1347</v>
      </c>
      <c r="D564" s="65">
        <v>63721</v>
      </c>
      <c r="E564" s="62">
        <v>43346</v>
      </c>
      <c r="F564" s="63"/>
    </row>
    <row r="565" spans="1:6" ht="14.25" thickTop="1" thickBot="1">
      <c r="A565" s="91" t="str">
        <f t="shared" si="27"/>
        <v>DANILO LUIZ GONÇALVES DE FREITAS    (Dandan)</v>
      </c>
      <c r="B565" s="68" t="s">
        <v>62</v>
      </c>
      <c r="C565" s="77" t="s">
        <v>1915</v>
      </c>
      <c r="D565" s="61">
        <v>74248</v>
      </c>
      <c r="E565" s="62">
        <v>40866</v>
      </c>
      <c r="F565" s="63"/>
    </row>
    <row r="566" spans="1:6" ht="14.25" thickTop="1" thickBot="1">
      <c r="A566" s="91" t="str">
        <f t="shared" si="27"/>
        <v>DANILO PEREIRA                     (Paulistinha)</v>
      </c>
      <c r="B566" s="68" t="s">
        <v>546</v>
      </c>
      <c r="C566" s="66" t="s">
        <v>2917</v>
      </c>
      <c r="D566" s="67"/>
      <c r="E566" s="62">
        <v>42977</v>
      </c>
      <c r="F566" s="63"/>
    </row>
    <row r="567" spans="1:6" ht="14.25" thickTop="1" thickBot="1">
      <c r="A567" s="91" t="str">
        <f t="shared" si="27"/>
        <v>DANILO RAMOS CARVALHO</v>
      </c>
      <c r="B567" s="68" t="s">
        <v>2347</v>
      </c>
      <c r="C567" s="66" t="s">
        <v>3166</v>
      </c>
      <c r="D567" s="61">
        <v>120243</v>
      </c>
      <c r="E567" s="62">
        <v>43346</v>
      </c>
      <c r="F567" s="63"/>
    </row>
    <row r="568" spans="1:6" ht="14.25" thickTop="1" thickBot="1">
      <c r="A568" s="91" t="str">
        <f t="shared" si="27"/>
        <v>DANILO VIEIRA CANDIDO</v>
      </c>
      <c r="B568" s="68" t="s">
        <v>351</v>
      </c>
      <c r="C568" s="66" t="s">
        <v>2250</v>
      </c>
      <c r="D568" s="61"/>
      <c r="E568" s="62">
        <v>39603</v>
      </c>
      <c r="F568" s="63"/>
    </row>
    <row r="569" spans="1:6" ht="14.25" thickTop="1" thickBot="1">
      <c r="A569" s="91"/>
      <c r="B569" s="68" t="s">
        <v>62</v>
      </c>
      <c r="C569" s="66" t="s">
        <v>2106</v>
      </c>
      <c r="D569" s="67"/>
      <c r="E569" s="62">
        <v>41555</v>
      </c>
      <c r="F569" s="63"/>
    </row>
    <row r="570" spans="1:6" ht="14.25" thickTop="1" thickBot="1">
      <c r="A570" s="91" t="str">
        <f>C571</f>
        <v>DARCI TERNOSKI</v>
      </c>
      <c r="B570" s="68" t="s">
        <v>62</v>
      </c>
      <c r="C570" s="66" t="s">
        <v>940</v>
      </c>
      <c r="D570" s="67"/>
      <c r="E570" s="115">
        <v>39239</v>
      </c>
      <c r="F570" s="83" t="s">
        <v>77</v>
      </c>
    </row>
    <row r="571" spans="1:6" ht="14.25" thickTop="1" thickBot="1">
      <c r="A571" s="91" t="str">
        <f>C572</f>
        <v>DARIO ALVES DE LIMA</v>
      </c>
      <c r="B571" s="68" t="s">
        <v>62</v>
      </c>
      <c r="C571" s="66" t="s">
        <v>1438</v>
      </c>
      <c r="D571" s="67"/>
      <c r="E571" s="62">
        <v>41271</v>
      </c>
      <c r="F571" s="63"/>
    </row>
    <row r="572" spans="1:6" ht="14.25" thickTop="1" thickBot="1">
      <c r="A572" s="91" t="str">
        <f>C573</f>
        <v>DARLEI INOCENCIO GONÇALVES</v>
      </c>
      <c r="B572" s="61" t="s">
        <v>351</v>
      </c>
      <c r="C572" s="64" t="s">
        <v>1348</v>
      </c>
      <c r="D572" s="67"/>
      <c r="E572" s="62">
        <v>43587</v>
      </c>
      <c r="F572" s="63"/>
    </row>
    <row r="573" spans="1:6" ht="14.25" thickTop="1" thickBot="1">
      <c r="A573" s="91"/>
      <c r="B573" s="68" t="s">
        <v>2413</v>
      </c>
      <c r="C573" s="192" t="s">
        <v>2163</v>
      </c>
      <c r="D573" s="61">
        <v>142480</v>
      </c>
      <c r="E573" s="62">
        <v>43749</v>
      </c>
      <c r="F573" s="63"/>
    </row>
    <row r="574" spans="1:6" ht="14.25" thickTop="1" thickBot="1">
      <c r="A574" s="91" t="s">
        <v>2518</v>
      </c>
      <c r="B574" s="68" t="s">
        <v>2413</v>
      </c>
      <c r="C574" s="224" t="s">
        <v>3167</v>
      </c>
      <c r="D574" s="61">
        <v>98733</v>
      </c>
      <c r="E574" s="70">
        <v>43560</v>
      </c>
      <c r="F574" s="75"/>
    </row>
    <row r="575" spans="1:6" ht="14.25" thickTop="1" thickBot="1">
      <c r="A575" s="91"/>
      <c r="B575" s="68" t="s">
        <v>2406</v>
      </c>
      <c r="C575" s="66" t="s">
        <v>2518</v>
      </c>
      <c r="D575" s="65">
        <v>10280</v>
      </c>
      <c r="E575" s="62">
        <v>44071</v>
      </c>
      <c r="F575" s="63"/>
    </row>
    <row r="576" spans="1:6" ht="14.25" thickTop="1" thickBot="1">
      <c r="A576" s="60"/>
      <c r="B576" s="68" t="s">
        <v>62</v>
      </c>
      <c r="C576" s="60" t="s">
        <v>2518</v>
      </c>
      <c r="D576" s="61">
        <v>10280</v>
      </c>
      <c r="E576" s="70">
        <v>42419</v>
      </c>
      <c r="F576" s="75"/>
    </row>
    <row r="577" spans="1:6" ht="14.25" thickTop="1" thickBot="1">
      <c r="A577" s="91" t="str">
        <f>C578</f>
        <v>DAVI FREITAS DOS SANTOS E JOAO MARIO DE FREITAS</v>
      </c>
      <c r="B577" s="68" t="s">
        <v>62</v>
      </c>
      <c r="C577" s="66" t="s">
        <v>3168</v>
      </c>
      <c r="D577" s="177"/>
      <c r="E577" s="70">
        <v>42936</v>
      </c>
      <c r="F577" s="71"/>
    </row>
    <row r="578" spans="1:6" ht="14.25" thickTop="1" thickBot="1">
      <c r="A578" s="91" t="str">
        <f>C579</f>
        <v>DAVI MOISES DE BASTOS RAMOS</v>
      </c>
      <c r="B578" s="68" t="s">
        <v>62</v>
      </c>
      <c r="C578" s="66" t="s">
        <v>1146</v>
      </c>
      <c r="D578" s="61">
        <v>27195</v>
      </c>
      <c r="E578" s="62">
        <v>43364</v>
      </c>
      <c r="F578" s="63"/>
    </row>
    <row r="579" spans="1:6" ht="14.25" thickTop="1" thickBot="1">
      <c r="A579" s="91"/>
      <c r="B579" s="68" t="s">
        <v>351</v>
      </c>
      <c r="C579" s="77" t="s">
        <v>2133</v>
      </c>
      <c r="D579" s="198">
        <v>120836</v>
      </c>
      <c r="E579" s="62"/>
      <c r="F579" s="63"/>
    </row>
    <row r="580" spans="1:6" ht="14.25" thickTop="1" thickBot="1">
      <c r="A580" s="91" t="str">
        <f>C583</f>
        <v>DAVID MARTINS DOS SANTOS</v>
      </c>
      <c r="B580" s="68" t="s">
        <v>1264</v>
      </c>
      <c r="C580" s="376" t="s">
        <v>3520</v>
      </c>
      <c r="D580" s="61"/>
      <c r="E580" s="62">
        <v>44095</v>
      </c>
      <c r="F580" s="63"/>
    </row>
    <row r="581" spans="1:6" ht="14.25" thickTop="1" thickBot="1">
      <c r="A581" s="91" t="str">
        <f>C582</f>
        <v>DAVID CORDEIRO LEMES              (Coringa / Seco)</v>
      </c>
      <c r="B581" s="68"/>
      <c r="C581" s="66" t="s">
        <v>3169</v>
      </c>
      <c r="D581" s="65">
        <v>27195</v>
      </c>
      <c r="E581" s="180">
        <v>42236</v>
      </c>
      <c r="F581" s="171" t="s">
        <v>1671</v>
      </c>
    </row>
    <row r="582" spans="1:6" ht="14.25" thickTop="1" thickBot="1">
      <c r="A582" s="91" t="str">
        <f>C583</f>
        <v>DAVID MARTINS DOS SANTOS</v>
      </c>
      <c r="B582" s="68" t="s">
        <v>846</v>
      </c>
      <c r="C582" s="66" t="s">
        <v>3169</v>
      </c>
      <c r="D582" s="61">
        <v>27302</v>
      </c>
      <c r="E582" s="62">
        <v>41885</v>
      </c>
      <c r="F582" s="63"/>
    </row>
    <row r="583" spans="1:6" ht="14.25" thickTop="1" thickBot="1">
      <c r="A583" s="91"/>
      <c r="B583" s="68" t="s">
        <v>62</v>
      </c>
      <c r="C583" s="66" t="s">
        <v>889</v>
      </c>
      <c r="D583" s="67"/>
      <c r="E583" s="62">
        <v>41834</v>
      </c>
      <c r="F583" s="63"/>
    </row>
    <row r="584" spans="1:6" ht="14.25" thickTop="1" thickBot="1">
      <c r="A584" s="91" t="str">
        <f>C585</f>
        <v>DAVID PINHEIRO</v>
      </c>
      <c r="B584" s="182" t="s">
        <v>603</v>
      </c>
      <c r="C584" s="64" t="s">
        <v>941</v>
      </c>
      <c r="D584" s="181">
        <v>19107</v>
      </c>
      <c r="E584" s="62">
        <v>39601</v>
      </c>
      <c r="F584" s="63"/>
    </row>
    <row r="585" spans="1:6" ht="14.25" thickTop="1" thickBot="1">
      <c r="A585" s="91" t="str">
        <f>C586</f>
        <v>DAVID WESLEY MUNHOZ DA CONCEIÇÃO</v>
      </c>
      <c r="B585" s="68" t="s">
        <v>62</v>
      </c>
      <c r="C585" s="66" t="s">
        <v>268</v>
      </c>
      <c r="D585" s="65">
        <v>63781</v>
      </c>
      <c r="E585" s="70">
        <v>42307</v>
      </c>
      <c r="F585" s="79"/>
    </row>
    <row r="586" spans="1:6" ht="14.25" thickTop="1" thickBot="1">
      <c r="A586" s="91"/>
      <c r="B586" s="68"/>
      <c r="C586" s="192" t="s">
        <v>2762</v>
      </c>
      <c r="D586" s="61">
        <v>154724</v>
      </c>
      <c r="E586" s="62"/>
      <c r="F586" s="63"/>
    </row>
    <row r="587" spans="1:6" ht="14.25" thickTop="1" thickBot="1">
      <c r="A587" s="91" t="str">
        <f>C589</f>
        <v>DEIVIDI DE MELO</v>
      </c>
      <c r="B587" s="68" t="s">
        <v>1812</v>
      </c>
      <c r="C587" s="66" t="s">
        <v>3424</v>
      </c>
      <c r="D587" s="65">
        <v>158699</v>
      </c>
      <c r="E587" s="62">
        <v>44126</v>
      </c>
      <c r="F587" s="63"/>
    </row>
    <row r="588" spans="1:6" ht="14.25" thickTop="1" thickBot="1">
      <c r="A588" s="91" t="s">
        <v>1842</v>
      </c>
      <c r="B588" s="68" t="s">
        <v>2413</v>
      </c>
      <c r="C588" s="64" t="s">
        <v>409</v>
      </c>
      <c r="D588" s="65">
        <v>68148</v>
      </c>
      <c r="E588" s="70">
        <v>43560</v>
      </c>
      <c r="F588" s="79"/>
    </row>
    <row r="589" spans="1:6" ht="14.25" thickTop="1" thickBot="1">
      <c r="A589" s="91" t="str">
        <f>C590</f>
        <v>DEJALMA CRISTIANO DOS SANTOS</v>
      </c>
      <c r="B589" s="68" t="s">
        <v>2347</v>
      </c>
      <c r="C589" s="60" t="s">
        <v>1842</v>
      </c>
      <c r="D589" s="61">
        <v>127387</v>
      </c>
      <c r="E589" s="62">
        <v>43346</v>
      </c>
      <c r="F589" s="63"/>
    </row>
    <row r="590" spans="1:6" ht="14.25" thickTop="1" thickBot="1">
      <c r="A590" s="91" t="str">
        <f>C591</f>
        <v>DENILSON MARTINS DA SILVA</v>
      </c>
      <c r="B590" s="68" t="s">
        <v>62</v>
      </c>
      <c r="C590" s="66" t="s">
        <v>2191</v>
      </c>
      <c r="D590" s="61">
        <v>142860</v>
      </c>
      <c r="E590" s="62">
        <v>42702</v>
      </c>
      <c r="F590" s="63"/>
    </row>
    <row r="591" spans="1:6" ht="14.25" thickTop="1" thickBot="1">
      <c r="A591" s="91" t="str">
        <f>C592</f>
        <v>DENILSON QUEIROZ</v>
      </c>
      <c r="B591" s="68" t="s">
        <v>2347</v>
      </c>
      <c r="C591" s="64" t="s">
        <v>138</v>
      </c>
      <c r="D591" s="67"/>
      <c r="E591" s="62">
        <v>43346</v>
      </c>
      <c r="F591" s="63"/>
    </row>
    <row r="592" spans="1:6" ht="14.25" thickTop="1" thickBot="1">
      <c r="A592" s="91" t="str">
        <f>C593</f>
        <v>DENIS KAPASSI NATEL</v>
      </c>
      <c r="B592" s="68" t="s">
        <v>2347</v>
      </c>
      <c r="C592" s="66" t="s">
        <v>2234</v>
      </c>
      <c r="D592" s="198">
        <v>13231</v>
      </c>
      <c r="E592" s="62">
        <v>43346</v>
      </c>
      <c r="F592" s="63"/>
    </row>
    <row r="593" spans="1:6" ht="14.25" thickTop="1" thickBot="1">
      <c r="A593" s="91" t="str">
        <f>C594</f>
        <v xml:space="preserve">DENIS MATEUS HONORIO       </v>
      </c>
      <c r="B593" s="68" t="s">
        <v>62</v>
      </c>
      <c r="C593" s="66" t="s">
        <v>2264</v>
      </c>
      <c r="D593" s="61">
        <v>57999</v>
      </c>
      <c r="E593" s="70">
        <v>42412</v>
      </c>
      <c r="F593" s="63"/>
    </row>
    <row r="594" spans="1:6" ht="14.25" thickTop="1" thickBot="1">
      <c r="A594" s="216"/>
      <c r="B594" s="61" t="s">
        <v>2406</v>
      </c>
      <c r="C594" s="66" t="s">
        <v>1349</v>
      </c>
      <c r="D594" s="61">
        <v>27321</v>
      </c>
      <c r="E594" s="70">
        <v>43504</v>
      </c>
      <c r="F594" s="71"/>
    </row>
    <row r="595" spans="1:6" ht="14.25" thickTop="1" thickBot="1">
      <c r="A595" s="91" t="str">
        <f>C596</f>
        <v>DENIS WILLIAN GONÇALVES PINTO           (Mil Grau)</v>
      </c>
      <c r="B595" s="68" t="s">
        <v>1570</v>
      </c>
      <c r="C595" s="60" t="s">
        <v>2503</v>
      </c>
      <c r="D595" s="61">
        <v>142692</v>
      </c>
      <c r="E595" s="62">
        <v>40878</v>
      </c>
      <c r="F595" s="63"/>
    </row>
    <row r="596" spans="1:6" ht="14.25" thickTop="1" thickBot="1">
      <c r="A596" s="216"/>
      <c r="B596" s="61" t="s">
        <v>2406</v>
      </c>
      <c r="C596" s="66" t="s">
        <v>3170</v>
      </c>
      <c r="D596" s="61">
        <v>109746</v>
      </c>
      <c r="E596" s="70">
        <v>43504</v>
      </c>
      <c r="F596" s="71"/>
    </row>
    <row r="597" spans="1:6" ht="14.25" thickTop="1" thickBot="1">
      <c r="A597" s="91" t="str">
        <f>C598</f>
        <v>DEVONSIR DAMAZIO</v>
      </c>
      <c r="B597" s="68" t="s">
        <v>1812</v>
      </c>
      <c r="C597" s="265" t="s">
        <v>559</v>
      </c>
      <c r="D597" s="266">
        <v>33073</v>
      </c>
      <c r="E597" s="62">
        <v>42433</v>
      </c>
      <c r="F597" s="63"/>
    </row>
    <row r="598" spans="1:6" ht="14.25" thickTop="1" thickBot="1">
      <c r="A598" s="91"/>
      <c r="B598" s="67" t="s">
        <v>1522</v>
      </c>
      <c r="C598" s="64" t="s">
        <v>635</v>
      </c>
      <c r="D598" s="61">
        <v>123265</v>
      </c>
      <c r="E598" s="62">
        <v>41254</v>
      </c>
      <c r="F598" s="63"/>
    </row>
    <row r="599" spans="1:6" ht="14.25" thickTop="1" thickBot="1">
      <c r="A599" s="91" t="str">
        <f>C600</f>
        <v>DIACNO RODRIGUES DE SOUZA</v>
      </c>
      <c r="B599" s="68" t="s">
        <v>62</v>
      </c>
      <c r="C599" s="66" t="s">
        <v>1749</v>
      </c>
      <c r="D599" s="65">
        <v>63962</v>
      </c>
      <c r="E599" s="62">
        <v>42353</v>
      </c>
      <c r="F599" s="63"/>
    </row>
    <row r="600" spans="1:6" ht="14.25" thickTop="1" thickBot="1">
      <c r="A600" s="206" t="str">
        <f>C601</f>
        <v>DIEGO ALVES PEDROSO</v>
      </c>
      <c r="B600" s="68" t="s">
        <v>62</v>
      </c>
      <c r="C600" s="66" t="s">
        <v>646</v>
      </c>
      <c r="D600" s="65">
        <v>101850</v>
      </c>
      <c r="E600" s="62">
        <v>40892</v>
      </c>
      <c r="F600" s="63"/>
    </row>
    <row r="601" spans="1:6" ht="14.25" thickTop="1" thickBot="1">
      <c r="A601" s="206" t="str">
        <f>C603</f>
        <v>DIEGO DE MORAIS</v>
      </c>
      <c r="B601" s="68" t="s">
        <v>2347</v>
      </c>
      <c r="C601" s="64" t="s">
        <v>345</v>
      </c>
      <c r="D601" s="65">
        <v>2476</v>
      </c>
      <c r="E601" s="62">
        <v>43346</v>
      </c>
      <c r="F601" s="63"/>
    </row>
    <row r="602" spans="1:6" ht="14.25" thickTop="1" thickBot="1">
      <c r="A602" s="206" t="str">
        <f t="shared" ref="A602:A607" si="28">C603</f>
        <v>DIEGO DE MORAIS</v>
      </c>
      <c r="B602" s="68" t="s">
        <v>15</v>
      </c>
      <c r="C602" s="77" t="s">
        <v>3171</v>
      </c>
      <c r="D602" s="61">
        <v>127474</v>
      </c>
      <c r="E602" s="70">
        <v>42900</v>
      </c>
      <c r="F602" s="63"/>
    </row>
    <row r="603" spans="1:6" ht="14.25" thickTop="1" thickBot="1">
      <c r="A603" s="272" t="str">
        <f t="shared" si="28"/>
        <v>DIEGO DOS SANTOS</v>
      </c>
      <c r="B603" s="68" t="s">
        <v>62</v>
      </c>
      <c r="C603" s="66" t="s">
        <v>1442</v>
      </c>
      <c r="D603" s="61">
        <v>102647</v>
      </c>
      <c r="E603" s="62">
        <v>42702</v>
      </c>
      <c r="F603" s="285"/>
    </row>
    <row r="604" spans="1:6" ht="14.25" thickTop="1" thickBot="1">
      <c r="A604" s="267" t="str">
        <f t="shared" si="28"/>
        <v>DIEGO DOS SANTOS              (Madruga)</v>
      </c>
      <c r="B604" s="68" t="s">
        <v>62</v>
      </c>
      <c r="C604" s="66" t="s">
        <v>1713</v>
      </c>
      <c r="D604" s="65">
        <v>27022</v>
      </c>
      <c r="E604" s="62">
        <v>41885</v>
      </c>
      <c r="F604" s="286"/>
    </row>
    <row r="605" spans="1:6" ht="14.25" thickTop="1" thickBot="1">
      <c r="A605" s="267" t="str">
        <f t="shared" si="28"/>
        <v>DIEGO EZEQUIEL DOS SANTOS</v>
      </c>
      <c r="B605" s="68" t="s">
        <v>62</v>
      </c>
      <c r="C605" s="77" t="s">
        <v>3172</v>
      </c>
      <c r="D605" s="61">
        <v>127388</v>
      </c>
      <c r="E605" s="70">
        <v>42319</v>
      </c>
      <c r="F605" s="284"/>
    </row>
    <row r="606" spans="1:6" ht="14.25" thickTop="1" thickBot="1">
      <c r="A606" s="267" t="str">
        <f t="shared" si="28"/>
        <v>DIEGO FAGUNDES</v>
      </c>
      <c r="B606" s="61" t="s">
        <v>2413</v>
      </c>
      <c r="C606" s="66" t="s">
        <v>863</v>
      </c>
      <c r="D606" s="61">
        <v>126785</v>
      </c>
      <c r="E606" s="62">
        <v>43530</v>
      </c>
      <c r="F606" s="284"/>
    </row>
    <row r="607" spans="1:6" ht="14.25" thickTop="1" thickBot="1">
      <c r="A607" s="267" t="str">
        <f t="shared" si="28"/>
        <v>DIEGO FELIPE DE ANDRADE</v>
      </c>
      <c r="B607" s="67" t="s">
        <v>2061</v>
      </c>
      <c r="C607" s="77" t="s">
        <v>1689</v>
      </c>
      <c r="D607" s="61">
        <v>111059</v>
      </c>
      <c r="E607" s="62">
        <v>41271</v>
      </c>
      <c r="F607" s="285"/>
    </row>
    <row r="608" spans="1:6" ht="14.25" thickTop="1" thickBot="1">
      <c r="A608" s="267"/>
      <c r="B608" s="68" t="s">
        <v>1812</v>
      </c>
      <c r="C608" s="66" t="s">
        <v>3559</v>
      </c>
      <c r="D608" s="172">
        <v>103194</v>
      </c>
      <c r="E608" s="70">
        <v>44083</v>
      </c>
      <c r="F608" s="285"/>
    </row>
    <row r="609" spans="1:6" ht="14.25" thickTop="1" thickBot="1">
      <c r="A609" s="267" t="str">
        <f>C610</f>
        <v>DIEGO FERREIRA PEDROSO</v>
      </c>
      <c r="B609" s="68" t="s">
        <v>1812</v>
      </c>
      <c r="C609" s="66" t="s">
        <v>1833</v>
      </c>
      <c r="D609" s="65">
        <v>115873</v>
      </c>
      <c r="E609" s="62">
        <v>42131</v>
      </c>
      <c r="F609" s="285"/>
    </row>
    <row r="610" spans="1:6" ht="14.25" thickTop="1" thickBot="1">
      <c r="A610" s="267" t="str">
        <f>C611</f>
        <v>DIEGO GILBERTO FERREIRA</v>
      </c>
      <c r="B610" s="163" t="s">
        <v>62</v>
      </c>
      <c r="C610" s="64" t="s">
        <v>1771</v>
      </c>
      <c r="D610" s="61">
        <v>2716</v>
      </c>
      <c r="E610" s="204">
        <v>43360</v>
      </c>
      <c r="F610" s="284"/>
    </row>
    <row r="611" spans="1:6" ht="14.25" thickTop="1" thickBot="1">
      <c r="A611" s="267" t="str">
        <f>C612</f>
        <v>DIEGO GILBERTO FERREIRA</v>
      </c>
      <c r="B611" s="68" t="s">
        <v>1306</v>
      </c>
      <c r="C611" s="77" t="s">
        <v>1025</v>
      </c>
      <c r="D611" s="61">
        <v>27162</v>
      </c>
      <c r="E611" s="70">
        <v>42271</v>
      </c>
      <c r="F611" s="284"/>
    </row>
    <row r="612" spans="1:6" ht="14.25" thickTop="1" thickBot="1">
      <c r="A612" s="267" t="str">
        <f>C613</f>
        <v>DIEGO HENRIQUE ALVES</v>
      </c>
      <c r="B612" s="68" t="s">
        <v>2347</v>
      </c>
      <c r="C612" s="66" t="s">
        <v>1025</v>
      </c>
      <c r="D612" s="65">
        <v>63524</v>
      </c>
      <c r="E612" s="62">
        <v>43346</v>
      </c>
      <c r="F612" s="285"/>
    </row>
    <row r="613" spans="1:6" ht="14.25" thickTop="1" thickBot="1">
      <c r="A613" s="267" t="s">
        <v>2519</v>
      </c>
      <c r="B613" s="68" t="s">
        <v>1264</v>
      </c>
      <c r="C613" s="60" t="s">
        <v>2519</v>
      </c>
      <c r="D613" s="61">
        <v>126156</v>
      </c>
      <c r="E613" s="62">
        <v>43728</v>
      </c>
      <c r="F613" s="285"/>
    </row>
    <row r="614" spans="1:6" ht="14.25" thickTop="1" thickBot="1">
      <c r="A614" s="267"/>
      <c r="B614" s="68" t="s">
        <v>2406</v>
      </c>
      <c r="C614" s="64" t="s">
        <v>2383</v>
      </c>
      <c r="D614" s="61"/>
      <c r="E614" s="62">
        <v>43867</v>
      </c>
      <c r="F614" s="285"/>
    </row>
    <row r="615" spans="1:6" ht="14.25" thickTop="1" thickBot="1">
      <c r="A615" s="375" t="str">
        <f>C616</f>
        <v>DIEGO MARCELO MATHEUS DA LUZ</v>
      </c>
      <c r="B615" s="68"/>
      <c r="C615" s="586" t="s">
        <v>2265</v>
      </c>
      <c r="D615" s="117">
        <v>89824</v>
      </c>
      <c r="E615" s="62">
        <v>39601</v>
      </c>
      <c r="F615" s="285"/>
    </row>
    <row r="616" spans="1:6" ht="14.25" thickTop="1" thickBot="1">
      <c r="A616" s="267" t="str">
        <f>C617</f>
        <v>DIEGO MARINS CARVALHO</v>
      </c>
      <c r="B616" s="68" t="s">
        <v>62</v>
      </c>
      <c r="C616" s="66" t="s">
        <v>367</v>
      </c>
      <c r="D616" s="61">
        <v>63250</v>
      </c>
      <c r="E616" s="62">
        <v>41388</v>
      </c>
      <c r="F616" s="285"/>
    </row>
    <row r="617" spans="1:6" ht="14.25" thickTop="1" thickBot="1">
      <c r="A617" s="267" t="str">
        <f>C618</f>
        <v>DIEGO MARTINS PEREIRA</v>
      </c>
      <c r="B617" s="68" t="s">
        <v>62</v>
      </c>
      <c r="C617" s="66" t="s">
        <v>451</v>
      </c>
      <c r="D617" s="61">
        <v>27120</v>
      </c>
      <c r="E617" s="62">
        <v>43319</v>
      </c>
      <c r="F617" s="285"/>
    </row>
    <row r="618" spans="1:6" ht="14.25" thickTop="1" thickBot="1">
      <c r="A618" s="305" t="s">
        <v>2480</v>
      </c>
      <c r="B618" s="61"/>
      <c r="C618" s="78" t="s">
        <v>2495</v>
      </c>
      <c r="D618" s="82"/>
      <c r="E618" s="70"/>
      <c r="F618" s="284"/>
    </row>
    <row r="619" spans="1:6" ht="14.25" thickTop="1" thickBot="1">
      <c r="A619" s="267" t="str">
        <f>C620</f>
        <v>DIEGO PINHEIRO VICENTE            (Paulista)</v>
      </c>
      <c r="B619" s="68" t="s">
        <v>62</v>
      </c>
      <c r="C619" s="66" t="s">
        <v>2177</v>
      </c>
      <c r="D619" s="61">
        <v>128543</v>
      </c>
      <c r="E619" s="62">
        <v>40210</v>
      </c>
      <c r="F619" s="285"/>
    </row>
    <row r="620" spans="1:6" ht="14.25" thickTop="1" thickBot="1">
      <c r="A620" s="267" t="str">
        <f>C621</f>
        <v xml:space="preserve">DIEGO RAFAEL BICIGO </v>
      </c>
      <c r="B620" s="68" t="s">
        <v>62</v>
      </c>
      <c r="C620" s="66" t="s">
        <v>3173</v>
      </c>
      <c r="D620" s="67"/>
      <c r="E620" s="70">
        <v>42166</v>
      </c>
      <c r="F620" s="284"/>
    </row>
    <row r="621" spans="1:6" ht="14.25" thickTop="1" thickBot="1">
      <c r="A621" s="267" t="str">
        <f>C622</f>
        <v>DIEGO RIBEIRO GARCIA</v>
      </c>
      <c r="B621" s="68" t="s">
        <v>846</v>
      </c>
      <c r="C621" s="66" t="s">
        <v>1350</v>
      </c>
      <c r="D621" s="67"/>
      <c r="E621" s="62">
        <v>40599</v>
      </c>
      <c r="F621" s="285"/>
    </row>
    <row r="622" spans="1:6" ht="14.25" thickTop="1" thickBot="1">
      <c r="A622" s="267" t="str">
        <f>C623</f>
        <v>DIEGO RODRIGO QUENTIN BLAGESKI         (Touro)</v>
      </c>
      <c r="B622" s="68" t="s">
        <v>62</v>
      </c>
      <c r="C622" s="66" t="s">
        <v>242</v>
      </c>
      <c r="D622" s="61">
        <v>63645</v>
      </c>
      <c r="E622" s="62"/>
      <c r="F622" s="285"/>
    </row>
    <row r="623" spans="1:6" ht="14.25" thickTop="1" thickBot="1">
      <c r="A623" s="267" t="str">
        <f>C624</f>
        <v>DIEGO RODRIGUES DOS SANTOS</v>
      </c>
      <c r="B623" s="68" t="s">
        <v>62</v>
      </c>
      <c r="C623" s="66" t="s">
        <v>3174</v>
      </c>
      <c r="D623" s="61">
        <v>83619</v>
      </c>
      <c r="E623" s="62">
        <v>40324</v>
      </c>
      <c r="F623" s="285"/>
    </row>
    <row r="624" spans="1:6" ht="14.25" thickTop="1" thickBot="1">
      <c r="A624" s="267" t="s">
        <v>2358</v>
      </c>
      <c r="B624" s="68" t="s">
        <v>126</v>
      </c>
      <c r="C624" s="66" t="s">
        <v>942</v>
      </c>
      <c r="D624" s="61">
        <v>63883</v>
      </c>
      <c r="E624" s="62">
        <v>43398</v>
      </c>
      <c r="F624" s="285"/>
    </row>
    <row r="625" spans="1:6" ht="14.25" thickTop="1" thickBot="1">
      <c r="A625" s="267" t="str">
        <f>C626</f>
        <v>DIEGO WILLIAN BARBOSA</v>
      </c>
      <c r="B625" s="68" t="s">
        <v>62</v>
      </c>
      <c r="C625" s="60" t="s">
        <v>2358</v>
      </c>
      <c r="D625" s="61">
        <v>100164</v>
      </c>
      <c r="E625" s="62">
        <v>40283</v>
      </c>
      <c r="F625" s="285"/>
    </row>
    <row r="626" spans="1:6" ht="14.25" thickTop="1" thickBot="1">
      <c r="A626" s="267" t="str">
        <f>C627</f>
        <v>DIEMERSON JOELSON PEDROZO DE OLIVEIRA</v>
      </c>
      <c r="B626" s="68" t="s">
        <v>2347</v>
      </c>
      <c r="C626" s="80" t="s">
        <v>112</v>
      </c>
      <c r="D626" s="65">
        <v>63825</v>
      </c>
      <c r="E626" s="62">
        <v>43346</v>
      </c>
      <c r="F626" s="285"/>
    </row>
    <row r="627" spans="1:6" ht="14.25" thickTop="1" thickBot="1">
      <c r="A627" s="267" t="str">
        <f>C629</f>
        <v>DIMAS FELIX</v>
      </c>
      <c r="B627" s="61" t="s">
        <v>2413</v>
      </c>
      <c r="C627" s="66" t="s">
        <v>2190</v>
      </c>
      <c r="D627" s="61">
        <v>183429</v>
      </c>
      <c r="E627" s="62">
        <v>43531</v>
      </c>
      <c r="F627" s="284"/>
    </row>
    <row r="628" spans="1:6" ht="14.25" thickTop="1" thickBot="1">
      <c r="A628" s="267" t="s">
        <v>1890</v>
      </c>
      <c r="B628" s="68" t="s">
        <v>2406</v>
      </c>
      <c r="C628" s="192" t="s">
        <v>2766</v>
      </c>
      <c r="D628" s="61">
        <v>131848</v>
      </c>
      <c r="E628" s="70">
        <v>44005</v>
      </c>
      <c r="F628" s="284"/>
    </row>
    <row r="629" spans="1:6" ht="14.25" thickTop="1" thickBot="1">
      <c r="A629" s="267" t="str">
        <f t="shared" ref="A629:A635" si="29">C630</f>
        <v>DIMI ROGER FERREIRA</v>
      </c>
      <c r="B629" s="68" t="s">
        <v>62</v>
      </c>
      <c r="C629" s="60" t="s">
        <v>1748</v>
      </c>
      <c r="D629" s="61">
        <v>118030</v>
      </c>
      <c r="E629" s="62"/>
      <c r="F629" s="285"/>
    </row>
    <row r="630" spans="1:6" ht="14.25" thickTop="1" thickBot="1">
      <c r="A630" s="267" t="str">
        <f t="shared" si="29"/>
        <v>DIMICLEY DA SIVA</v>
      </c>
      <c r="B630" s="68" t="s">
        <v>62</v>
      </c>
      <c r="C630" s="66" t="s">
        <v>113</v>
      </c>
      <c r="D630" s="61">
        <v>63897</v>
      </c>
      <c r="E630" s="62">
        <v>41036</v>
      </c>
      <c r="F630" s="285"/>
    </row>
    <row r="631" spans="1:6" ht="14.25" thickTop="1" thickBot="1">
      <c r="A631" s="267" t="str">
        <f t="shared" si="29"/>
        <v>DINAELSON DA SILVA ROCHA</v>
      </c>
      <c r="B631" s="68" t="s">
        <v>62</v>
      </c>
      <c r="C631" s="66" t="s">
        <v>194</v>
      </c>
      <c r="D631" s="310" t="s">
        <v>3360</v>
      </c>
      <c r="E631" s="62">
        <v>41851</v>
      </c>
      <c r="F631" s="285"/>
    </row>
    <row r="632" spans="1:6" ht="14.25" thickTop="1" thickBot="1">
      <c r="A632" s="267" t="str">
        <f t="shared" si="29"/>
        <v xml:space="preserve">DINAENES CARNEIRO DA SILVA </v>
      </c>
      <c r="B632" s="68" t="s">
        <v>62</v>
      </c>
      <c r="C632" s="66" t="s">
        <v>1254</v>
      </c>
      <c r="D632" s="67"/>
      <c r="E632" s="62">
        <v>40576</v>
      </c>
      <c r="F632" s="285"/>
    </row>
    <row r="633" spans="1:6" ht="14.25" thickTop="1" thickBot="1">
      <c r="A633" s="267" t="str">
        <f t="shared" si="29"/>
        <v>DINO CESAR DA SILVA</v>
      </c>
      <c r="B633" s="68" t="s">
        <v>62</v>
      </c>
      <c r="C633" s="64" t="s">
        <v>943</v>
      </c>
      <c r="D633" s="65">
        <v>63449</v>
      </c>
      <c r="E633" s="62">
        <v>40130</v>
      </c>
      <c r="F633" s="285"/>
    </row>
    <row r="634" spans="1:6" ht="14.25" thickTop="1" thickBot="1">
      <c r="A634" s="267" t="str">
        <f t="shared" si="29"/>
        <v>DINOEL MOREIRA POLI</v>
      </c>
      <c r="B634" s="68" t="s">
        <v>62</v>
      </c>
      <c r="C634" s="66" t="s">
        <v>519</v>
      </c>
      <c r="D634" s="65">
        <v>27194</v>
      </c>
      <c r="E634" s="62">
        <v>41712</v>
      </c>
      <c r="F634" s="285"/>
    </row>
    <row r="635" spans="1:6" ht="14.25" thickTop="1" thickBot="1">
      <c r="A635" s="267" t="str">
        <f t="shared" si="29"/>
        <v>DINORI GONÇALVES DE LARA</v>
      </c>
      <c r="B635" s="68" t="s">
        <v>62</v>
      </c>
      <c r="C635" s="66" t="s">
        <v>829</v>
      </c>
      <c r="D635" s="67"/>
      <c r="E635" s="62">
        <v>41726</v>
      </c>
      <c r="F635" s="285"/>
    </row>
    <row r="636" spans="1:6" ht="14.25" thickTop="1" thickBot="1">
      <c r="A636" s="267"/>
      <c r="B636" s="68" t="s">
        <v>1812</v>
      </c>
      <c r="C636" s="66" t="s">
        <v>945</v>
      </c>
      <c r="D636" s="311" t="s">
        <v>3361</v>
      </c>
      <c r="E636" s="62">
        <v>43628</v>
      </c>
      <c r="F636" s="287"/>
    </row>
    <row r="637" spans="1:6" ht="14.25" thickTop="1" thickBot="1">
      <c r="A637" s="267" t="str">
        <f>C638</f>
        <v>DIOGENES RAFAEL DE FARIA             (Formiga)</v>
      </c>
      <c r="B637" s="68" t="s">
        <v>62</v>
      </c>
      <c r="C637" s="66" t="s">
        <v>945</v>
      </c>
      <c r="D637" s="61">
        <v>63644</v>
      </c>
      <c r="E637" s="62">
        <v>42914</v>
      </c>
      <c r="F637" s="285"/>
    </row>
    <row r="638" spans="1:6" ht="14.25" thickTop="1" thickBot="1">
      <c r="A638" s="267" t="str">
        <f>C639</f>
        <v>DIOGO JACKSON GOMES DA SILVA</v>
      </c>
      <c r="B638" s="68" t="s">
        <v>62</v>
      </c>
      <c r="C638" s="66" t="s">
        <v>3175</v>
      </c>
      <c r="D638" s="61">
        <v>19469</v>
      </c>
      <c r="E638" s="70">
        <v>42319</v>
      </c>
      <c r="F638" s="284"/>
    </row>
    <row r="639" spans="1:6" ht="14.25" thickTop="1" thickBot="1">
      <c r="A639" s="267"/>
      <c r="B639" s="68" t="s">
        <v>1306</v>
      </c>
      <c r="C639" s="60" t="s">
        <v>2218</v>
      </c>
      <c r="D639" s="61">
        <v>120493</v>
      </c>
      <c r="E639" s="62">
        <v>43691</v>
      </c>
      <c r="F639" s="285"/>
    </row>
    <row r="640" spans="1:6" ht="14.25" thickTop="1" thickBot="1">
      <c r="A640" s="267"/>
      <c r="B640" s="68" t="s">
        <v>2413</v>
      </c>
      <c r="C640" s="77" t="s">
        <v>1796</v>
      </c>
      <c r="D640" s="61">
        <v>19469</v>
      </c>
      <c r="E640" s="62">
        <v>44062</v>
      </c>
      <c r="F640" s="285"/>
    </row>
    <row r="641" spans="1:6" ht="14.25" thickTop="1" thickBot="1">
      <c r="A641" s="267" t="str">
        <f t="shared" ref="A641:A646" si="30">C642</f>
        <v>DIOMEDES ANTUNES               (Diou)</v>
      </c>
      <c r="B641" s="68" t="s">
        <v>516</v>
      </c>
      <c r="C641" s="66" t="s">
        <v>1796</v>
      </c>
      <c r="D641" s="61">
        <v>27115</v>
      </c>
      <c r="E641" s="70">
        <v>42909</v>
      </c>
      <c r="F641" s="284"/>
    </row>
    <row r="642" spans="1:6" ht="14.25" thickTop="1" thickBot="1">
      <c r="A642" s="267" t="str">
        <f t="shared" si="30"/>
        <v>DION LENON SÁ BRITO</v>
      </c>
      <c r="B642" s="68" t="s">
        <v>62</v>
      </c>
      <c r="C642" s="66" t="s">
        <v>3176</v>
      </c>
      <c r="D642" s="65">
        <v>84519</v>
      </c>
      <c r="E642" s="62">
        <v>40140</v>
      </c>
      <c r="F642" s="285"/>
    </row>
    <row r="643" spans="1:6" ht="14.25" thickTop="1" thickBot="1">
      <c r="A643" s="267" t="str">
        <f t="shared" si="30"/>
        <v>DIONATAN BRANDT DE ATAIDE</v>
      </c>
      <c r="B643" s="68" t="s">
        <v>1306</v>
      </c>
      <c r="C643" s="66" t="s">
        <v>404</v>
      </c>
      <c r="D643" s="61">
        <v>27169</v>
      </c>
      <c r="E643" s="62">
        <v>41996</v>
      </c>
      <c r="F643" s="285"/>
    </row>
    <row r="644" spans="1:6" ht="14.25" thickTop="1" thickBot="1">
      <c r="A644" s="267" t="str">
        <f t="shared" si="30"/>
        <v>DIONE ROSINEI DA SILVA MOREIRA</v>
      </c>
      <c r="B644" s="68" t="s">
        <v>62</v>
      </c>
      <c r="C644" s="66" t="s">
        <v>1007</v>
      </c>
      <c r="D644" s="61">
        <v>102474</v>
      </c>
      <c r="E644" s="62"/>
      <c r="F644" s="285"/>
    </row>
    <row r="645" spans="1:6" ht="14.25" thickTop="1" thickBot="1">
      <c r="A645" s="267" t="str">
        <f t="shared" si="30"/>
        <v>DIONEI RICARDO YANSEN</v>
      </c>
      <c r="B645" s="68" t="s">
        <v>62</v>
      </c>
      <c r="C645" s="66" t="s">
        <v>1817</v>
      </c>
      <c r="D645" s="65">
        <v>8908</v>
      </c>
      <c r="E645" s="62">
        <v>40499</v>
      </c>
      <c r="F645" s="285"/>
    </row>
    <row r="646" spans="1:6" ht="14.25" thickTop="1" thickBot="1">
      <c r="A646" s="267" t="str">
        <f t="shared" si="30"/>
        <v>DIONES RODRIGUES DE QUADROS MIRANDA</v>
      </c>
      <c r="B646" s="68" t="s">
        <v>62</v>
      </c>
      <c r="C646" s="66" t="s">
        <v>946</v>
      </c>
      <c r="D646" s="65">
        <v>101753</v>
      </c>
      <c r="E646" s="62"/>
      <c r="F646" s="285"/>
    </row>
    <row r="647" spans="1:6" ht="14.25" thickTop="1" thickBot="1">
      <c r="A647" s="267"/>
      <c r="B647" s="68" t="s">
        <v>2406</v>
      </c>
      <c r="C647" s="194" t="s">
        <v>2679</v>
      </c>
      <c r="D647" s="61">
        <v>107920</v>
      </c>
      <c r="E647" s="62">
        <v>43906</v>
      </c>
      <c r="F647" s="285"/>
    </row>
    <row r="648" spans="1:6" ht="14.25" thickTop="1" thickBot="1">
      <c r="A648" s="267" t="str">
        <f>C649</f>
        <v>DIRCEU BARBOSA</v>
      </c>
      <c r="B648" s="68" t="s">
        <v>62</v>
      </c>
      <c r="C648" s="66" t="s">
        <v>449</v>
      </c>
      <c r="D648" s="67"/>
      <c r="E648" s="62">
        <v>39309</v>
      </c>
      <c r="F648" s="285"/>
    </row>
    <row r="649" spans="1:6" ht="14.25" thickTop="1" thickBot="1">
      <c r="A649" s="267"/>
      <c r="B649" s="68" t="s">
        <v>1306</v>
      </c>
      <c r="C649" s="64" t="s">
        <v>947</v>
      </c>
      <c r="D649" s="65">
        <v>63700</v>
      </c>
      <c r="E649" s="62">
        <v>42158</v>
      </c>
      <c r="F649" s="285"/>
    </row>
    <row r="650" spans="1:6" ht="14.25" thickTop="1" thickBot="1">
      <c r="A650" s="267" t="str">
        <f>C651</f>
        <v>DIRCEU GONÇALVES</v>
      </c>
      <c r="B650" s="68"/>
      <c r="C650" s="66" t="s">
        <v>541</v>
      </c>
      <c r="D650" s="67"/>
      <c r="E650" s="70">
        <v>42282</v>
      </c>
      <c r="F650" s="284"/>
    </row>
    <row r="651" spans="1:6" ht="14.25" thickTop="1" thickBot="1">
      <c r="A651" s="267" t="str">
        <f>C652</f>
        <v>DIRCEU GONÇALVES DA ROSA</v>
      </c>
      <c r="B651" s="68" t="s">
        <v>62</v>
      </c>
      <c r="C651" s="66" t="s">
        <v>66</v>
      </c>
      <c r="D651" s="67"/>
      <c r="E651" s="62">
        <v>39309</v>
      </c>
      <c r="F651" s="285"/>
    </row>
    <row r="652" spans="1:6" ht="14.25" thickTop="1" thickBot="1">
      <c r="A652" s="267" t="str">
        <f>C654</f>
        <v>DIRCEU RIBAS                           (Caveirinha)</v>
      </c>
      <c r="B652" s="68" t="s">
        <v>126</v>
      </c>
      <c r="C652" s="66" t="s">
        <v>1351</v>
      </c>
      <c r="D652" s="65">
        <v>57284</v>
      </c>
      <c r="E652" s="62"/>
      <c r="F652" s="285"/>
    </row>
    <row r="653" spans="1:6" ht="14.25" thickTop="1" thickBot="1">
      <c r="A653" s="267"/>
      <c r="B653" s="68" t="s">
        <v>1812</v>
      </c>
      <c r="C653" s="66" t="s">
        <v>2487</v>
      </c>
      <c r="D653" s="65">
        <v>53969</v>
      </c>
      <c r="E653" s="62">
        <v>44049</v>
      </c>
      <c r="F653" s="285"/>
    </row>
    <row r="654" spans="1:6" ht="14.25" thickTop="1" thickBot="1">
      <c r="A654" s="267" t="str">
        <f>C655</f>
        <v>DIRLEI DOBZINSKI COLMAN            (Tico)</v>
      </c>
      <c r="B654" s="68" t="s">
        <v>62</v>
      </c>
      <c r="C654" s="64" t="s">
        <v>3177</v>
      </c>
      <c r="D654" s="61">
        <v>27108</v>
      </c>
      <c r="E654" s="70">
        <v>42326</v>
      </c>
      <c r="F654" s="284"/>
    </row>
    <row r="655" spans="1:6" ht="14.25" thickTop="1" thickBot="1">
      <c r="A655" s="267" t="s">
        <v>2183</v>
      </c>
      <c r="B655" s="68" t="s">
        <v>2413</v>
      </c>
      <c r="C655" s="64" t="s">
        <v>3178</v>
      </c>
      <c r="D655" s="67"/>
      <c r="E655" s="70">
        <v>43560</v>
      </c>
      <c r="F655" s="284"/>
    </row>
    <row r="656" spans="1:6" ht="14.25" thickTop="1" thickBot="1">
      <c r="A656" s="267" t="str">
        <f>C657</f>
        <v>DIVALDO CASTURINO RODRIGUES</v>
      </c>
      <c r="B656" s="68" t="s">
        <v>62</v>
      </c>
      <c r="C656" s="60" t="s">
        <v>2183</v>
      </c>
      <c r="D656" s="61">
        <v>19933</v>
      </c>
      <c r="E656" s="62">
        <v>42704</v>
      </c>
      <c r="F656" s="285"/>
    </row>
    <row r="657" spans="1:6" ht="14.25" thickTop="1" thickBot="1">
      <c r="A657" s="267" t="str">
        <f>C658</f>
        <v>DIVANSIR MACHADO RIBAS</v>
      </c>
      <c r="B657" s="68" t="s">
        <v>62</v>
      </c>
      <c r="C657" s="66" t="s">
        <v>1352</v>
      </c>
      <c r="D657" s="309" t="s">
        <v>3362</v>
      </c>
      <c r="E657" s="62">
        <v>40182</v>
      </c>
      <c r="F657" s="285"/>
    </row>
    <row r="658" spans="1:6" ht="14.25" thickTop="1" thickBot="1">
      <c r="A658" s="267" t="str">
        <f>C659</f>
        <v>DIVONEI DOS SANTOS             (Bira)</v>
      </c>
      <c r="B658" s="68" t="s">
        <v>62</v>
      </c>
      <c r="C658" s="66" t="s">
        <v>810</v>
      </c>
      <c r="D658" s="61">
        <v>27207</v>
      </c>
      <c r="E658" s="62">
        <v>41323</v>
      </c>
      <c r="F658" s="285"/>
    </row>
    <row r="659" spans="1:6" ht="14.25" thickTop="1" thickBot="1">
      <c r="A659" s="267" t="str">
        <f>C660</f>
        <v>DIVONZIR QUADROS</v>
      </c>
      <c r="B659" s="68" t="s">
        <v>1812</v>
      </c>
      <c r="C659" s="66" t="s">
        <v>3179</v>
      </c>
      <c r="D659" s="65"/>
      <c r="E659" s="62">
        <v>42590</v>
      </c>
      <c r="F659" s="285"/>
    </row>
    <row r="660" spans="1:6" ht="14.25" thickTop="1" thickBot="1">
      <c r="A660" s="267" t="s">
        <v>1696</v>
      </c>
      <c r="B660" s="68" t="s">
        <v>62</v>
      </c>
      <c r="C660" s="64" t="s">
        <v>1388</v>
      </c>
      <c r="D660" s="61">
        <v>50943</v>
      </c>
      <c r="E660" s="62">
        <v>39601</v>
      </c>
      <c r="F660" s="285"/>
    </row>
    <row r="661" spans="1:6" ht="14.25" thickTop="1" thickBot="1">
      <c r="A661" s="269" t="s">
        <v>2598</v>
      </c>
      <c r="B661" s="68" t="s">
        <v>62</v>
      </c>
      <c r="C661" s="66" t="s">
        <v>948</v>
      </c>
      <c r="D661" s="65">
        <v>3219</v>
      </c>
      <c r="E661" s="70"/>
      <c r="F661" s="284"/>
    </row>
    <row r="662" spans="1:6" ht="14.25" thickTop="1" thickBot="1">
      <c r="A662" s="269" t="s">
        <v>2598</v>
      </c>
      <c r="B662" s="68" t="s">
        <v>603</v>
      </c>
      <c r="C662" s="66" t="s">
        <v>2598</v>
      </c>
      <c r="D662" s="67"/>
      <c r="E662" s="70">
        <v>43560</v>
      </c>
      <c r="F662" s="284"/>
    </row>
    <row r="663" spans="1:6" ht="14.25" thickTop="1" thickBot="1">
      <c r="A663" s="267" t="str">
        <f>C664</f>
        <v>DONIZETE APARECIDO DA SILVA    (Mudinho)</v>
      </c>
      <c r="B663" s="68" t="s">
        <v>62</v>
      </c>
      <c r="C663" s="194" t="s">
        <v>2598</v>
      </c>
      <c r="D663" s="61">
        <v>449158</v>
      </c>
      <c r="E663" s="62">
        <v>39476</v>
      </c>
      <c r="F663" s="285"/>
    </row>
    <row r="664" spans="1:6" ht="14.25" thickTop="1" thickBot="1">
      <c r="A664" s="268"/>
      <c r="B664" s="89" t="s">
        <v>2413</v>
      </c>
      <c r="C664" s="66" t="s">
        <v>2918</v>
      </c>
      <c r="D664" s="65">
        <v>24067</v>
      </c>
      <c r="E664" s="70">
        <v>43440</v>
      </c>
      <c r="F664" s="284"/>
    </row>
    <row r="665" spans="1:6" ht="14.25" thickTop="1" thickBot="1">
      <c r="A665" s="267" t="str">
        <f>C666</f>
        <v>DONIZETE CARDOSO</v>
      </c>
      <c r="B665" s="68" t="s">
        <v>62</v>
      </c>
      <c r="C665" s="77" t="s">
        <v>1695</v>
      </c>
      <c r="D665" s="61">
        <v>121662</v>
      </c>
      <c r="E665" s="62">
        <v>40499</v>
      </c>
      <c r="F665" s="285"/>
    </row>
    <row r="666" spans="1:6" ht="14.25" thickTop="1" thickBot="1">
      <c r="A666" s="272"/>
      <c r="B666" s="68" t="s">
        <v>1812</v>
      </c>
      <c r="C666" s="60" t="s">
        <v>2575</v>
      </c>
      <c r="D666" s="61">
        <v>24067</v>
      </c>
      <c r="E666" s="62">
        <v>43960</v>
      </c>
      <c r="F666" s="285"/>
    </row>
    <row r="667" spans="1:6" ht="14.25" thickTop="1" thickBot="1">
      <c r="A667" s="267" t="str">
        <f>C668</f>
        <v>DORACI DE OLIVEIRA JUNIOR</v>
      </c>
      <c r="B667" s="68" t="s">
        <v>62</v>
      </c>
      <c r="C667" s="64" t="s">
        <v>1879</v>
      </c>
      <c r="D667" s="67"/>
      <c r="E667" s="70">
        <v>42506</v>
      </c>
      <c r="F667" s="287"/>
    </row>
    <row r="668" spans="1:6" ht="14.25" thickTop="1" thickBot="1">
      <c r="A668" s="267" t="str">
        <f>C669</f>
        <v>DORIVAL RODRIGUES DA SILVA</v>
      </c>
      <c r="B668" s="68" t="s">
        <v>62</v>
      </c>
      <c r="C668" s="66" t="s">
        <v>1353</v>
      </c>
      <c r="D668" s="67"/>
      <c r="E668" s="62">
        <v>40869</v>
      </c>
      <c r="F668" s="285"/>
    </row>
    <row r="669" spans="1:6" ht="14.25" thickTop="1" thickBot="1">
      <c r="A669" s="267" t="str">
        <f>C670</f>
        <v>DORNELIO DE OLIVEIRA RAMOS</v>
      </c>
      <c r="B669" s="68" t="s">
        <v>62</v>
      </c>
      <c r="C669" s="66" t="s">
        <v>1354</v>
      </c>
      <c r="D669" s="65">
        <v>63795</v>
      </c>
      <c r="E669" s="62">
        <v>42704</v>
      </c>
      <c r="F669" s="285"/>
    </row>
    <row r="670" spans="1:6" ht="14.25" thickTop="1" thickBot="1">
      <c r="A670" s="270" t="s">
        <v>2212</v>
      </c>
      <c r="B670" s="68" t="s">
        <v>2406</v>
      </c>
      <c r="C670" s="66" t="s">
        <v>1094</v>
      </c>
      <c r="D670" s="61">
        <v>28436</v>
      </c>
      <c r="E670" s="62">
        <v>43572</v>
      </c>
      <c r="F670" s="285"/>
    </row>
    <row r="671" spans="1:6" ht="14.25" thickTop="1" thickBot="1">
      <c r="A671" s="267" t="str">
        <f t="shared" ref="A671:A676" si="31">C672</f>
        <v>DOUGLAS CARLOS MOURA CANDIDO</v>
      </c>
      <c r="B671" s="68" t="s">
        <v>126</v>
      </c>
      <c r="C671" s="77" t="s">
        <v>2212</v>
      </c>
      <c r="D671" s="198">
        <v>117697</v>
      </c>
      <c r="E671" s="62">
        <v>41032</v>
      </c>
      <c r="F671" s="285"/>
    </row>
    <row r="672" spans="1:6" ht="14.25" thickTop="1" thickBot="1">
      <c r="A672" s="267" t="str">
        <f t="shared" si="31"/>
        <v>DOUGLAS CARLOS MOURA CANDIDO          (Dodô)</v>
      </c>
      <c r="B672" s="61" t="s">
        <v>351</v>
      </c>
      <c r="C672" s="66" t="s">
        <v>1846</v>
      </c>
      <c r="D672" s="65">
        <v>93091</v>
      </c>
      <c r="E672" s="62">
        <v>43587</v>
      </c>
      <c r="F672" s="285"/>
    </row>
    <row r="673" spans="1:256" ht="14.25" thickTop="1" thickBot="1">
      <c r="A673" s="267" t="str">
        <f t="shared" si="31"/>
        <v>DOUGLAS DA SILVA BUENO                (Douglinhas)</v>
      </c>
      <c r="B673" s="68" t="s">
        <v>62</v>
      </c>
      <c r="C673" s="60" t="s">
        <v>3180</v>
      </c>
      <c r="D673" s="61">
        <v>28436</v>
      </c>
      <c r="E673" s="62">
        <v>40850</v>
      </c>
      <c r="F673" s="285"/>
    </row>
    <row r="674" spans="1:256" ht="14.25" thickTop="1" thickBot="1">
      <c r="A674" s="267" t="str">
        <f t="shared" si="31"/>
        <v>DOUGLAS DE MELO</v>
      </c>
      <c r="B674" s="68" t="s">
        <v>1812</v>
      </c>
      <c r="C674" s="64" t="s">
        <v>3181</v>
      </c>
      <c r="D674" s="65"/>
      <c r="E674" s="62">
        <v>42720</v>
      </c>
      <c r="F674" s="285"/>
    </row>
    <row r="675" spans="1:256" ht="14.25" thickTop="1" thickBot="1">
      <c r="A675" s="267" t="str">
        <f t="shared" si="31"/>
        <v>DOUGLAS GRAZIANI NETO               (Dog)</v>
      </c>
      <c r="B675" s="68" t="s">
        <v>846</v>
      </c>
      <c r="C675" s="64" t="s">
        <v>1818</v>
      </c>
      <c r="D675" s="69">
        <v>63561</v>
      </c>
      <c r="E675" s="62">
        <v>42788</v>
      </c>
      <c r="F675" s="285"/>
    </row>
    <row r="676" spans="1:256" ht="14.25" thickTop="1" thickBot="1">
      <c r="A676" s="267" t="str">
        <f t="shared" si="31"/>
        <v>DOUGLAS MADUREIRA DIOGO</v>
      </c>
      <c r="B676" s="68" t="s">
        <v>62</v>
      </c>
      <c r="C676" s="64" t="s">
        <v>3182</v>
      </c>
      <c r="D676" s="65">
        <v>27086</v>
      </c>
      <c r="E676" s="62">
        <v>40795</v>
      </c>
      <c r="F676" s="285"/>
    </row>
    <row r="677" spans="1:256" ht="14.25" thickTop="1" thickBot="1">
      <c r="A677" s="267" t="s">
        <v>1917</v>
      </c>
      <c r="B677" s="68" t="s">
        <v>1812</v>
      </c>
      <c r="C677" s="66" t="s">
        <v>2681</v>
      </c>
      <c r="D677" s="65">
        <v>141677</v>
      </c>
      <c r="E677" s="62">
        <v>44106</v>
      </c>
      <c r="F677" s="285"/>
    </row>
    <row r="678" spans="1:256" ht="14.25" thickTop="1" thickBot="1">
      <c r="A678" s="267" t="str">
        <f>C679</f>
        <v>DOUGLAS NOGARE</v>
      </c>
      <c r="B678" s="68" t="s">
        <v>62</v>
      </c>
      <c r="C678" s="66" t="s">
        <v>1464</v>
      </c>
      <c r="D678" s="65">
        <v>101626</v>
      </c>
      <c r="E678" s="70">
        <v>42373</v>
      </c>
      <c r="F678" s="284"/>
    </row>
    <row r="679" spans="1:256" ht="14.25" thickTop="1" thickBot="1">
      <c r="A679" s="267" t="str">
        <f>C680</f>
        <v>DOUGLAS RIBEIRO</v>
      </c>
      <c r="B679" s="68" t="s">
        <v>2012</v>
      </c>
      <c r="C679" s="66" t="s">
        <v>430</v>
      </c>
      <c r="D679" s="67"/>
      <c r="E679" s="70">
        <v>42760</v>
      </c>
      <c r="F679" s="287"/>
    </row>
    <row r="680" spans="1:256" ht="14.25" thickTop="1" thickBot="1">
      <c r="A680" s="271"/>
      <c r="B680" s="61" t="s">
        <v>1002</v>
      </c>
      <c r="C680" s="60" t="s">
        <v>2816</v>
      </c>
      <c r="D680" s="61"/>
      <c r="E680" s="70">
        <v>43708</v>
      </c>
      <c r="F680" s="284"/>
    </row>
    <row r="681" spans="1:256" ht="14.25" thickTop="1" thickBot="1">
      <c r="A681" s="267" t="str">
        <f>C682</f>
        <v>DUCIVAL DE JESUS ROSA</v>
      </c>
      <c r="B681" s="68" t="s">
        <v>62</v>
      </c>
      <c r="C681" s="66" t="s">
        <v>2013</v>
      </c>
      <c r="D681" s="65">
        <v>27062</v>
      </c>
      <c r="E681" s="180">
        <v>41673</v>
      </c>
      <c r="F681" s="286" t="s">
        <v>2206</v>
      </c>
    </row>
    <row r="682" spans="1:256" ht="14.25" thickTop="1" thickBot="1">
      <c r="A682" s="267" t="str">
        <f>C683</f>
        <v>DYAKSON DE CALES PALMAS</v>
      </c>
      <c r="B682" s="61" t="s">
        <v>62</v>
      </c>
      <c r="C682" s="131" t="s">
        <v>723</v>
      </c>
      <c r="D682" s="597">
        <v>67656</v>
      </c>
      <c r="E682" s="62">
        <v>43383</v>
      </c>
      <c r="F682" s="284"/>
    </row>
    <row r="683" spans="1:256" ht="14.25" thickTop="1" thickBot="1">
      <c r="A683" s="267" t="str">
        <f>C684</f>
        <v>EBERTON BAHLS BUENO                      (Osternack)</v>
      </c>
      <c r="B683" s="183"/>
      <c r="C683" s="130" t="s">
        <v>2374</v>
      </c>
      <c r="D683" s="117">
        <v>120297</v>
      </c>
      <c r="E683" s="62">
        <v>42459</v>
      </c>
      <c r="F683" s="285"/>
    </row>
    <row r="684" spans="1:256" ht="14.25" thickTop="1" thickBot="1">
      <c r="A684" s="267" t="str">
        <f>C686</f>
        <v>EDEGAR FERNANDES</v>
      </c>
      <c r="B684" s="68" t="s">
        <v>62</v>
      </c>
      <c r="C684" s="131" t="s">
        <v>3183</v>
      </c>
      <c r="D684" s="117">
        <v>27053</v>
      </c>
      <c r="E684" s="62">
        <v>41618</v>
      </c>
      <c r="F684" s="285"/>
    </row>
    <row r="685" spans="1:256" ht="14.25" thickTop="1" thickBot="1">
      <c r="A685" s="267" t="str">
        <f t="shared" ref="A685:A691" si="32">C686</f>
        <v>EDEGAR FERNANDES</v>
      </c>
      <c r="B685" s="68" t="s">
        <v>62</v>
      </c>
      <c r="C685" s="66" t="s">
        <v>3184</v>
      </c>
      <c r="D685" s="67"/>
      <c r="E685" s="62">
        <v>42522</v>
      </c>
      <c r="F685" s="285"/>
    </row>
    <row r="686" spans="1:256" ht="14.25" thickTop="1" thickBot="1">
      <c r="A686" s="267" t="str">
        <f t="shared" si="32"/>
        <v>EDEILTON RUTIELE GALVAO POLAK</v>
      </c>
      <c r="B686" s="68" t="s">
        <v>2406</v>
      </c>
      <c r="C686" s="66" t="s">
        <v>984</v>
      </c>
      <c r="D686" s="61">
        <v>63677</v>
      </c>
      <c r="E686" s="115"/>
      <c r="F686" s="288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  <c r="AX686" s="40"/>
      <c r="AY686" s="40"/>
      <c r="AZ686" s="40"/>
      <c r="BA686" s="40"/>
      <c r="BB686" s="40"/>
      <c r="BC686" s="40"/>
      <c r="BD686" s="40"/>
      <c r="BE686" s="40"/>
      <c r="BF686" s="40"/>
      <c r="BG686" s="40"/>
      <c r="BH686" s="40"/>
      <c r="BI686" s="40"/>
      <c r="BJ686" s="40"/>
      <c r="BK686" s="40"/>
      <c r="BL686" s="40"/>
      <c r="BM686" s="40"/>
      <c r="BN686" s="40"/>
      <c r="BO686" s="40"/>
      <c r="BP686" s="40"/>
      <c r="BQ686" s="40"/>
      <c r="BR686" s="40"/>
      <c r="BS686" s="40"/>
      <c r="BT686" s="40"/>
      <c r="BU686" s="40"/>
      <c r="BV686" s="40"/>
      <c r="BW686" s="40"/>
      <c r="BX686" s="40"/>
      <c r="BY686" s="40"/>
      <c r="BZ686" s="40"/>
      <c r="CA686" s="40"/>
      <c r="CB686" s="40"/>
      <c r="CC686" s="40"/>
      <c r="CD686" s="40"/>
      <c r="CE686" s="40"/>
      <c r="CF686" s="40"/>
      <c r="CG686" s="40"/>
      <c r="CH686" s="40"/>
      <c r="CI686" s="40"/>
      <c r="CJ686" s="40"/>
      <c r="CK686" s="40"/>
      <c r="CL686" s="40"/>
      <c r="CM686" s="40"/>
      <c r="CN686" s="40"/>
      <c r="CO686" s="40"/>
      <c r="CP686" s="40"/>
      <c r="CQ686" s="40"/>
      <c r="CR686" s="40"/>
      <c r="CS686" s="40"/>
      <c r="CT686" s="40"/>
      <c r="CU686" s="40"/>
      <c r="CV686" s="40"/>
      <c r="CW686" s="40"/>
      <c r="CX686" s="40"/>
      <c r="CY686" s="40"/>
      <c r="CZ686" s="40"/>
      <c r="DA686" s="40"/>
      <c r="DB686" s="40"/>
      <c r="DC686" s="40"/>
      <c r="DD686" s="40"/>
      <c r="DE686" s="40"/>
      <c r="DF686" s="40"/>
      <c r="DG686" s="40"/>
      <c r="DH686" s="40"/>
      <c r="DI686" s="40"/>
      <c r="DJ686" s="40"/>
      <c r="DK686" s="40"/>
      <c r="DL686" s="40"/>
      <c r="DM686" s="40"/>
      <c r="DN686" s="40"/>
      <c r="DO686" s="40"/>
      <c r="DP686" s="40"/>
      <c r="DQ686" s="40"/>
      <c r="DR686" s="40"/>
      <c r="DS686" s="40"/>
      <c r="DT686" s="40"/>
      <c r="DU686" s="40"/>
      <c r="DV686" s="40"/>
      <c r="DW686" s="40"/>
      <c r="DX686" s="40"/>
      <c r="DY686" s="40"/>
      <c r="DZ686" s="40"/>
      <c r="EA686" s="40"/>
      <c r="EB686" s="40"/>
      <c r="EC686" s="40"/>
      <c r="ED686" s="40"/>
      <c r="EE686" s="40"/>
      <c r="EF686" s="40"/>
      <c r="EG686" s="40"/>
      <c r="EH686" s="40"/>
      <c r="EI686" s="40"/>
      <c r="EJ686" s="40"/>
      <c r="EK686" s="40"/>
      <c r="EL686" s="40"/>
      <c r="EM686" s="40"/>
      <c r="EN686" s="40"/>
      <c r="EO686" s="40"/>
      <c r="EP686" s="40"/>
      <c r="EQ686" s="40"/>
      <c r="ER686" s="40"/>
      <c r="ES686" s="40"/>
      <c r="ET686" s="40"/>
      <c r="EU686" s="40"/>
      <c r="EV686" s="40"/>
      <c r="EW686" s="40"/>
      <c r="EX686" s="40"/>
      <c r="EY686" s="40"/>
      <c r="EZ686" s="40"/>
      <c r="FA686" s="40"/>
      <c r="FB686" s="40"/>
      <c r="FC686" s="40"/>
      <c r="FD686" s="40"/>
      <c r="FE686" s="40"/>
      <c r="FF686" s="40"/>
      <c r="FG686" s="40"/>
      <c r="FH686" s="40"/>
      <c r="FI686" s="40"/>
      <c r="FJ686" s="40"/>
      <c r="FK686" s="40"/>
      <c r="FL686" s="40"/>
      <c r="FM686" s="40"/>
      <c r="FN686" s="40"/>
      <c r="FO686" s="40"/>
      <c r="FP686" s="40"/>
      <c r="FQ686" s="40"/>
      <c r="FR686" s="40"/>
      <c r="FS686" s="40"/>
      <c r="FT686" s="40"/>
      <c r="FU686" s="40"/>
      <c r="FV686" s="40"/>
      <c r="FW686" s="40"/>
      <c r="FX686" s="40"/>
      <c r="FY686" s="40"/>
      <c r="FZ686" s="40"/>
      <c r="GA686" s="40"/>
      <c r="GB686" s="40"/>
      <c r="GC686" s="40"/>
      <c r="GD686" s="40"/>
      <c r="GE686" s="40"/>
      <c r="GF686" s="40"/>
      <c r="GG686" s="40"/>
      <c r="GH686" s="40"/>
      <c r="GI686" s="40"/>
      <c r="GJ686" s="40"/>
      <c r="GK686" s="40"/>
      <c r="GL686" s="40"/>
      <c r="GM686" s="40"/>
      <c r="GN686" s="40"/>
      <c r="GO686" s="40"/>
      <c r="GP686" s="40"/>
      <c r="GQ686" s="40"/>
      <c r="GR686" s="40"/>
      <c r="GS686" s="40"/>
      <c r="GT686" s="40"/>
      <c r="GU686" s="40"/>
      <c r="GV686" s="40"/>
      <c r="GW686" s="40"/>
      <c r="GX686" s="40"/>
      <c r="GY686" s="40"/>
      <c r="GZ686" s="40"/>
      <c r="HA686" s="40"/>
      <c r="HB686" s="40"/>
      <c r="HC686" s="40"/>
      <c r="HD686" s="40"/>
      <c r="HE686" s="40"/>
      <c r="HF686" s="40"/>
      <c r="HG686" s="40"/>
      <c r="HH686" s="40"/>
      <c r="HI686" s="40"/>
      <c r="HJ686" s="40"/>
      <c r="HK686" s="40"/>
      <c r="HL686" s="40"/>
      <c r="HM686" s="40"/>
      <c r="HN686" s="40"/>
      <c r="HO686" s="40"/>
      <c r="HP686" s="40"/>
      <c r="HQ686" s="40"/>
      <c r="HR686" s="40"/>
      <c r="HS686" s="40"/>
      <c r="HT686" s="40"/>
      <c r="HU686" s="40"/>
      <c r="HV686" s="40"/>
      <c r="HW686" s="40"/>
      <c r="HX686" s="40"/>
      <c r="HY686" s="40"/>
      <c r="HZ686" s="40"/>
      <c r="IA686" s="40"/>
      <c r="IB686" s="40"/>
      <c r="IC686" s="40"/>
      <c r="ID686" s="40"/>
      <c r="IE686" s="40"/>
      <c r="IF686" s="40"/>
      <c r="IG686" s="40"/>
      <c r="IH686" s="40"/>
      <c r="II686" s="40"/>
      <c r="IJ686" s="40"/>
      <c r="IK686" s="40"/>
      <c r="IL686" s="40"/>
      <c r="IM686" s="40"/>
      <c r="IN686" s="40"/>
      <c r="IO686" s="40"/>
      <c r="IP686" s="40"/>
      <c r="IQ686" s="40"/>
      <c r="IR686" s="40"/>
      <c r="IS686" s="40"/>
      <c r="IT686" s="40"/>
      <c r="IU686" s="40"/>
      <c r="IV686" s="40"/>
    </row>
    <row r="687" spans="1:256" ht="14.25" thickTop="1" thickBot="1">
      <c r="A687" s="267" t="str">
        <f t="shared" si="32"/>
        <v>EDEMILCO SEBASTIAO DE LIMA</v>
      </c>
      <c r="B687" s="68" t="s">
        <v>62</v>
      </c>
      <c r="C687" s="66" t="s">
        <v>2703</v>
      </c>
      <c r="D687" s="65">
        <v>161744</v>
      </c>
      <c r="E687" s="62">
        <v>40243</v>
      </c>
      <c r="F687" s="285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  <c r="AX687" s="40"/>
      <c r="AY687" s="40"/>
      <c r="AZ687" s="40"/>
      <c r="BA687" s="40"/>
      <c r="BB687" s="40"/>
      <c r="BC687" s="40"/>
      <c r="BD687" s="40"/>
      <c r="BE687" s="40"/>
      <c r="BF687" s="40"/>
      <c r="BG687" s="40"/>
      <c r="BH687" s="40"/>
      <c r="BI687" s="40"/>
      <c r="BJ687" s="40"/>
      <c r="BK687" s="40"/>
      <c r="BL687" s="40"/>
      <c r="BM687" s="40"/>
      <c r="BN687" s="40"/>
      <c r="BO687" s="40"/>
      <c r="BP687" s="40"/>
      <c r="BQ687" s="40"/>
      <c r="BR687" s="40"/>
      <c r="BS687" s="40"/>
      <c r="BT687" s="40"/>
      <c r="BU687" s="40"/>
      <c r="BV687" s="40"/>
      <c r="BW687" s="40"/>
      <c r="BX687" s="40"/>
      <c r="BY687" s="40"/>
      <c r="BZ687" s="40"/>
      <c r="CA687" s="40"/>
      <c r="CB687" s="40"/>
      <c r="CC687" s="40"/>
      <c r="CD687" s="40"/>
      <c r="CE687" s="40"/>
      <c r="CF687" s="40"/>
      <c r="CG687" s="40"/>
      <c r="CH687" s="40"/>
      <c r="CI687" s="40"/>
      <c r="CJ687" s="40"/>
      <c r="CK687" s="40"/>
      <c r="CL687" s="40"/>
      <c r="CM687" s="40"/>
      <c r="CN687" s="40"/>
      <c r="CO687" s="40"/>
      <c r="CP687" s="40"/>
      <c r="CQ687" s="40"/>
      <c r="CR687" s="40"/>
      <c r="CS687" s="40"/>
      <c r="CT687" s="40"/>
      <c r="CU687" s="40"/>
      <c r="CV687" s="40"/>
      <c r="CW687" s="40"/>
      <c r="CX687" s="40"/>
      <c r="CY687" s="40"/>
      <c r="CZ687" s="40"/>
      <c r="DA687" s="40"/>
      <c r="DB687" s="40"/>
      <c r="DC687" s="40"/>
      <c r="DD687" s="40"/>
      <c r="DE687" s="40"/>
      <c r="DF687" s="40"/>
      <c r="DG687" s="40"/>
      <c r="DH687" s="40"/>
      <c r="DI687" s="40"/>
      <c r="DJ687" s="40"/>
      <c r="DK687" s="40"/>
      <c r="DL687" s="40"/>
      <c r="DM687" s="40"/>
      <c r="DN687" s="40"/>
      <c r="DO687" s="40"/>
      <c r="DP687" s="40"/>
      <c r="DQ687" s="40"/>
      <c r="DR687" s="40"/>
      <c r="DS687" s="40"/>
      <c r="DT687" s="40"/>
      <c r="DU687" s="40"/>
      <c r="DV687" s="40"/>
      <c r="DW687" s="40"/>
      <c r="DX687" s="40"/>
      <c r="DY687" s="40"/>
      <c r="DZ687" s="40"/>
      <c r="EA687" s="40"/>
      <c r="EB687" s="40"/>
      <c r="EC687" s="40"/>
      <c r="ED687" s="40"/>
      <c r="EE687" s="40"/>
      <c r="EF687" s="40"/>
      <c r="EG687" s="40"/>
      <c r="EH687" s="40"/>
      <c r="EI687" s="40"/>
      <c r="EJ687" s="40"/>
      <c r="EK687" s="40"/>
      <c r="EL687" s="40"/>
      <c r="EM687" s="40"/>
      <c r="EN687" s="40"/>
      <c r="EO687" s="40"/>
      <c r="EP687" s="40"/>
      <c r="EQ687" s="40"/>
      <c r="ER687" s="40"/>
      <c r="ES687" s="40"/>
      <c r="ET687" s="40"/>
      <c r="EU687" s="40"/>
      <c r="EV687" s="40"/>
      <c r="EW687" s="40"/>
      <c r="EX687" s="40"/>
      <c r="EY687" s="40"/>
      <c r="EZ687" s="40"/>
      <c r="FA687" s="40"/>
      <c r="FB687" s="40"/>
      <c r="FC687" s="40"/>
      <c r="FD687" s="40"/>
      <c r="FE687" s="40"/>
      <c r="FF687" s="40"/>
      <c r="FG687" s="40"/>
      <c r="FH687" s="40"/>
      <c r="FI687" s="40"/>
      <c r="FJ687" s="40"/>
      <c r="FK687" s="40"/>
      <c r="FL687" s="40"/>
      <c r="FM687" s="40"/>
      <c r="FN687" s="40"/>
      <c r="FO687" s="40"/>
      <c r="FP687" s="40"/>
      <c r="FQ687" s="40"/>
      <c r="FR687" s="40"/>
      <c r="FS687" s="40"/>
      <c r="FT687" s="40"/>
      <c r="FU687" s="40"/>
      <c r="FV687" s="40"/>
      <c r="FW687" s="40"/>
      <c r="FX687" s="40"/>
      <c r="FY687" s="40"/>
      <c r="FZ687" s="40"/>
      <c r="GA687" s="40"/>
      <c r="GB687" s="40"/>
      <c r="GC687" s="40"/>
      <c r="GD687" s="40"/>
      <c r="GE687" s="40"/>
      <c r="GF687" s="40"/>
      <c r="GG687" s="40"/>
      <c r="GH687" s="40"/>
      <c r="GI687" s="40"/>
      <c r="GJ687" s="40"/>
      <c r="GK687" s="40"/>
      <c r="GL687" s="40"/>
      <c r="GM687" s="40"/>
      <c r="GN687" s="40"/>
      <c r="GO687" s="40"/>
      <c r="GP687" s="40"/>
      <c r="GQ687" s="40"/>
      <c r="GR687" s="40"/>
      <c r="GS687" s="40"/>
      <c r="GT687" s="40"/>
      <c r="GU687" s="40"/>
      <c r="GV687" s="40"/>
      <c r="GW687" s="40"/>
      <c r="GX687" s="40"/>
      <c r="GY687" s="40"/>
      <c r="GZ687" s="40"/>
      <c r="HA687" s="40"/>
      <c r="HB687" s="40"/>
      <c r="HC687" s="40"/>
      <c r="HD687" s="40"/>
      <c r="HE687" s="40"/>
      <c r="HF687" s="40"/>
      <c r="HG687" s="40"/>
      <c r="HH687" s="40"/>
      <c r="HI687" s="40"/>
      <c r="HJ687" s="40"/>
      <c r="HK687" s="40"/>
      <c r="HL687" s="40"/>
      <c r="HM687" s="40"/>
      <c r="HN687" s="40"/>
      <c r="HO687" s="40"/>
      <c r="HP687" s="40"/>
      <c r="HQ687" s="40"/>
      <c r="HR687" s="40"/>
      <c r="HS687" s="40"/>
      <c r="HT687" s="40"/>
      <c r="HU687" s="40"/>
      <c r="HV687" s="40"/>
      <c r="HW687" s="40"/>
      <c r="HX687" s="40"/>
      <c r="HY687" s="40"/>
      <c r="HZ687" s="40"/>
      <c r="IA687" s="40"/>
      <c r="IB687" s="40"/>
      <c r="IC687" s="40"/>
      <c r="ID687" s="40"/>
      <c r="IE687" s="40"/>
      <c r="IF687" s="40"/>
      <c r="IG687" s="40"/>
      <c r="IH687" s="40"/>
      <c r="II687" s="40"/>
      <c r="IJ687" s="40"/>
      <c r="IK687" s="40"/>
      <c r="IL687" s="40"/>
      <c r="IM687" s="40"/>
      <c r="IN687" s="40"/>
      <c r="IO687" s="40"/>
      <c r="IP687" s="40"/>
      <c r="IQ687" s="40"/>
      <c r="IR687" s="40"/>
      <c r="IS687" s="40"/>
      <c r="IT687" s="40"/>
      <c r="IU687" s="40"/>
      <c r="IV687" s="40"/>
    </row>
    <row r="688" spans="1:256" s="40" customFormat="1" ht="14.25" thickTop="1" thickBot="1">
      <c r="A688" s="267" t="str">
        <f t="shared" si="32"/>
        <v>EDEMILSON LUIZ ALVES PEDROSO</v>
      </c>
      <c r="B688" s="67" t="s">
        <v>1522</v>
      </c>
      <c r="C688" s="66" t="s">
        <v>988</v>
      </c>
      <c r="D688" s="65">
        <v>49558</v>
      </c>
      <c r="E688" s="62">
        <v>42327</v>
      </c>
      <c r="F688" s="285"/>
    </row>
    <row r="689" spans="1:256" s="40" customFormat="1" ht="14.25" thickTop="1" thickBot="1">
      <c r="A689" s="267" t="str">
        <f t="shared" si="32"/>
        <v>EDENILDO ANTENOR DA SILVA                    (Floripa)</v>
      </c>
      <c r="B689" s="68" t="s">
        <v>2347</v>
      </c>
      <c r="C689" s="131" t="s">
        <v>146</v>
      </c>
      <c r="D689" s="117">
        <v>49294</v>
      </c>
      <c r="E689" s="62">
        <v>43346</v>
      </c>
      <c r="F689" s="285"/>
    </row>
    <row r="690" spans="1:256" s="40" customFormat="1" ht="14.25" thickTop="1" thickBot="1">
      <c r="A690" s="267" t="str">
        <f t="shared" si="32"/>
        <v>EDENILSON DE OLIVEIRA                (Bicudo)</v>
      </c>
      <c r="B690" s="68" t="s">
        <v>1522</v>
      </c>
      <c r="C690" s="66" t="s">
        <v>3186</v>
      </c>
      <c r="D690" s="61">
        <v>48951</v>
      </c>
      <c r="E690" s="62">
        <v>41878</v>
      </c>
      <c r="F690" s="285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  <c r="BJ690" s="37"/>
      <c r="BK690" s="37"/>
      <c r="BL690" s="37"/>
      <c r="BM690" s="37"/>
      <c r="BN690" s="37"/>
      <c r="BO690" s="37"/>
      <c r="BP690" s="37"/>
      <c r="BQ690" s="37"/>
      <c r="BR690" s="37"/>
      <c r="BS690" s="37"/>
      <c r="BT690" s="37"/>
      <c r="BU690" s="37"/>
      <c r="BV690" s="37"/>
      <c r="BW690" s="37"/>
      <c r="BX690" s="37"/>
      <c r="BY690" s="37"/>
      <c r="BZ690" s="37"/>
      <c r="CA690" s="37"/>
      <c r="CB690" s="37"/>
      <c r="CC690" s="37"/>
      <c r="CD690" s="37"/>
      <c r="CE690" s="37"/>
      <c r="CF690" s="37"/>
      <c r="CG690" s="37"/>
      <c r="CH690" s="37"/>
      <c r="CI690" s="37"/>
      <c r="CJ690" s="37"/>
      <c r="CK690" s="37"/>
      <c r="CL690" s="37"/>
      <c r="CM690" s="37"/>
      <c r="CN690" s="37"/>
      <c r="CO690" s="37"/>
      <c r="CP690" s="37"/>
      <c r="CQ690" s="37"/>
      <c r="CR690" s="37"/>
      <c r="CS690" s="37"/>
      <c r="CT690" s="37"/>
      <c r="CU690" s="37"/>
      <c r="CV690" s="37"/>
      <c r="CW690" s="37"/>
      <c r="CX690" s="37"/>
      <c r="CY690" s="37"/>
      <c r="CZ690" s="37"/>
      <c r="DA690" s="37"/>
      <c r="DB690" s="37"/>
      <c r="DC690" s="37"/>
      <c r="DD690" s="37"/>
      <c r="DE690" s="37"/>
      <c r="DF690" s="37"/>
      <c r="DG690" s="37"/>
      <c r="DH690" s="37"/>
      <c r="DI690" s="37"/>
      <c r="DJ690" s="37"/>
      <c r="DK690" s="37"/>
      <c r="DL690" s="37"/>
      <c r="DM690" s="37"/>
      <c r="DN690" s="37"/>
      <c r="DO690" s="37"/>
      <c r="DP690" s="37"/>
      <c r="DQ690" s="37"/>
      <c r="DR690" s="37"/>
      <c r="DS690" s="37"/>
      <c r="DT690" s="37"/>
      <c r="DU690" s="37"/>
      <c r="DV690" s="37"/>
      <c r="DW690" s="37"/>
      <c r="DX690" s="37"/>
      <c r="DY690" s="37"/>
      <c r="DZ690" s="37"/>
      <c r="EA690" s="37"/>
      <c r="EB690" s="37"/>
      <c r="EC690" s="37"/>
      <c r="ED690" s="37"/>
      <c r="EE690" s="37"/>
      <c r="EF690" s="37"/>
      <c r="EG690" s="37"/>
      <c r="EH690" s="37"/>
      <c r="EI690" s="37"/>
      <c r="EJ690" s="37"/>
      <c r="EK690" s="37"/>
      <c r="EL690" s="37"/>
      <c r="EM690" s="37"/>
      <c r="EN690" s="37"/>
      <c r="EO690" s="37"/>
      <c r="EP690" s="37"/>
      <c r="EQ690" s="37"/>
      <c r="ER690" s="37"/>
      <c r="ES690" s="37"/>
      <c r="ET690" s="37"/>
      <c r="EU690" s="37"/>
      <c r="EV690" s="37"/>
      <c r="EW690" s="37"/>
      <c r="EX690" s="37"/>
      <c r="EY690" s="37"/>
      <c r="EZ690" s="37"/>
      <c r="FA690" s="37"/>
      <c r="FB690" s="37"/>
      <c r="FC690" s="37"/>
      <c r="FD690" s="37"/>
      <c r="FE690" s="37"/>
      <c r="FF690" s="37"/>
      <c r="FG690" s="37"/>
      <c r="FH690" s="37"/>
      <c r="FI690" s="37"/>
      <c r="FJ690" s="37"/>
      <c r="FK690" s="37"/>
      <c r="FL690" s="37"/>
      <c r="FM690" s="37"/>
      <c r="FN690" s="37"/>
      <c r="FO690" s="37"/>
      <c r="FP690" s="37"/>
      <c r="FQ690" s="37"/>
      <c r="FR690" s="37"/>
      <c r="FS690" s="37"/>
      <c r="FT690" s="37"/>
      <c r="FU690" s="37"/>
      <c r="FV690" s="37"/>
      <c r="FW690" s="37"/>
      <c r="FX690" s="37"/>
      <c r="FY690" s="37"/>
      <c r="FZ690" s="37"/>
      <c r="GA690" s="37"/>
      <c r="GB690" s="37"/>
      <c r="GC690" s="37"/>
      <c r="GD690" s="37"/>
      <c r="GE690" s="37"/>
      <c r="GF690" s="37"/>
      <c r="GG690" s="37"/>
      <c r="GH690" s="37"/>
      <c r="GI690" s="37"/>
      <c r="GJ690" s="37"/>
      <c r="GK690" s="37"/>
      <c r="GL690" s="37"/>
      <c r="GM690" s="37"/>
      <c r="GN690" s="37"/>
      <c r="GO690" s="37"/>
      <c r="GP690" s="37"/>
      <c r="GQ690" s="37"/>
      <c r="GR690" s="37"/>
      <c r="GS690" s="37"/>
      <c r="GT690" s="37"/>
      <c r="GU690" s="37"/>
      <c r="GV690" s="37"/>
      <c r="GW690" s="37"/>
      <c r="GX690" s="37"/>
      <c r="GY690" s="37"/>
      <c r="GZ690" s="37"/>
      <c r="HA690" s="37"/>
      <c r="HB690" s="37"/>
      <c r="HC690" s="37"/>
      <c r="HD690" s="37"/>
      <c r="HE690" s="37"/>
      <c r="HF690" s="37"/>
      <c r="HG690" s="37"/>
      <c r="HH690" s="37"/>
      <c r="HI690" s="37"/>
      <c r="HJ690" s="37"/>
      <c r="HK690" s="37"/>
      <c r="HL690" s="37"/>
      <c r="HM690" s="37"/>
      <c r="HN690" s="37"/>
      <c r="HO690" s="37"/>
      <c r="HP690" s="37"/>
      <c r="HQ690" s="37"/>
      <c r="HR690" s="37"/>
      <c r="HS690" s="37"/>
      <c r="HT690" s="37"/>
      <c r="HU690" s="37"/>
      <c r="HV690" s="37"/>
      <c r="HW690" s="37"/>
      <c r="HX690" s="37"/>
      <c r="HY690" s="37"/>
      <c r="HZ690" s="37"/>
      <c r="IA690" s="37"/>
      <c r="IB690" s="37"/>
      <c r="IC690" s="37"/>
      <c r="ID690" s="37"/>
      <c r="IE690" s="37"/>
      <c r="IF690" s="37"/>
      <c r="IG690" s="37"/>
      <c r="IH690" s="37"/>
      <c r="II690" s="37"/>
      <c r="IJ690" s="37"/>
      <c r="IK690" s="37"/>
      <c r="IL690" s="37"/>
      <c r="IM690" s="37"/>
      <c r="IN690" s="37"/>
      <c r="IO690" s="37"/>
      <c r="IP690" s="37"/>
      <c r="IQ690" s="37"/>
      <c r="IR690" s="37"/>
      <c r="IS690" s="37"/>
      <c r="IT690" s="37"/>
      <c r="IU690" s="37"/>
      <c r="IV690" s="37"/>
    </row>
    <row r="691" spans="1:256" s="40" customFormat="1" ht="14.25" thickTop="1" thickBot="1">
      <c r="A691" s="267" t="str">
        <f t="shared" si="32"/>
        <v>EDENILSON MARTIMS FARIAS</v>
      </c>
      <c r="B691" s="68" t="s">
        <v>25</v>
      </c>
      <c r="C691" s="66" t="s">
        <v>3185</v>
      </c>
      <c r="D691" s="65"/>
      <c r="E691" s="62">
        <v>40866</v>
      </c>
      <c r="F691" s="285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/>
      <c r="BK691" s="37"/>
      <c r="BL691" s="37"/>
      <c r="BM691" s="37"/>
      <c r="BN691" s="37"/>
      <c r="BO691" s="37"/>
      <c r="BP691" s="37"/>
      <c r="BQ691" s="37"/>
      <c r="BR691" s="37"/>
      <c r="BS691" s="37"/>
      <c r="BT691" s="37"/>
      <c r="BU691" s="37"/>
      <c r="BV691" s="37"/>
      <c r="BW691" s="37"/>
      <c r="BX691" s="37"/>
      <c r="BY691" s="37"/>
      <c r="BZ691" s="37"/>
      <c r="CA691" s="37"/>
      <c r="CB691" s="37"/>
      <c r="CC691" s="37"/>
      <c r="CD691" s="37"/>
      <c r="CE691" s="37"/>
      <c r="CF691" s="37"/>
      <c r="CG691" s="37"/>
      <c r="CH691" s="37"/>
      <c r="CI691" s="37"/>
      <c r="CJ691" s="37"/>
      <c r="CK691" s="37"/>
      <c r="CL691" s="37"/>
      <c r="CM691" s="37"/>
      <c r="CN691" s="37"/>
      <c r="CO691" s="37"/>
      <c r="CP691" s="37"/>
      <c r="CQ691" s="37"/>
      <c r="CR691" s="37"/>
      <c r="CS691" s="37"/>
      <c r="CT691" s="37"/>
      <c r="CU691" s="37"/>
      <c r="CV691" s="37"/>
      <c r="CW691" s="37"/>
      <c r="CX691" s="37"/>
      <c r="CY691" s="37"/>
      <c r="CZ691" s="37"/>
      <c r="DA691" s="37"/>
      <c r="DB691" s="37"/>
      <c r="DC691" s="37"/>
      <c r="DD691" s="37"/>
      <c r="DE691" s="37"/>
      <c r="DF691" s="37"/>
      <c r="DG691" s="37"/>
      <c r="DH691" s="37"/>
      <c r="DI691" s="37"/>
      <c r="DJ691" s="37"/>
      <c r="DK691" s="37"/>
      <c r="DL691" s="37"/>
      <c r="DM691" s="37"/>
      <c r="DN691" s="37"/>
      <c r="DO691" s="37"/>
      <c r="DP691" s="37"/>
      <c r="DQ691" s="37"/>
      <c r="DR691" s="37"/>
      <c r="DS691" s="37"/>
      <c r="DT691" s="37"/>
      <c r="DU691" s="37"/>
      <c r="DV691" s="37"/>
      <c r="DW691" s="37"/>
      <c r="DX691" s="37"/>
      <c r="DY691" s="37"/>
      <c r="DZ691" s="37"/>
      <c r="EA691" s="37"/>
      <c r="EB691" s="37"/>
      <c r="EC691" s="37"/>
      <c r="ED691" s="37"/>
      <c r="EE691" s="37"/>
      <c r="EF691" s="37"/>
      <c r="EG691" s="37"/>
      <c r="EH691" s="37"/>
      <c r="EI691" s="37"/>
      <c r="EJ691" s="37"/>
      <c r="EK691" s="37"/>
      <c r="EL691" s="37"/>
      <c r="EM691" s="37"/>
      <c r="EN691" s="37"/>
      <c r="EO691" s="37"/>
      <c r="EP691" s="37"/>
      <c r="EQ691" s="37"/>
      <c r="ER691" s="37"/>
      <c r="ES691" s="37"/>
      <c r="ET691" s="37"/>
      <c r="EU691" s="37"/>
      <c r="EV691" s="37"/>
      <c r="EW691" s="37"/>
      <c r="EX691" s="37"/>
      <c r="EY691" s="37"/>
      <c r="EZ691" s="37"/>
      <c r="FA691" s="37"/>
      <c r="FB691" s="37"/>
      <c r="FC691" s="37"/>
      <c r="FD691" s="37"/>
      <c r="FE691" s="37"/>
      <c r="FF691" s="37"/>
      <c r="FG691" s="37"/>
      <c r="FH691" s="37"/>
      <c r="FI691" s="37"/>
      <c r="FJ691" s="37"/>
      <c r="FK691" s="37"/>
      <c r="FL691" s="37"/>
      <c r="FM691" s="37"/>
      <c r="FN691" s="37"/>
      <c r="FO691" s="37"/>
      <c r="FP691" s="37"/>
      <c r="FQ691" s="37"/>
      <c r="FR691" s="37"/>
      <c r="FS691" s="37"/>
      <c r="FT691" s="37"/>
      <c r="FU691" s="37"/>
      <c r="FV691" s="37"/>
      <c r="FW691" s="37"/>
      <c r="FX691" s="37"/>
      <c r="FY691" s="37"/>
      <c r="FZ691" s="37"/>
      <c r="GA691" s="37"/>
      <c r="GB691" s="37"/>
      <c r="GC691" s="37"/>
      <c r="GD691" s="37"/>
      <c r="GE691" s="37"/>
      <c r="GF691" s="37"/>
      <c r="GG691" s="37"/>
      <c r="GH691" s="37"/>
      <c r="GI691" s="37"/>
      <c r="GJ691" s="37"/>
      <c r="GK691" s="37"/>
      <c r="GL691" s="37"/>
      <c r="GM691" s="37"/>
      <c r="GN691" s="37"/>
      <c r="GO691" s="37"/>
      <c r="GP691" s="37"/>
      <c r="GQ691" s="37"/>
      <c r="GR691" s="37"/>
      <c r="GS691" s="37"/>
      <c r="GT691" s="37"/>
      <c r="GU691" s="37"/>
      <c r="GV691" s="37"/>
      <c r="GW691" s="37"/>
      <c r="GX691" s="37"/>
      <c r="GY691" s="37"/>
      <c r="GZ691" s="37"/>
      <c r="HA691" s="37"/>
      <c r="HB691" s="37"/>
      <c r="HC691" s="37"/>
      <c r="HD691" s="37"/>
      <c r="HE691" s="37"/>
      <c r="HF691" s="37"/>
      <c r="HG691" s="37"/>
      <c r="HH691" s="37"/>
      <c r="HI691" s="37"/>
      <c r="HJ691" s="37"/>
      <c r="HK691" s="37"/>
      <c r="HL691" s="37"/>
      <c r="HM691" s="37"/>
      <c r="HN691" s="37"/>
      <c r="HO691" s="37"/>
      <c r="HP691" s="37"/>
      <c r="HQ691" s="37"/>
      <c r="HR691" s="37"/>
      <c r="HS691" s="37"/>
      <c r="HT691" s="37"/>
      <c r="HU691" s="37"/>
      <c r="HV691" s="37"/>
      <c r="HW691" s="37"/>
      <c r="HX691" s="37"/>
      <c r="HY691" s="37"/>
      <c r="HZ691" s="37"/>
      <c r="IA691" s="37"/>
      <c r="IB691" s="37"/>
      <c r="IC691" s="37"/>
      <c r="ID691" s="37"/>
      <c r="IE691" s="37"/>
      <c r="IF691" s="37"/>
      <c r="IG691" s="37"/>
      <c r="IH691" s="37"/>
      <c r="II691" s="37"/>
      <c r="IJ691" s="37"/>
      <c r="IK691" s="37"/>
      <c r="IL691" s="37"/>
      <c r="IM691" s="37"/>
      <c r="IN691" s="37"/>
      <c r="IO691" s="37"/>
      <c r="IP691" s="37"/>
      <c r="IQ691" s="37"/>
      <c r="IR691" s="37"/>
      <c r="IS691" s="37"/>
      <c r="IT691" s="37"/>
      <c r="IU691" s="37"/>
      <c r="IV691" s="37"/>
    </row>
    <row r="692" spans="1:256" ht="14.25" thickTop="1" thickBot="1">
      <c r="A692" s="267"/>
      <c r="B692" s="68" t="s">
        <v>2406</v>
      </c>
      <c r="C692" s="64" t="s">
        <v>3432</v>
      </c>
      <c r="D692" s="61">
        <v>52425</v>
      </c>
      <c r="E692" s="62">
        <v>43903</v>
      </c>
      <c r="F692" s="289"/>
    </row>
    <row r="693" spans="1:256" ht="14.25" thickTop="1" thickBot="1">
      <c r="A693" s="267" t="str">
        <f>C695</f>
        <v>EDENILSON RIBEIRO             (Cacetinho / Mirandinha)</v>
      </c>
      <c r="B693" s="68" t="s">
        <v>1812</v>
      </c>
      <c r="C693" s="64" t="s">
        <v>1177</v>
      </c>
      <c r="D693" s="61">
        <v>27214</v>
      </c>
      <c r="E693" s="62">
        <v>43343</v>
      </c>
      <c r="F693" s="289"/>
    </row>
    <row r="694" spans="1:256" ht="14.25" thickTop="1" thickBot="1">
      <c r="A694" s="267" t="str">
        <f>C695</f>
        <v>EDENILSON RIBEIRO             (Cacetinho / Mirandinha)</v>
      </c>
      <c r="B694" s="68" t="s">
        <v>62</v>
      </c>
      <c r="C694" s="77" t="s">
        <v>2020</v>
      </c>
      <c r="D694" s="61">
        <v>27214</v>
      </c>
      <c r="E694" s="62">
        <v>41019</v>
      </c>
      <c r="F694" s="285"/>
    </row>
    <row r="695" spans="1:256" ht="14.25" thickTop="1" thickBot="1">
      <c r="A695" s="267" t="str">
        <f>C696</f>
        <v>EDER DE ALMEIDA</v>
      </c>
      <c r="B695" s="67" t="s">
        <v>1522</v>
      </c>
      <c r="C695" s="114" t="s">
        <v>3187</v>
      </c>
      <c r="D695" s="61">
        <v>74712</v>
      </c>
      <c r="E695" s="62">
        <v>40421</v>
      </c>
      <c r="F695" s="285"/>
    </row>
    <row r="696" spans="1:256" ht="14.25" thickTop="1" thickBot="1">
      <c r="A696" s="267" t="s">
        <v>1670</v>
      </c>
      <c r="B696" s="68" t="s">
        <v>2413</v>
      </c>
      <c r="C696" s="66" t="s">
        <v>1023</v>
      </c>
      <c r="D696" s="65">
        <v>8452</v>
      </c>
      <c r="E696" s="62"/>
      <c r="F696" s="285"/>
    </row>
    <row r="697" spans="1:256" ht="14.25" thickTop="1" thickBot="1">
      <c r="A697" s="267" t="str">
        <f>C698</f>
        <v>EDERSON LUIZ CHAGAS</v>
      </c>
      <c r="B697" s="68" t="s">
        <v>62</v>
      </c>
      <c r="C697" s="64" t="s">
        <v>2638</v>
      </c>
      <c r="D697" s="65">
        <v>24071</v>
      </c>
      <c r="E697" s="62">
        <v>42474</v>
      </c>
      <c r="F697" s="285"/>
    </row>
    <row r="698" spans="1:256" ht="14.25" thickTop="1" thickBot="1">
      <c r="A698" s="267" t="str">
        <f>C699</f>
        <v>EDERSON LUIZ DA SILVA</v>
      </c>
      <c r="B698" s="68" t="s">
        <v>62</v>
      </c>
      <c r="C698" s="66" t="s">
        <v>795</v>
      </c>
      <c r="D698" s="69">
        <v>63719</v>
      </c>
      <c r="E698" s="62">
        <v>41625</v>
      </c>
      <c r="F698" s="285"/>
    </row>
    <row r="699" spans="1:256" ht="14.25" thickTop="1" thickBot="1">
      <c r="A699" s="267" t="str">
        <f>C700</f>
        <v>EDERSON LUIZ RUGENSKI</v>
      </c>
      <c r="B699" s="67" t="s">
        <v>1522</v>
      </c>
      <c r="C699" s="66" t="s">
        <v>610</v>
      </c>
      <c r="D699" s="65">
        <v>63375</v>
      </c>
      <c r="E699" s="70">
        <v>42923</v>
      </c>
      <c r="F699" s="287"/>
    </row>
    <row r="700" spans="1:256" ht="14.25" thickTop="1" thickBot="1">
      <c r="A700" s="267" t="str">
        <f>C703</f>
        <v>EDERSON SCOTTY ALVES RODRIGUES</v>
      </c>
      <c r="B700" s="68" t="s">
        <v>62</v>
      </c>
      <c r="C700" s="64" t="s">
        <v>581</v>
      </c>
      <c r="D700" s="61">
        <v>63375</v>
      </c>
      <c r="E700" s="62">
        <v>42641</v>
      </c>
      <c r="F700" s="285"/>
    </row>
    <row r="701" spans="1:256" ht="14.25" thickTop="1" thickBot="1">
      <c r="A701" s="267" t="str">
        <f>C702</f>
        <v>EDERSON NOGUEIRA PEREIRA</v>
      </c>
      <c r="B701" s="68" t="s">
        <v>62</v>
      </c>
      <c r="C701" s="66" t="s">
        <v>3189</v>
      </c>
      <c r="D701" s="61">
        <v>101967</v>
      </c>
      <c r="E701" s="62">
        <v>39321</v>
      </c>
      <c r="F701" s="285"/>
    </row>
    <row r="702" spans="1:256" ht="14.25" thickTop="1" thickBot="1">
      <c r="A702" s="267" t="str">
        <f>C704</f>
        <v>EDEVALDO DA ROSA                                 (Boi / Neguinho)</v>
      </c>
      <c r="B702" s="61" t="s">
        <v>1812</v>
      </c>
      <c r="C702" s="77" t="s">
        <v>1834</v>
      </c>
      <c r="D702" s="61">
        <v>116007</v>
      </c>
      <c r="E702" s="70">
        <v>44076</v>
      </c>
      <c r="F702" s="284"/>
    </row>
    <row r="703" spans="1:256" ht="14.25" thickTop="1" thickBot="1">
      <c r="A703" s="267" t="str">
        <f>C704</f>
        <v>EDEVALDO DA ROSA                                 (Boi / Neguinho)</v>
      </c>
      <c r="B703" s="68" t="s">
        <v>62</v>
      </c>
      <c r="C703" s="66" t="s">
        <v>1712</v>
      </c>
      <c r="D703" s="65">
        <v>63857</v>
      </c>
      <c r="E703" s="70">
        <v>42145</v>
      </c>
      <c r="F703" s="284"/>
    </row>
    <row r="704" spans="1:256" ht="14.25" thickTop="1" thickBot="1">
      <c r="A704" s="267" t="str">
        <f>C705</f>
        <v>EDEVALDO GONÇALVES</v>
      </c>
      <c r="B704" s="68" t="s">
        <v>62</v>
      </c>
      <c r="C704" s="66" t="s">
        <v>3188</v>
      </c>
      <c r="D704" s="61">
        <v>7106</v>
      </c>
      <c r="E704" s="62">
        <v>39402</v>
      </c>
      <c r="F704" s="285"/>
    </row>
    <row r="705" spans="1:6" ht="14.25" thickTop="1" thickBot="1">
      <c r="A705" s="267" t="str">
        <f>C706</f>
        <v>EDGAR DOS SANTOS SUBTIL</v>
      </c>
      <c r="B705" s="68" t="s">
        <v>62</v>
      </c>
      <c r="C705" s="66" t="s">
        <v>1772</v>
      </c>
      <c r="D705" s="67"/>
      <c r="E705" s="62">
        <v>39476</v>
      </c>
      <c r="F705" s="285"/>
    </row>
    <row r="706" spans="1:6" ht="14.25" thickTop="1" thickBot="1">
      <c r="A706" s="267" t="str">
        <f>C707</f>
        <v>EDGAR JORGE MENDES</v>
      </c>
      <c r="B706" s="68" t="s">
        <v>62</v>
      </c>
      <c r="C706" s="66" t="s">
        <v>1355</v>
      </c>
      <c r="D706" s="61">
        <v>100994</v>
      </c>
      <c r="E706" s="62">
        <v>41646</v>
      </c>
      <c r="F706" s="313"/>
    </row>
    <row r="707" spans="1:6" ht="14.25" thickTop="1" thickBot="1">
      <c r="A707" s="267" t="str">
        <f>C708</f>
        <v>EDGAR KIESKI</v>
      </c>
      <c r="B707" s="68" t="s">
        <v>516</v>
      </c>
      <c r="C707" s="66" t="s">
        <v>491</v>
      </c>
      <c r="D707" s="67"/>
      <c r="E707" s="62">
        <v>40676</v>
      </c>
      <c r="F707" s="285"/>
    </row>
    <row r="708" spans="1:6" ht="14.25" thickTop="1" thickBot="1">
      <c r="A708" s="267"/>
      <c r="B708" s="68" t="s">
        <v>1812</v>
      </c>
      <c r="C708" s="66" t="s">
        <v>1356</v>
      </c>
      <c r="D708" s="67"/>
      <c r="E708" s="81">
        <v>43550</v>
      </c>
      <c r="F708" s="285"/>
    </row>
    <row r="709" spans="1:6" ht="14.25" thickTop="1" thickBot="1">
      <c r="A709" s="267" t="str">
        <f>C710</f>
        <v>EDILSON BARONE PIOTTO</v>
      </c>
      <c r="B709" s="68" t="s">
        <v>62</v>
      </c>
      <c r="C709" s="60" t="s">
        <v>2333</v>
      </c>
      <c r="D709" s="203">
        <v>156136</v>
      </c>
      <c r="E709" s="62">
        <v>42341</v>
      </c>
      <c r="F709" s="285"/>
    </row>
    <row r="710" spans="1:6" ht="14.25" thickTop="1" thickBot="1">
      <c r="A710" s="267" t="str">
        <f>C711</f>
        <v>EDILSON DA ROSA                   (Nego)</v>
      </c>
      <c r="B710" s="68" t="s">
        <v>62</v>
      </c>
      <c r="C710" s="66" t="s">
        <v>1366</v>
      </c>
      <c r="D710" s="65">
        <v>75611</v>
      </c>
      <c r="E710" s="62">
        <v>40997</v>
      </c>
      <c r="F710" s="285"/>
    </row>
    <row r="711" spans="1:6" ht="14.25" thickTop="1" thickBot="1">
      <c r="A711" s="267" t="s">
        <v>2396</v>
      </c>
      <c r="B711" s="68" t="s">
        <v>126</v>
      </c>
      <c r="C711" s="66" t="s">
        <v>3190</v>
      </c>
      <c r="D711" s="65">
        <v>63036</v>
      </c>
      <c r="E711" s="70">
        <v>43392</v>
      </c>
      <c r="F711" s="284"/>
    </row>
    <row r="712" spans="1:6" ht="14.25" thickTop="1" thickBot="1">
      <c r="A712" s="267"/>
      <c r="B712" s="68" t="s">
        <v>62</v>
      </c>
      <c r="C712" s="60" t="s">
        <v>3192</v>
      </c>
      <c r="D712" s="61">
        <v>26000</v>
      </c>
      <c r="E712" s="62">
        <v>41417</v>
      </c>
      <c r="F712" s="285"/>
    </row>
    <row r="713" spans="1:6" ht="14.25" thickTop="1" thickBot="1">
      <c r="A713" s="267" t="str">
        <f>C714</f>
        <v>EDILSON LUIS GONÇALVES MARTINS</v>
      </c>
      <c r="B713" s="71" t="s">
        <v>1264</v>
      </c>
      <c r="C713" s="66" t="s">
        <v>3191</v>
      </c>
      <c r="D713" s="69">
        <v>108728</v>
      </c>
      <c r="E713" s="70">
        <v>43329</v>
      </c>
      <c r="F713" s="284"/>
    </row>
    <row r="714" spans="1:6" ht="14.25" thickTop="1" thickBot="1">
      <c r="A714" s="267" t="str">
        <f>C715</f>
        <v>EDILSON LUIS GONÇALVES MARTINS</v>
      </c>
      <c r="B714" s="68" t="s">
        <v>62</v>
      </c>
      <c r="C714" s="169" t="s">
        <v>1586</v>
      </c>
      <c r="D714" s="61">
        <v>108728</v>
      </c>
      <c r="E714" s="62">
        <v>40010</v>
      </c>
      <c r="F714" s="285"/>
    </row>
    <row r="715" spans="1:6" ht="14.25" thickTop="1" thickBot="1">
      <c r="A715" s="267" t="str">
        <f>C716</f>
        <v>EDINALDO CARNEIRO LOPES</v>
      </c>
      <c r="B715" s="68" t="s">
        <v>62</v>
      </c>
      <c r="C715" s="66" t="s">
        <v>1586</v>
      </c>
      <c r="D715" s="61">
        <v>73446</v>
      </c>
      <c r="E715" s="62"/>
      <c r="F715" s="285"/>
    </row>
    <row r="716" spans="1:6" ht="14.25" thickTop="1" thickBot="1">
      <c r="A716" s="267"/>
      <c r="B716" s="68" t="s">
        <v>62</v>
      </c>
      <c r="C716" s="66" t="s">
        <v>298</v>
      </c>
      <c r="D716" s="61"/>
      <c r="E716" s="62">
        <v>41326</v>
      </c>
      <c r="F716" s="285"/>
    </row>
    <row r="717" spans="1:6" ht="14.25" thickTop="1" thickBot="1">
      <c r="A717" s="267" t="str">
        <f>C718</f>
        <v>EDINALDO LUIZ DE OLIVEIRA</v>
      </c>
      <c r="B717" s="61" t="s">
        <v>2413</v>
      </c>
      <c r="C717" s="66" t="s">
        <v>974</v>
      </c>
      <c r="D717" s="65">
        <v>63628</v>
      </c>
      <c r="E717" s="62">
        <v>43532</v>
      </c>
      <c r="F717" s="284"/>
    </row>
    <row r="718" spans="1:6" ht="14.25" thickTop="1" thickBot="1">
      <c r="A718" s="267" t="str">
        <f>C719</f>
        <v>EDINALDO MANOEL DE OLIVEIRA</v>
      </c>
      <c r="B718" s="68" t="s">
        <v>62</v>
      </c>
      <c r="C718" s="77" t="s">
        <v>1745</v>
      </c>
      <c r="D718" s="61">
        <v>44198</v>
      </c>
      <c r="E718" s="62">
        <v>40010</v>
      </c>
      <c r="F718" s="285"/>
    </row>
    <row r="719" spans="1:6" ht="14.25" thickTop="1" thickBot="1">
      <c r="A719" s="267" t="str">
        <f>C720</f>
        <v>EDISON COSTA DONATO JUNIOR</v>
      </c>
      <c r="B719" s="68" t="s">
        <v>62</v>
      </c>
      <c r="C719" s="66" t="s">
        <v>1367</v>
      </c>
      <c r="D719" s="67"/>
      <c r="E719" s="62">
        <v>41934</v>
      </c>
      <c r="F719" s="285"/>
    </row>
    <row r="720" spans="1:6" ht="14.25" thickTop="1" thickBot="1">
      <c r="A720" s="267"/>
      <c r="B720" s="68" t="s">
        <v>1812</v>
      </c>
      <c r="C720" s="66" t="s">
        <v>2471</v>
      </c>
      <c r="D720" s="61">
        <v>161751</v>
      </c>
      <c r="E720" s="62">
        <v>43936</v>
      </c>
      <c r="F720" s="285"/>
    </row>
    <row r="721" spans="1:6" ht="14.25" thickTop="1" thickBot="1">
      <c r="A721" s="267" t="str">
        <f t="shared" ref="A721:A731" si="33">C722</f>
        <v>EDIVALDO DA SILVA</v>
      </c>
      <c r="B721" s="68" t="s">
        <v>62</v>
      </c>
      <c r="C721" s="64" t="s">
        <v>1368</v>
      </c>
      <c r="D721" s="67"/>
      <c r="E721" s="62">
        <v>40095</v>
      </c>
      <c r="F721" s="285"/>
    </row>
    <row r="722" spans="1:6" ht="14.25" thickTop="1" thickBot="1">
      <c r="A722" s="267" t="str">
        <f t="shared" si="33"/>
        <v>EDIVALDO DOS SANTOS                 (Fraco)</v>
      </c>
      <c r="B722" s="68" t="s">
        <v>62</v>
      </c>
      <c r="C722" s="66" t="s">
        <v>1497</v>
      </c>
      <c r="D722" s="65">
        <v>63628</v>
      </c>
      <c r="E722" s="62">
        <v>39253</v>
      </c>
      <c r="F722" s="285"/>
    </row>
    <row r="723" spans="1:6" ht="14.25" thickTop="1" thickBot="1">
      <c r="A723" s="267" t="str">
        <f t="shared" si="33"/>
        <v>EDIVALDO GONÇALVES ARAUJO</v>
      </c>
      <c r="B723" s="68" t="s">
        <v>62</v>
      </c>
      <c r="C723" s="66" t="s">
        <v>3193</v>
      </c>
      <c r="D723" s="67"/>
      <c r="E723" s="62">
        <v>40112</v>
      </c>
      <c r="F723" s="285"/>
    </row>
    <row r="724" spans="1:6" ht="14.25" thickTop="1" thickBot="1">
      <c r="A724" s="267" t="str">
        <f t="shared" si="33"/>
        <v>EDIVALDO SOARES DA SILVA</v>
      </c>
      <c r="B724" s="68" t="s">
        <v>62</v>
      </c>
      <c r="C724" s="66" t="s">
        <v>1369</v>
      </c>
      <c r="D724" s="65">
        <v>63460</v>
      </c>
      <c r="E724" s="62">
        <v>42591</v>
      </c>
      <c r="F724" s="285"/>
    </row>
    <row r="725" spans="1:6" ht="14.25" thickTop="1" thickBot="1">
      <c r="A725" s="267" t="str">
        <f t="shared" si="33"/>
        <v>EDMAR MIRANDA COSTA PASSOS</v>
      </c>
      <c r="B725" s="68" t="s">
        <v>1298</v>
      </c>
      <c r="C725" s="64" t="s">
        <v>949</v>
      </c>
      <c r="D725" s="67"/>
      <c r="E725" s="62">
        <v>40630</v>
      </c>
      <c r="F725" s="285"/>
    </row>
    <row r="726" spans="1:6" ht="14.25" thickTop="1" thickBot="1">
      <c r="A726" s="267" t="str">
        <f t="shared" si="33"/>
        <v>EDMILCO SEBASTIAO DE LIMA</v>
      </c>
      <c r="B726" s="68" t="s">
        <v>62</v>
      </c>
      <c r="C726" s="66" t="s">
        <v>1370</v>
      </c>
      <c r="D726" s="65">
        <v>63677</v>
      </c>
      <c r="E726" s="62">
        <v>39283</v>
      </c>
      <c r="F726" s="285"/>
    </row>
    <row r="727" spans="1:6" ht="14.25" thickTop="1" thickBot="1">
      <c r="A727" s="267" t="str">
        <f t="shared" si="33"/>
        <v>EDMILSON FERNANDES</v>
      </c>
      <c r="B727" s="68" t="s">
        <v>62</v>
      </c>
      <c r="C727" s="66" t="s">
        <v>838</v>
      </c>
      <c r="D727" s="65">
        <v>102394</v>
      </c>
      <c r="E727" s="62">
        <v>39379</v>
      </c>
      <c r="F727" s="285"/>
    </row>
    <row r="728" spans="1:6" ht="14.25" thickTop="1" thickBot="1">
      <c r="A728" s="267" t="str">
        <f t="shared" si="33"/>
        <v>EDMILSON KLOSTER FELISBINO</v>
      </c>
      <c r="B728" s="68" t="s">
        <v>62</v>
      </c>
      <c r="C728" s="64" t="s">
        <v>1880</v>
      </c>
      <c r="D728" s="61">
        <v>63879</v>
      </c>
      <c r="E728" s="62">
        <v>39328</v>
      </c>
      <c r="F728" s="285"/>
    </row>
    <row r="729" spans="1:6" ht="14.25" thickTop="1" thickBot="1">
      <c r="A729" s="267" t="str">
        <f t="shared" si="33"/>
        <v>EDNALDO CARNEIRO DE ARAUJO</v>
      </c>
      <c r="B729" s="68" t="s">
        <v>62</v>
      </c>
      <c r="C729" s="66" t="s">
        <v>887</v>
      </c>
      <c r="D729" s="67"/>
      <c r="E729" s="62">
        <v>40242</v>
      </c>
      <c r="F729" s="285"/>
    </row>
    <row r="730" spans="1:6" ht="14.25" thickTop="1" thickBot="1">
      <c r="A730" s="267" t="str">
        <f t="shared" si="33"/>
        <v>EDNEI MOREIRA MOTA</v>
      </c>
      <c r="B730" s="68" t="s">
        <v>1298</v>
      </c>
      <c r="C730" s="66" t="s">
        <v>640</v>
      </c>
      <c r="D730" s="67"/>
      <c r="E730" s="62">
        <v>40330</v>
      </c>
      <c r="F730" s="285"/>
    </row>
    <row r="731" spans="1:6" ht="14.25" thickTop="1" thickBot="1">
      <c r="A731" s="267" t="str">
        <f t="shared" si="33"/>
        <v>EDNILSON DE ANDRADE</v>
      </c>
      <c r="B731" s="68" t="s">
        <v>1306</v>
      </c>
      <c r="C731" s="66" t="s">
        <v>641</v>
      </c>
      <c r="D731" s="67"/>
      <c r="E731" s="62">
        <v>40112</v>
      </c>
      <c r="F731" s="285"/>
    </row>
    <row r="732" spans="1:6" ht="14.25" thickTop="1" thickBot="1">
      <c r="A732" s="267" t="str">
        <f>C734</f>
        <v>EDNILSON JESUS DE ALMEIDA</v>
      </c>
      <c r="B732" s="68" t="s">
        <v>546</v>
      </c>
      <c r="C732" s="66" t="s">
        <v>642</v>
      </c>
      <c r="D732" s="65">
        <v>49294</v>
      </c>
      <c r="E732" s="62">
        <v>40430</v>
      </c>
      <c r="F732" s="286"/>
    </row>
    <row r="733" spans="1:6" ht="14.25" thickTop="1" thickBot="1">
      <c r="A733" s="267" t="str">
        <f>C734</f>
        <v>EDNILSON JESUS DE ALMEIDA</v>
      </c>
      <c r="B733" s="68" t="s">
        <v>62</v>
      </c>
      <c r="C733" s="66" t="s">
        <v>950</v>
      </c>
      <c r="D733" s="69">
        <v>63745</v>
      </c>
      <c r="E733" s="62">
        <v>39268</v>
      </c>
      <c r="F733" s="285"/>
    </row>
    <row r="734" spans="1:6" ht="14.25" thickTop="1" thickBot="1">
      <c r="A734" s="267" t="str">
        <f>C735</f>
        <v>EDNILSON LOPES CANOBRE</v>
      </c>
      <c r="B734" s="61" t="s">
        <v>2413</v>
      </c>
      <c r="C734" s="66" t="s">
        <v>674</v>
      </c>
      <c r="D734" s="65">
        <v>63585</v>
      </c>
      <c r="E734" s="62">
        <v>43533</v>
      </c>
      <c r="F734" s="284"/>
    </row>
    <row r="735" spans="1:6" ht="14.25" thickTop="1" thickBot="1">
      <c r="A735" s="267" t="str">
        <f>C736</f>
        <v>EDNILSON MARTINS FARIAS</v>
      </c>
      <c r="B735" s="68" t="s">
        <v>62</v>
      </c>
      <c r="C735" s="77" t="s">
        <v>2576</v>
      </c>
      <c r="D735" s="61">
        <v>14792</v>
      </c>
      <c r="E735" s="180">
        <v>42103</v>
      </c>
      <c r="F735" s="286" t="s">
        <v>757</v>
      </c>
    </row>
    <row r="736" spans="1:6" ht="14.25" thickTop="1" thickBot="1">
      <c r="A736" s="267" t="s">
        <v>2148</v>
      </c>
      <c r="B736" s="68" t="s">
        <v>2406</v>
      </c>
      <c r="C736" s="66" t="s">
        <v>3426</v>
      </c>
      <c r="D736" s="65"/>
      <c r="E736" s="62">
        <v>43934</v>
      </c>
      <c r="F736" s="286"/>
    </row>
    <row r="737" spans="1:6" ht="14.25" thickTop="1" thickBot="1">
      <c r="A737" s="267" t="str">
        <f>C738</f>
        <v>EDNILSON SCHERPINSKI FERREIRA</v>
      </c>
      <c r="B737" s="182" t="s">
        <v>62</v>
      </c>
      <c r="C737" s="66" t="s">
        <v>951</v>
      </c>
      <c r="D737" s="181">
        <v>63383</v>
      </c>
      <c r="E737" s="62"/>
      <c r="F737" s="285"/>
    </row>
    <row r="738" spans="1:6" ht="14.25" thickTop="1" thickBot="1">
      <c r="A738" s="267" t="str">
        <f>C739</f>
        <v>EDNILSON SILVA</v>
      </c>
      <c r="B738" s="68" t="s">
        <v>546</v>
      </c>
      <c r="C738" s="66" t="s">
        <v>511</v>
      </c>
      <c r="D738" s="67"/>
      <c r="E738" s="70">
        <v>42922</v>
      </c>
      <c r="F738" s="284"/>
    </row>
    <row r="739" spans="1:6" ht="14.25" thickTop="1" thickBot="1">
      <c r="A739" s="267"/>
      <c r="B739" s="68" t="s">
        <v>1865</v>
      </c>
      <c r="C739" s="66" t="s">
        <v>643</v>
      </c>
      <c r="D739" s="61">
        <v>134231</v>
      </c>
      <c r="E739" s="62">
        <v>43138</v>
      </c>
      <c r="F739" s="290"/>
    </row>
    <row r="740" spans="1:6" ht="14.25" thickTop="1" thickBot="1">
      <c r="A740" s="267" t="str">
        <f>C741</f>
        <v>EDSON ADRIANO BICUDO</v>
      </c>
      <c r="B740" s="68" t="s">
        <v>62</v>
      </c>
      <c r="C740" s="66" t="s">
        <v>3194</v>
      </c>
      <c r="D740" s="61">
        <v>111649</v>
      </c>
      <c r="E740" s="62">
        <v>39580</v>
      </c>
      <c r="F740" s="285"/>
    </row>
    <row r="741" spans="1:6" ht="14.25" thickTop="1" thickBot="1">
      <c r="A741" s="267" t="str">
        <f>C742</f>
        <v>EDSON ALEXANDRE GALVAO</v>
      </c>
      <c r="B741" s="68" t="s">
        <v>62</v>
      </c>
      <c r="C741" s="66" t="s">
        <v>1959</v>
      </c>
      <c r="D741" s="61">
        <v>27224</v>
      </c>
      <c r="E741" s="62">
        <v>42065</v>
      </c>
      <c r="F741" s="285"/>
    </row>
    <row r="742" spans="1:6" ht="14.25" thickTop="1" thickBot="1">
      <c r="A742" s="267" t="str">
        <f>C743</f>
        <v>EDSON AMADEU FERREIRA LIMA</v>
      </c>
      <c r="B742" s="68" t="s">
        <v>1306</v>
      </c>
      <c r="C742" s="66" t="s">
        <v>991</v>
      </c>
      <c r="D742" s="67"/>
      <c r="E742" s="62">
        <v>40231</v>
      </c>
      <c r="F742" s="285"/>
    </row>
    <row r="743" spans="1:6" ht="14.25" thickTop="1" thickBot="1">
      <c r="A743" s="267"/>
      <c r="B743" s="68" t="s">
        <v>1812</v>
      </c>
      <c r="C743" s="64" t="s">
        <v>520</v>
      </c>
      <c r="D743" s="67"/>
      <c r="E743" s="62">
        <v>43445</v>
      </c>
      <c r="F743" s="285"/>
    </row>
    <row r="744" spans="1:6" ht="14.25" thickTop="1" thickBot="1">
      <c r="A744" s="267" t="s">
        <v>2614</v>
      </c>
      <c r="B744" s="68" t="s">
        <v>2413</v>
      </c>
      <c r="C744" s="60" t="s">
        <v>2407</v>
      </c>
      <c r="D744" s="61">
        <v>59778</v>
      </c>
      <c r="E744" s="62">
        <v>43529</v>
      </c>
      <c r="F744" s="285"/>
    </row>
    <row r="745" spans="1:6" ht="14.25" thickTop="1" thickBot="1">
      <c r="A745" s="267" t="str">
        <f>C746</f>
        <v>EDSON CARLOS AMARAL DOS SANTOS</v>
      </c>
      <c r="B745" s="68" t="s">
        <v>62</v>
      </c>
      <c r="C745" s="66" t="s">
        <v>2614</v>
      </c>
      <c r="D745" s="61">
        <v>122199</v>
      </c>
      <c r="E745" s="62">
        <v>41108</v>
      </c>
      <c r="F745" s="285"/>
    </row>
    <row r="746" spans="1:6" ht="14.25" thickTop="1" thickBot="1">
      <c r="A746" s="267" t="str">
        <f>C751</f>
        <v>EDSON DOS PASSOS CARDOSO     (Eca)</v>
      </c>
      <c r="B746" s="68" t="s">
        <v>2413</v>
      </c>
      <c r="C746" s="196" t="s">
        <v>1986</v>
      </c>
      <c r="D746" s="61">
        <v>134660</v>
      </c>
      <c r="E746" s="62">
        <v>43983</v>
      </c>
      <c r="F746" s="285"/>
    </row>
    <row r="747" spans="1:6" ht="14.25" thickTop="1" thickBot="1">
      <c r="A747" s="267"/>
      <c r="B747" s="68" t="s">
        <v>1812</v>
      </c>
      <c r="C747" s="60" t="s">
        <v>3434</v>
      </c>
      <c r="D747" s="61"/>
      <c r="E747" s="62">
        <v>43936</v>
      </c>
      <c r="F747" s="285"/>
    </row>
    <row r="748" spans="1:6" ht="14.25" thickTop="1" thickBot="1">
      <c r="A748" s="267" t="str">
        <f>C749</f>
        <v>EDSON DE OLIVEIRA CHAVES</v>
      </c>
      <c r="B748" s="68" t="s">
        <v>1002</v>
      </c>
      <c r="C748" s="64" t="s">
        <v>644</v>
      </c>
      <c r="D748" s="67"/>
      <c r="E748" s="62">
        <v>42557</v>
      </c>
      <c r="F748" s="285"/>
    </row>
    <row r="749" spans="1:6" ht="14.25" thickTop="1" thickBot="1">
      <c r="A749" s="267" t="str">
        <f>C750</f>
        <v>EDSON DONIZETE DA SILVA</v>
      </c>
      <c r="B749" s="68" t="s">
        <v>546</v>
      </c>
      <c r="C749" s="66" t="s">
        <v>128</v>
      </c>
      <c r="D749" s="65">
        <v>63597</v>
      </c>
      <c r="E749" s="62">
        <v>40016</v>
      </c>
      <c r="F749" s="285"/>
    </row>
    <row r="750" spans="1:6" ht="14.25" thickTop="1" thickBot="1">
      <c r="A750" s="267" t="str">
        <f>C751</f>
        <v>EDSON DOS PASSOS CARDOSO     (Eca)</v>
      </c>
      <c r="B750" s="68" t="s">
        <v>62</v>
      </c>
      <c r="C750" s="66" t="s">
        <v>952</v>
      </c>
      <c r="D750" s="65">
        <v>63926</v>
      </c>
      <c r="E750" s="62">
        <v>40885</v>
      </c>
      <c r="F750" s="285"/>
    </row>
    <row r="751" spans="1:6" ht="14.25" thickTop="1" thickBot="1">
      <c r="A751" s="267" t="str">
        <f>C752</f>
        <v>EDSON GOMES DE CAMARGO</v>
      </c>
      <c r="B751" s="68" t="s">
        <v>1306</v>
      </c>
      <c r="C751" s="66" t="s">
        <v>2919</v>
      </c>
      <c r="D751" s="61">
        <v>24069</v>
      </c>
      <c r="E751" s="62">
        <v>40007</v>
      </c>
      <c r="F751" s="285"/>
    </row>
    <row r="752" spans="1:6" ht="14.25" thickTop="1" thickBot="1">
      <c r="A752" s="267"/>
      <c r="B752" s="68" t="s">
        <v>2406</v>
      </c>
      <c r="C752" s="66" t="s">
        <v>2385</v>
      </c>
      <c r="D752" s="65">
        <v>24069</v>
      </c>
      <c r="E752" s="62">
        <v>43727</v>
      </c>
      <c r="F752" s="285"/>
    </row>
    <row r="753" spans="1:6" ht="14.25" thickTop="1" thickBot="1">
      <c r="A753" s="267" t="str">
        <f>C754</f>
        <v>EDSON LUIS LEMES DE ANDRADE</v>
      </c>
      <c r="B753" s="68" t="s">
        <v>62</v>
      </c>
      <c r="C753" s="66" t="s">
        <v>3195</v>
      </c>
      <c r="D753" s="65">
        <v>63080</v>
      </c>
      <c r="E753" s="62"/>
      <c r="F753" s="285"/>
    </row>
    <row r="754" spans="1:6" ht="14.25" thickTop="1" thickBot="1">
      <c r="A754" s="267" t="str">
        <f>C755</f>
        <v>EDSON LUIS RODRIGUES CHAVES</v>
      </c>
      <c r="B754" s="68" t="s">
        <v>62</v>
      </c>
      <c r="C754" s="66" t="s">
        <v>841</v>
      </c>
      <c r="D754" s="65">
        <v>63984</v>
      </c>
      <c r="E754" s="70">
        <v>42909</v>
      </c>
      <c r="F754" s="284"/>
    </row>
    <row r="755" spans="1:6" ht="14.25" thickTop="1" thickBot="1">
      <c r="A755" s="267" t="str">
        <f>C756</f>
        <v xml:space="preserve">EDSON LUIZ BUCOSKI         </v>
      </c>
      <c r="B755" s="68" t="s">
        <v>62</v>
      </c>
      <c r="C755" s="66" t="s">
        <v>484</v>
      </c>
      <c r="D755" s="65">
        <v>41315</v>
      </c>
      <c r="E755" s="62">
        <v>42228</v>
      </c>
      <c r="F755" s="285"/>
    </row>
    <row r="756" spans="1:6" ht="14.25" thickTop="1" thickBot="1">
      <c r="A756" s="267" t="str">
        <f>C760</f>
        <v>EDSON MANOEL LOPES DA SILVA           (Tizio)</v>
      </c>
      <c r="B756" s="68" t="s">
        <v>62</v>
      </c>
      <c r="C756" s="64" t="s">
        <v>953</v>
      </c>
      <c r="D756" s="61">
        <v>106373</v>
      </c>
      <c r="E756" s="62">
        <v>41555</v>
      </c>
      <c r="F756" s="285"/>
    </row>
    <row r="757" spans="1:6" ht="14.25" thickTop="1" thickBot="1">
      <c r="A757" s="267" t="str">
        <f>C758</f>
        <v>EDSON LUIZ VALERIO                  (Chiqueirinho)</v>
      </c>
      <c r="B757" s="68" t="s">
        <v>62</v>
      </c>
      <c r="C757" s="66" t="s">
        <v>1765</v>
      </c>
      <c r="D757" s="61">
        <v>63227</v>
      </c>
      <c r="E757" s="62">
        <v>41577</v>
      </c>
      <c r="F757" s="285"/>
    </row>
    <row r="758" spans="1:6" ht="14.25" thickTop="1" thickBot="1">
      <c r="A758" s="267" t="str">
        <f>C759</f>
        <v>EDSON LUIZ VALERIO                  (Chiqueirinho)</v>
      </c>
      <c r="B758" s="68" t="s">
        <v>62</v>
      </c>
      <c r="C758" s="66" t="s">
        <v>3196</v>
      </c>
      <c r="D758" s="61">
        <v>63599</v>
      </c>
      <c r="E758" s="62">
        <v>39966</v>
      </c>
      <c r="F758" s="285"/>
    </row>
    <row r="759" spans="1:6" ht="14.25" thickTop="1" thickBot="1">
      <c r="A759" s="267" t="str">
        <f>C761</f>
        <v>EDSON MARÇAL</v>
      </c>
      <c r="B759" s="68" t="s">
        <v>62</v>
      </c>
      <c r="C759" s="66" t="s">
        <v>3196</v>
      </c>
      <c r="D759" s="67"/>
      <c r="E759" s="70">
        <v>42271</v>
      </c>
      <c r="F759" s="284"/>
    </row>
    <row r="760" spans="1:6" ht="14.25" thickTop="1" thickBot="1">
      <c r="A760" s="267" t="s">
        <v>1766</v>
      </c>
      <c r="B760" s="68" t="s">
        <v>2413</v>
      </c>
      <c r="C760" s="66" t="s">
        <v>3197</v>
      </c>
      <c r="D760" s="61">
        <v>63639</v>
      </c>
      <c r="E760" s="62"/>
      <c r="F760" s="285"/>
    </row>
    <row r="761" spans="1:6" ht="14.25" thickTop="1" thickBot="1">
      <c r="A761" s="267" t="str">
        <f>C762</f>
        <v>EDSON PACHECO GONÇALVES         (Edinho)</v>
      </c>
      <c r="B761" s="68" t="s">
        <v>62</v>
      </c>
      <c r="C761" s="64" t="s">
        <v>1766</v>
      </c>
      <c r="D761" s="65">
        <v>47527</v>
      </c>
      <c r="E761" s="62">
        <v>41732</v>
      </c>
      <c r="F761" s="285"/>
    </row>
    <row r="762" spans="1:6" ht="14.25" thickTop="1" thickBot="1">
      <c r="A762" s="267" t="str">
        <f>C763</f>
        <v>EDSON RODRIGUES</v>
      </c>
      <c r="B762" s="68" t="s">
        <v>62</v>
      </c>
      <c r="C762" s="66" t="s">
        <v>3198</v>
      </c>
      <c r="D762" s="67"/>
      <c r="E762" s="62">
        <v>40295</v>
      </c>
      <c r="F762" s="285"/>
    </row>
    <row r="763" spans="1:6" ht="14.25" thickTop="1" thickBot="1">
      <c r="A763" s="267" t="str">
        <f>C764</f>
        <v>EDSON VANDERLEI PASTURCZAK</v>
      </c>
      <c r="B763" s="68" t="s">
        <v>62</v>
      </c>
      <c r="C763" s="66" t="s">
        <v>645</v>
      </c>
      <c r="D763" s="67"/>
      <c r="E763" s="70">
        <v>42282</v>
      </c>
      <c r="F763" s="284"/>
    </row>
    <row r="764" spans="1:6" ht="14.25" thickTop="1" thickBot="1">
      <c r="A764" s="267" t="str">
        <f>C765</f>
        <v>EDSON WILSON BARCHAKI             (Polaquinho / Égua Seca)</v>
      </c>
      <c r="B764" s="68" t="s">
        <v>62</v>
      </c>
      <c r="C764" s="66" t="s">
        <v>1446</v>
      </c>
      <c r="D764" s="65">
        <v>63074</v>
      </c>
      <c r="E764" s="62">
        <v>40501</v>
      </c>
      <c r="F764" s="285"/>
    </row>
    <row r="765" spans="1:6" ht="14.25" thickTop="1" thickBot="1">
      <c r="A765" s="267"/>
      <c r="B765" s="68" t="s">
        <v>1812</v>
      </c>
      <c r="C765" s="64" t="s">
        <v>3199</v>
      </c>
      <c r="D765" s="65">
        <v>44575</v>
      </c>
      <c r="E765" s="81">
        <v>43550</v>
      </c>
      <c r="F765" s="285"/>
    </row>
    <row r="766" spans="1:6" ht="14.25" thickTop="1" thickBot="1">
      <c r="A766" s="267" t="s">
        <v>1719</v>
      </c>
      <c r="B766" s="68" t="s">
        <v>3378</v>
      </c>
      <c r="C766" s="77" t="s">
        <v>2663</v>
      </c>
      <c r="D766" s="61">
        <v>132462</v>
      </c>
      <c r="E766" s="81">
        <v>43845</v>
      </c>
      <c r="F766" s="285"/>
    </row>
    <row r="767" spans="1:6" ht="14.25" thickTop="1" thickBot="1">
      <c r="A767" s="267" t="str">
        <f>C768</f>
        <v>EDUARDO DA SILVA COSTA</v>
      </c>
      <c r="B767" s="68" t="s">
        <v>62</v>
      </c>
      <c r="C767" s="66" t="s">
        <v>2306</v>
      </c>
      <c r="D767" s="203">
        <v>119207</v>
      </c>
      <c r="E767" s="62">
        <v>41733</v>
      </c>
      <c r="F767" s="285"/>
    </row>
    <row r="768" spans="1:6" ht="14.25" thickTop="1" thickBot="1">
      <c r="A768" s="267" t="str">
        <f>C769</f>
        <v>EDUARDO FERREIRA DE MELO</v>
      </c>
      <c r="B768" s="68" t="s">
        <v>62</v>
      </c>
      <c r="C768" s="64" t="s">
        <v>893</v>
      </c>
      <c r="D768" s="61">
        <v>63098</v>
      </c>
      <c r="E768" s="70">
        <v>42769</v>
      </c>
      <c r="F768" s="284"/>
    </row>
    <row r="769" spans="1:6" ht="14.25" thickTop="1" thickBot="1">
      <c r="A769" s="267"/>
      <c r="B769" s="68"/>
      <c r="C769" s="60" t="s">
        <v>2676</v>
      </c>
      <c r="D769" s="61">
        <v>110456</v>
      </c>
      <c r="E769" s="62"/>
      <c r="F769" s="285"/>
    </row>
    <row r="770" spans="1:6" ht="14.25" thickTop="1" thickBot="1">
      <c r="A770" s="267" t="str">
        <f t="shared" ref="A770:A781" si="34">C771</f>
        <v>EDUARDO MARTINS PEREIRA</v>
      </c>
      <c r="B770" s="68" t="s">
        <v>62</v>
      </c>
      <c r="C770" s="66" t="s">
        <v>894</v>
      </c>
      <c r="D770" s="65">
        <v>62479</v>
      </c>
      <c r="E770" s="62">
        <v>42101</v>
      </c>
      <c r="F770" s="285"/>
    </row>
    <row r="771" spans="1:6" ht="14.25" thickTop="1" thickBot="1">
      <c r="A771" s="267" t="str">
        <f t="shared" si="34"/>
        <v>EDUARDO MESSIAS RENTZ</v>
      </c>
      <c r="B771" s="68" t="s">
        <v>62</v>
      </c>
      <c r="C771" s="66" t="s">
        <v>1509</v>
      </c>
      <c r="D771" s="61">
        <v>101902</v>
      </c>
      <c r="E771" s="62">
        <v>41060</v>
      </c>
      <c r="F771" s="285"/>
    </row>
    <row r="772" spans="1:6" ht="14.25" thickTop="1" thickBot="1">
      <c r="A772" s="267" t="str">
        <f t="shared" si="34"/>
        <v>EDUARDO MOURA DE MATTOS</v>
      </c>
      <c r="B772" s="89" t="s">
        <v>1821</v>
      </c>
      <c r="C772" s="66" t="s">
        <v>289</v>
      </c>
      <c r="D772" s="61">
        <v>111055</v>
      </c>
      <c r="E772" s="62">
        <v>40533</v>
      </c>
      <c r="F772" s="285"/>
    </row>
    <row r="773" spans="1:6" ht="14.25" thickTop="1" thickBot="1">
      <c r="A773" s="267" t="str">
        <f t="shared" si="34"/>
        <v>EDUARDO PUPO GOUVEIA</v>
      </c>
      <c r="B773" s="68" t="s">
        <v>62</v>
      </c>
      <c r="C773" s="66" t="s">
        <v>1642</v>
      </c>
      <c r="D773" s="65">
        <v>102142</v>
      </c>
      <c r="E773" s="62">
        <v>42590</v>
      </c>
      <c r="F773" s="285"/>
    </row>
    <row r="774" spans="1:6" ht="14.25" thickTop="1" thickBot="1">
      <c r="A774" s="267" t="str">
        <f t="shared" si="34"/>
        <v>EDUARDO SACHINSKI           (Dudi)</v>
      </c>
      <c r="B774" s="68" t="s">
        <v>62</v>
      </c>
      <c r="C774" s="66" t="s">
        <v>494</v>
      </c>
      <c r="D774" s="65">
        <v>63716</v>
      </c>
      <c r="E774" s="62">
        <v>43243</v>
      </c>
      <c r="F774" s="285"/>
    </row>
    <row r="775" spans="1:6" ht="14.25" thickTop="1" thickBot="1">
      <c r="A775" s="267" t="str">
        <f t="shared" si="34"/>
        <v>EDUARDO TEIXEIRA</v>
      </c>
      <c r="B775" s="68" t="s">
        <v>62</v>
      </c>
      <c r="C775" s="66" t="s">
        <v>3200</v>
      </c>
      <c r="D775" s="61">
        <v>90762</v>
      </c>
      <c r="E775" s="62">
        <v>39966</v>
      </c>
      <c r="F775" s="285"/>
    </row>
    <row r="776" spans="1:6" ht="14.25" thickTop="1" thickBot="1">
      <c r="A776" s="267" t="str">
        <f t="shared" si="34"/>
        <v>EDVAL MARTINS DE FARIAS</v>
      </c>
      <c r="B776" s="68" t="s">
        <v>15</v>
      </c>
      <c r="C776" s="66" t="s">
        <v>1372</v>
      </c>
      <c r="D776" s="65">
        <v>63781</v>
      </c>
      <c r="E776" s="62">
        <v>42704</v>
      </c>
      <c r="F776" s="285"/>
    </row>
    <row r="777" spans="1:6" ht="14.25" thickTop="1" thickBot="1">
      <c r="A777" s="267" t="str">
        <f t="shared" si="34"/>
        <v>EDVALDO BISPO DOS SANTOS</v>
      </c>
      <c r="B777" s="68" t="s">
        <v>62</v>
      </c>
      <c r="C777" s="66" t="s">
        <v>1531</v>
      </c>
      <c r="D777" s="65">
        <v>55203</v>
      </c>
      <c r="E777" s="62">
        <v>42471</v>
      </c>
      <c r="F777" s="285"/>
    </row>
    <row r="778" spans="1:6" ht="14.25" thickTop="1" thickBot="1">
      <c r="A778" s="267" t="str">
        <f t="shared" si="34"/>
        <v>EGGON HENRIQUE PENNA</v>
      </c>
      <c r="B778" s="68" t="s">
        <v>62</v>
      </c>
      <c r="C778" s="64" t="s">
        <v>1018</v>
      </c>
      <c r="D778" s="67"/>
      <c r="E778" s="62">
        <v>43077</v>
      </c>
      <c r="F778" s="286"/>
    </row>
    <row r="779" spans="1:6" ht="14.25" thickTop="1" thickBot="1">
      <c r="A779" s="267" t="str">
        <f t="shared" si="34"/>
        <v>EGNALDO SILVA ROSSI</v>
      </c>
      <c r="B779" s="68" t="s">
        <v>546</v>
      </c>
      <c r="C779" s="66" t="s">
        <v>1893</v>
      </c>
      <c r="D779" s="61">
        <v>121969</v>
      </c>
      <c r="E779" s="62">
        <v>40219</v>
      </c>
      <c r="F779" s="285"/>
    </row>
    <row r="780" spans="1:6" ht="14.25" thickTop="1" thickBot="1">
      <c r="A780" s="267" t="str">
        <f t="shared" si="34"/>
        <v>EGON HENRIQUE GALVÃO</v>
      </c>
      <c r="B780" s="68" t="s">
        <v>1812</v>
      </c>
      <c r="C780" s="64" t="s">
        <v>742</v>
      </c>
      <c r="D780" s="65"/>
      <c r="E780" s="62">
        <v>41757</v>
      </c>
      <c r="F780" s="285"/>
    </row>
    <row r="781" spans="1:6" ht="14.25" thickTop="1" thickBot="1">
      <c r="A781" s="267" t="str">
        <f t="shared" si="34"/>
        <v>ELEANDERSON LOPES</v>
      </c>
      <c r="B781" s="68" t="s">
        <v>1812</v>
      </c>
      <c r="C781" s="64" t="s">
        <v>1932</v>
      </c>
      <c r="D781" s="74"/>
      <c r="E781" s="62">
        <v>40871</v>
      </c>
      <c r="F781" s="285"/>
    </row>
    <row r="782" spans="1:6" ht="14.25" thickTop="1" thickBot="1">
      <c r="A782" s="267"/>
      <c r="B782" s="68" t="s">
        <v>1812</v>
      </c>
      <c r="C782" s="77" t="s">
        <v>3403</v>
      </c>
      <c r="D782" s="198">
        <v>131689</v>
      </c>
      <c r="E782" s="62">
        <v>44114</v>
      </c>
      <c r="F782" s="285"/>
    </row>
    <row r="783" spans="1:6" ht="14.25" thickTop="1" thickBot="1">
      <c r="A783" s="267" t="str">
        <f>C784</f>
        <v>ELEANDRO TOMAZ DE MIRANDA</v>
      </c>
      <c r="B783" s="68" t="s">
        <v>62</v>
      </c>
      <c r="C783" s="66" t="s">
        <v>246</v>
      </c>
      <c r="D783" s="67"/>
      <c r="E783" s="62">
        <v>42703</v>
      </c>
      <c r="F783" s="285"/>
    </row>
    <row r="784" spans="1:6" ht="14.25" thickTop="1" thickBot="1">
      <c r="A784" s="267" t="str">
        <f>C785</f>
        <v>ELIAS DA SILVA                         (Primo/Wagner/Neguinho)</v>
      </c>
      <c r="B784" s="68" t="s">
        <v>1033</v>
      </c>
      <c r="C784" s="66" t="s">
        <v>694</v>
      </c>
      <c r="D784" s="65">
        <v>27147</v>
      </c>
      <c r="E784" s="62">
        <v>40281</v>
      </c>
      <c r="F784" s="285"/>
    </row>
    <row r="785" spans="1:16" ht="14.25" thickTop="1" thickBot="1">
      <c r="A785" s="267" t="str">
        <f>C786</f>
        <v>ELIAS DE OLIVEIRA</v>
      </c>
      <c r="B785" s="68" t="s">
        <v>62</v>
      </c>
      <c r="C785" s="66" t="s">
        <v>3201</v>
      </c>
      <c r="D785" s="65">
        <v>49760</v>
      </c>
      <c r="E785" s="62">
        <v>40742</v>
      </c>
      <c r="F785" s="285"/>
    </row>
    <row r="786" spans="1:16" ht="14.25" thickTop="1" thickBot="1">
      <c r="A786" s="267" t="str">
        <f>C787</f>
        <v>ELIAS DOS SANTOS DE MATOS</v>
      </c>
      <c r="B786" s="68" t="s">
        <v>1812</v>
      </c>
      <c r="C786" s="66" t="s">
        <v>1469</v>
      </c>
      <c r="D786" s="65"/>
      <c r="E786" s="62">
        <v>40287</v>
      </c>
      <c r="F786" s="285"/>
    </row>
    <row r="787" spans="1:16" ht="14.25" thickTop="1" thickBot="1">
      <c r="A787" s="267"/>
      <c r="B787" s="68" t="s">
        <v>1812</v>
      </c>
      <c r="C787" s="77" t="s">
        <v>1828</v>
      </c>
      <c r="D787" s="191">
        <v>126862</v>
      </c>
      <c r="E787" s="70">
        <v>44102</v>
      </c>
      <c r="F787" s="287"/>
    </row>
    <row r="788" spans="1:16" ht="14.25" thickTop="1" thickBot="1">
      <c r="A788" s="267" t="str">
        <f t="shared" ref="A788:A793" si="35">C789</f>
        <v>ELIAS FAGUNDES</v>
      </c>
      <c r="B788" s="68" t="s">
        <v>62</v>
      </c>
      <c r="C788" s="66" t="s">
        <v>1828</v>
      </c>
      <c r="D788" s="65"/>
      <c r="E788" s="62">
        <v>40430</v>
      </c>
      <c r="F788" s="285"/>
    </row>
    <row r="789" spans="1:16" ht="14.25" thickTop="1" thickBot="1">
      <c r="A789" s="267" t="str">
        <f t="shared" si="35"/>
        <v>ELIAS RIBEIRO DOS SANTOS</v>
      </c>
      <c r="B789" s="68" t="s">
        <v>62</v>
      </c>
      <c r="C789" s="64" t="s">
        <v>1252</v>
      </c>
      <c r="D789" s="65">
        <v>63849</v>
      </c>
      <c r="E789" s="62">
        <v>40234</v>
      </c>
      <c r="F789" s="285"/>
    </row>
    <row r="790" spans="1:16" ht="14.25" thickTop="1" thickBot="1">
      <c r="A790" s="267" t="str">
        <f t="shared" si="35"/>
        <v>ELIAS RODRIGUES ALVES</v>
      </c>
      <c r="B790" s="68" t="s">
        <v>62</v>
      </c>
      <c r="C790" s="64" t="s">
        <v>891</v>
      </c>
      <c r="D790" s="65">
        <v>42975</v>
      </c>
      <c r="E790" s="62">
        <v>39407</v>
      </c>
      <c r="F790" s="285"/>
    </row>
    <row r="791" spans="1:16" ht="14.25" thickTop="1" thickBot="1">
      <c r="A791" s="267" t="str">
        <f t="shared" si="35"/>
        <v>ELIEBER HENRIQUE SCHULTZ    (Grilo)</v>
      </c>
      <c r="B791" s="67" t="s">
        <v>1522</v>
      </c>
      <c r="C791" s="66" t="s">
        <v>1247</v>
      </c>
      <c r="D791" s="65">
        <v>63542</v>
      </c>
      <c r="E791" s="70">
        <v>42488</v>
      </c>
      <c r="F791" s="284"/>
    </row>
    <row r="792" spans="1:16" ht="14.25" thickTop="1" thickBot="1">
      <c r="A792" s="267" t="str">
        <f t="shared" si="35"/>
        <v>ELIEBER HENRIQUE SCHULTZ    (Grilo)</v>
      </c>
      <c r="B792" s="68" t="s">
        <v>62</v>
      </c>
      <c r="C792" s="66" t="s">
        <v>2921</v>
      </c>
      <c r="D792" s="65">
        <v>50740</v>
      </c>
      <c r="E792" s="70">
        <v>43363</v>
      </c>
      <c r="F792" s="291"/>
    </row>
    <row r="793" spans="1:16" ht="14.25" thickTop="1" thickBot="1">
      <c r="A793" s="267" t="str">
        <f t="shared" si="35"/>
        <v>ELIEBER HENRIQUE SCHULTZ (grilo)</v>
      </c>
      <c r="B793" s="68" t="s">
        <v>2347</v>
      </c>
      <c r="C793" s="77" t="s">
        <v>2920</v>
      </c>
      <c r="D793" s="61">
        <v>63542</v>
      </c>
      <c r="E793" s="62">
        <v>43346</v>
      </c>
      <c r="F793" s="285"/>
    </row>
    <row r="794" spans="1:16" ht="14.25" thickTop="1" thickBot="1">
      <c r="A794" s="267"/>
      <c r="B794" s="70"/>
      <c r="C794" s="64" t="s">
        <v>3592</v>
      </c>
      <c r="D794" s="65">
        <v>63542</v>
      </c>
      <c r="E794" s="70">
        <v>44099</v>
      </c>
      <c r="F794" s="287"/>
    </row>
    <row r="795" spans="1:16" ht="14.25" thickTop="1" thickBot="1">
      <c r="A795" s="267" t="str">
        <f>C796</f>
        <v>ELIEL VIDAL DOS SANTOS</v>
      </c>
      <c r="B795" s="68" t="s">
        <v>62</v>
      </c>
      <c r="C795" s="193" t="s">
        <v>2319</v>
      </c>
      <c r="D795" s="61">
        <v>47174</v>
      </c>
      <c r="E795" s="62">
        <v>41884</v>
      </c>
      <c r="F795" s="285"/>
    </row>
    <row r="796" spans="1:16" ht="14.25" thickTop="1" thickBot="1">
      <c r="A796" s="267" t="str">
        <f>C797</f>
        <v>ELIELSON BARBOSA ALVES</v>
      </c>
      <c r="B796" s="68" t="s">
        <v>1298</v>
      </c>
      <c r="C796" s="64" t="s">
        <v>1174</v>
      </c>
      <c r="D796" s="67"/>
      <c r="E796" s="62">
        <v>39855</v>
      </c>
      <c r="F796" s="285"/>
    </row>
    <row r="797" spans="1:16" ht="14.25" thickTop="1" thickBot="1">
      <c r="A797" s="452" t="s">
        <v>3480</v>
      </c>
      <c r="B797" s="395" t="s">
        <v>1812</v>
      </c>
      <c r="C797" s="451" t="s">
        <v>3480</v>
      </c>
      <c r="D797" s="72">
        <v>167086</v>
      </c>
      <c r="E797" s="61">
        <v>44123</v>
      </c>
      <c r="F797" s="402"/>
      <c r="G797" s="407"/>
      <c r="H797" s="408"/>
      <c r="I797" s="407"/>
      <c r="J797" s="408"/>
      <c r="K797" s="199"/>
      <c r="L797" s="199"/>
      <c r="M797" s="199"/>
      <c r="N797" s="199"/>
      <c r="O797" s="199"/>
      <c r="P797" s="199"/>
    </row>
    <row r="798" spans="1:16" ht="14.25" thickTop="1" thickBot="1">
      <c r="A798" s="267" t="str">
        <f>C799</f>
        <v>ELIELTON DOUGLAS DE ANDRADE</v>
      </c>
      <c r="B798" s="68" t="s">
        <v>62</v>
      </c>
      <c r="C798" s="66" t="s">
        <v>845</v>
      </c>
      <c r="D798" s="61">
        <v>108318</v>
      </c>
      <c r="E798" s="62">
        <v>42240</v>
      </c>
      <c r="F798" s="285"/>
    </row>
    <row r="799" spans="1:16" ht="14.25" thickTop="1" thickBot="1">
      <c r="A799" s="267" t="str">
        <f>C800</f>
        <v>ELIEZER DE ANDRADE</v>
      </c>
      <c r="B799" s="68" t="s">
        <v>516</v>
      </c>
      <c r="C799" s="66" t="s">
        <v>1706</v>
      </c>
      <c r="D799" s="65">
        <v>101328</v>
      </c>
      <c r="E799" s="70">
        <v>42320</v>
      </c>
      <c r="F799" s="284"/>
    </row>
    <row r="800" spans="1:16" ht="14.25" thickTop="1" thickBot="1">
      <c r="A800" s="267" t="str">
        <f>C802</f>
        <v>ELIEZER DE ANDRADE</v>
      </c>
      <c r="B800" s="68" t="s">
        <v>1812</v>
      </c>
      <c r="C800" s="66" t="s">
        <v>1012</v>
      </c>
      <c r="D800" s="65">
        <v>101328</v>
      </c>
      <c r="E800" s="62">
        <v>44126</v>
      </c>
      <c r="F800" s="285"/>
    </row>
    <row r="801" spans="1:20" ht="14.25" thickTop="1" thickBot="1">
      <c r="A801" s="267" t="str">
        <f t="shared" ref="A801:A810" si="36">C802</f>
        <v>ELIEZER DE ANDRADE</v>
      </c>
      <c r="B801" s="61" t="s">
        <v>2413</v>
      </c>
      <c r="C801" s="66" t="s">
        <v>1012</v>
      </c>
      <c r="D801" s="61">
        <v>63357</v>
      </c>
      <c r="E801" s="62">
        <v>43534</v>
      </c>
      <c r="F801" s="284"/>
    </row>
    <row r="802" spans="1:20" ht="14.25" thickTop="1" thickBot="1">
      <c r="A802" s="267" t="str">
        <f t="shared" si="36"/>
        <v>ELIEZER DONIZETE SOVINSKI      (Gadeia)</v>
      </c>
      <c r="B802" s="68" t="s">
        <v>1665</v>
      </c>
      <c r="C802" s="77" t="s">
        <v>1012</v>
      </c>
      <c r="D802" s="61">
        <v>101328</v>
      </c>
      <c r="E802" s="62"/>
      <c r="F802" s="285"/>
    </row>
    <row r="803" spans="1:20" ht="14.25" thickTop="1" thickBot="1">
      <c r="A803" s="267" t="str">
        <f t="shared" si="36"/>
        <v>ELINTON DE MORAES SOARES      (Teta)</v>
      </c>
      <c r="B803" s="68" t="s">
        <v>62</v>
      </c>
      <c r="C803" s="66" t="s">
        <v>2923</v>
      </c>
      <c r="D803" s="65">
        <v>27222</v>
      </c>
      <c r="E803" s="62">
        <v>41789</v>
      </c>
      <c r="F803" s="285"/>
    </row>
    <row r="804" spans="1:20" ht="14.25" thickTop="1" thickBot="1">
      <c r="A804" s="267" t="str">
        <f t="shared" si="36"/>
        <v>ELISANDRO DOS SANTOS JACQUES COELHO</v>
      </c>
      <c r="B804" s="68" t="s">
        <v>1306</v>
      </c>
      <c r="C804" s="66" t="s">
        <v>2922</v>
      </c>
      <c r="D804" s="88">
        <v>63678</v>
      </c>
      <c r="E804" s="62">
        <v>41912</v>
      </c>
      <c r="F804" s="285"/>
    </row>
    <row r="805" spans="1:20" ht="14.25" thickTop="1" thickBot="1">
      <c r="A805" s="267" t="str">
        <f t="shared" si="36"/>
        <v>ELISANDRO SOARES</v>
      </c>
      <c r="B805" s="68"/>
      <c r="C805" s="66" t="s">
        <v>3469</v>
      </c>
      <c r="D805" s="61">
        <v>121268</v>
      </c>
      <c r="E805" s="62">
        <v>43980</v>
      </c>
      <c r="F805" s="285"/>
    </row>
    <row r="806" spans="1:20" ht="14.25" thickTop="1" thickBot="1">
      <c r="A806" s="267" t="str">
        <f t="shared" si="36"/>
        <v>ELISEU MATOS DA SILVA</v>
      </c>
      <c r="B806" s="68" t="s">
        <v>62</v>
      </c>
      <c r="C806" s="78" t="s">
        <v>895</v>
      </c>
      <c r="D806" s="67"/>
      <c r="E806" s="70">
        <v>42489</v>
      </c>
      <c r="F806" s="284"/>
    </row>
    <row r="807" spans="1:20" ht="14.25" thickTop="1" thickBot="1">
      <c r="A807" s="267" t="str">
        <f t="shared" si="36"/>
        <v>ELISEU RODRIGUES MARCONDES</v>
      </c>
      <c r="B807" s="68" t="s">
        <v>62</v>
      </c>
      <c r="C807" s="66" t="s">
        <v>896</v>
      </c>
      <c r="D807" s="69">
        <v>63848</v>
      </c>
      <c r="E807" s="70">
        <v>42326</v>
      </c>
      <c r="F807" s="284"/>
    </row>
    <row r="808" spans="1:20" ht="14.25" thickTop="1" thickBot="1">
      <c r="A808" s="267" t="str">
        <f t="shared" si="36"/>
        <v>ELISON DE JESUS GOMES</v>
      </c>
      <c r="B808" s="67" t="s">
        <v>1522</v>
      </c>
      <c r="C808" s="66" t="s">
        <v>861</v>
      </c>
      <c r="D808" s="65">
        <v>101515</v>
      </c>
      <c r="E808" s="62">
        <v>41968</v>
      </c>
      <c r="F808" s="285"/>
    </row>
    <row r="809" spans="1:20" ht="14.25" thickTop="1" thickBot="1">
      <c r="A809" s="267" t="str">
        <f t="shared" si="36"/>
        <v>ELITO BERTO</v>
      </c>
      <c r="B809" s="68" t="s">
        <v>62</v>
      </c>
      <c r="C809" s="66" t="s">
        <v>454</v>
      </c>
      <c r="D809" s="61">
        <v>27333</v>
      </c>
      <c r="E809" s="62">
        <v>41417</v>
      </c>
      <c r="F809" s="285"/>
    </row>
    <row r="810" spans="1:20" ht="14.25" thickTop="1" thickBot="1">
      <c r="A810" s="267" t="str">
        <f t="shared" si="36"/>
        <v>ELITON RODRIGO DA SILVA</v>
      </c>
      <c r="B810" s="68" t="s">
        <v>62</v>
      </c>
      <c r="C810" s="66" t="s">
        <v>142</v>
      </c>
      <c r="D810" s="61">
        <v>10931</v>
      </c>
      <c r="E810" s="62"/>
      <c r="F810" s="285"/>
    </row>
    <row r="811" spans="1:20" ht="14.25" thickTop="1" thickBot="1">
      <c r="A811" s="271" t="s">
        <v>2508</v>
      </c>
      <c r="B811" s="68" t="s">
        <v>2406</v>
      </c>
      <c r="C811" s="60" t="s">
        <v>1068</v>
      </c>
      <c r="D811" s="61">
        <v>10931</v>
      </c>
      <c r="E811" s="62">
        <v>43854</v>
      </c>
      <c r="F811" s="285"/>
      <c r="G811" s="408"/>
      <c r="H811" s="410"/>
      <c r="I811" s="346"/>
      <c r="J811" s="84"/>
      <c r="K811" s="439"/>
      <c r="L811" s="84"/>
      <c r="M811" s="439"/>
      <c r="N811" s="84"/>
      <c r="O811" s="199"/>
      <c r="P811" s="199"/>
      <c r="Q811" s="199"/>
      <c r="R811" s="199"/>
      <c r="S811" s="199"/>
      <c r="T811" s="199"/>
    </row>
    <row r="812" spans="1:20" ht="14.25" thickTop="1" thickBot="1">
      <c r="A812" s="267" t="str">
        <f>C818</f>
        <v xml:space="preserve">ELMO APARECIDO MARCONDES  </v>
      </c>
      <c r="B812" s="68" t="s">
        <v>62</v>
      </c>
      <c r="C812" s="66" t="s">
        <v>1068</v>
      </c>
      <c r="D812" s="61">
        <v>68596</v>
      </c>
      <c r="E812" s="62">
        <v>40763</v>
      </c>
      <c r="F812" s="285"/>
    </row>
    <row r="813" spans="1:20" ht="14.25" thickTop="1" thickBot="1">
      <c r="A813" s="271" t="s">
        <v>2509</v>
      </c>
      <c r="B813" s="68" t="s">
        <v>2406</v>
      </c>
      <c r="C813" s="60" t="s">
        <v>1068</v>
      </c>
      <c r="D813" s="61">
        <v>10931</v>
      </c>
      <c r="E813" s="62">
        <v>43854</v>
      </c>
      <c r="F813" s="285"/>
      <c r="G813" s="408"/>
      <c r="H813" s="410"/>
      <c r="I813" s="346"/>
      <c r="J813" s="84"/>
      <c r="K813" s="439"/>
      <c r="L813" s="84"/>
      <c r="M813" s="439"/>
      <c r="N813" s="84"/>
      <c r="O813" s="199"/>
      <c r="P813" s="199"/>
      <c r="Q813" s="199"/>
      <c r="R813" s="199"/>
      <c r="S813" s="199"/>
      <c r="T813" s="199"/>
    </row>
    <row r="814" spans="1:20" ht="14.25" thickTop="1" thickBot="1">
      <c r="A814" s="267"/>
      <c r="B814" s="68" t="s">
        <v>546</v>
      </c>
      <c r="C814" s="66" t="s">
        <v>247</v>
      </c>
      <c r="D814" s="67"/>
      <c r="E814" s="62">
        <v>41953</v>
      </c>
      <c r="F814" s="285"/>
    </row>
    <row r="815" spans="1:20" ht="14.25" thickTop="1" thickBot="1">
      <c r="A815" s="267" t="s">
        <v>2629</v>
      </c>
      <c r="B815" s="68" t="s">
        <v>2413</v>
      </c>
      <c r="C815" s="66" t="s">
        <v>234</v>
      </c>
      <c r="D815" s="67"/>
      <c r="E815" s="62"/>
      <c r="F815" s="285"/>
    </row>
    <row r="816" spans="1:20" ht="14.25" thickTop="1" thickBot="1">
      <c r="A816" s="267"/>
      <c r="B816" s="68" t="s">
        <v>2413</v>
      </c>
      <c r="C816" s="64" t="s">
        <v>2629</v>
      </c>
      <c r="D816" s="61"/>
      <c r="E816" s="70">
        <v>43544</v>
      </c>
      <c r="F816" s="284"/>
    </row>
    <row r="817" spans="1:6" ht="14.25" thickTop="1" thickBot="1">
      <c r="A817" s="267" t="str">
        <f>C818</f>
        <v xml:space="preserve">ELMO APARECIDO MARCONDES  </v>
      </c>
      <c r="B817" s="68" t="s">
        <v>62</v>
      </c>
      <c r="C817" s="60" t="s">
        <v>2629</v>
      </c>
      <c r="D817" s="61">
        <v>63848</v>
      </c>
      <c r="E817" s="62">
        <v>42103</v>
      </c>
      <c r="F817" s="284"/>
    </row>
    <row r="818" spans="1:6" ht="14.25" thickTop="1" thickBot="1">
      <c r="A818" s="267" t="str">
        <f>C819</f>
        <v>ELOI FERNANDO CZEKALSKI</v>
      </c>
      <c r="B818" s="68" t="s">
        <v>25</v>
      </c>
      <c r="C818" s="66" t="s">
        <v>650</v>
      </c>
      <c r="D818" s="65">
        <v>90843</v>
      </c>
      <c r="E818" s="62">
        <v>42318</v>
      </c>
      <c r="F818" s="285"/>
    </row>
    <row r="819" spans="1:6" ht="14.25" thickTop="1" thickBot="1">
      <c r="A819" s="267" t="str">
        <f>C820</f>
        <v>ELOILSON JOSE PUGSLEY</v>
      </c>
      <c r="B819" s="68" t="s">
        <v>62</v>
      </c>
      <c r="C819" s="64" t="s">
        <v>64</v>
      </c>
      <c r="D819" s="65">
        <v>27070</v>
      </c>
      <c r="E819" s="62">
        <v>43243</v>
      </c>
      <c r="F819" s="285"/>
    </row>
    <row r="820" spans="1:6" ht="14.25" thickTop="1" thickBot="1">
      <c r="A820" s="267" t="str">
        <f>C821</f>
        <v>ELOIR SANTANA DA LUZ</v>
      </c>
      <c r="B820" s="68" t="s">
        <v>1306</v>
      </c>
      <c r="C820" s="66" t="s">
        <v>1603</v>
      </c>
      <c r="D820" s="61">
        <v>101754</v>
      </c>
      <c r="E820" s="62">
        <v>40996</v>
      </c>
      <c r="F820" s="285"/>
    </row>
    <row r="821" spans="1:6" ht="14.25" thickTop="1" thickBot="1">
      <c r="A821" s="267" t="str">
        <f>C822</f>
        <v>ELTON DO NASCIMENTO</v>
      </c>
      <c r="B821" s="61" t="s">
        <v>351</v>
      </c>
      <c r="C821" s="66" t="s">
        <v>750</v>
      </c>
      <c r="D821" s="61">
        <v>14694</v>
      </c>
      <c r="E821" s="62">
        <v>43587</v>
      </c>
      <c r="F821" s="285"/>
    </row>
    <row r="822" spans="1:6" ht="14.25" thickTop="1" thickBot="1">
      <c r="A822" s="267"/>
      <c r="B822" s="68" t="s">
        <v>62</v>
      </c>
      <c r="C822" s="60" t="s">
        <v>2351</v>
      </c>
      <c r="D822" s="61">
        <v>64547</v>
      </c>
      <c r="E822" s="97"/>
      <c r="F822" s="287"/>
    </row>
    <row r="823" spans="1:6" ht="14.25" thickTop="1" thickBot="1">
      <c r="A823" s="267" t="str">
        <f t="shared" ref="A823:A830" si="37">C824</f>
        <v>ELVIS EURIDES LUIZ</v>
      </c>
      <c r="B823" s="68" t="s">
        <v>1306</v>
      </c>
      <c r="C823" s="66" t="s">
        <v>2924</v>
      </c>
      <c r="D823" s="61">
        <v>46631</v>
      </c>
      <c r="E823" s="70">
        <v>42492</v>
      </c>
      <c r="F823" s="284"/>
    </row>
    <row r="824" spans="1:6" ht="14.25" thickTop="1" thickBot="1">
      <c r="A824" s="267" t="str">
        <f t="shared" si="37"/>
        <v>ELVIS RAYLSON PEREIRA DA SILVA    (Pingo)</v>
      </c>
      <c r="B824" s="68" t="s">
        <v>62</v>
      </c>
      <c r="C824" s="66" t="s">
        <v>1378</v>
      </c>
      <c r="D824" s="61">
        <v>63565</v>
      </c>
      <c r="E824" s="62">
        <v>42108</v>
      </c>
      <c r="F824" s="285"/>
    </row>
    <row r="825" spans="1:6" ht="14.25" thickTop="1" thickBot="1">
      <c r="A825" s="267" t="str">
        <f t="shared" si="37"/>
        <v>EMERSOM BARBOSA DA SILVA</v>
      </c>
      <c r="B825" s="68" t="s">
        <v>62</v>
      </c>
      <c r="C825" s="66" t="s">
        <v>2925</v>
      </c>
      <c r="D825" s="67"/>
      <c r="E825" s="70">
        <v>42870</v>
      </c>
      <c r="F825" s="284"/>
    </row>
    <row r="826" spans="1:6" ht="14.25" thickTop="1" thickBot="1">
      <c r="A826" s="267" t="str">
        <f t="shared" si="37"/>
        <v>EMERSON ARPS                         (Gamba)</v>
      </c>
      <c r="B826" s="68" t="s">
        <v>62</v>
      </c>
      <c r="C826" s="66" t="s">
        <v>693</v>
      </c>
      <c r="D826" s="61">
        <v>101537</v>
      </c>
      <c r="E826" s="62">
        <v>42837</v>
      </c>
      <c r="F826" s="285"/>
    </row>
    <row r="827" spans="1:6" ht="14.25" thickTop="1" thickBot="1">
      <c r="A827" s="267" t="str">
        <f t="shared" si="37"/>
        <v>EMERSON BATISTA DE LIMA</v>
      </c>
      <c r="B827" s="68" t="s">
        <v>1306</v>
      </c>
      <c r="C827" s="66" t="s">
        <v>3202</v>
      </c>
      <c r="D827" s="61">
        <v>63592</v>
      </c>
      <c r="E827" s="70"/>
      <c r="F827" s="284"/>
    </row>
    <row r="828" spans="1:6" ht="14.25" thickTop="1" thickBot="1">
      <c r="A828" s="267" t="str">
        <f t="shared" si="37"/>
        <v>EMERSON CARNEIRO ALVES</v>
      </c>
      <c r="B828" s="68" t="s">
        <v>62</v>
      </c>
      <c r="C828" s="66" t="s">
        <v>1952</v>
      </c>
      <c r="D828" s="82"/>
      <c r="E828" s="62">
        <v>40112</v>
      </c>
      <c r="F828" s="285"/>
    </row>
    <row r="829" spans="1:6" ht="14.25" thickTop="1" thickBot="1">
      <c r="A829" s="267" t="str">
        <f t="shared" si="37"/>
        <v>EMERSON CARNEIRO DA SILVA</v>
      </c>
      <c r="B829" s="89" t="s">
        <v>2061</v>
      </c>
      <c r="C829" s="66" t="s">
        <v>897</v>
      </c>
      <c r="D829" s="61">
        <v>264830</v>
      </c>
      <c r="E829" s="62"/>
      <c r="F829" s="285"/>
    </row>
    <row r="830" spans="1:6" ht="14.25" thickTop="1" thickBot="1">
      <c r="A830" s="267" t="str">
        <f t="shared" si="37"/>
        <v>EMERSON CHACARSKI</v>
      </c>
      <c r="B830" s="68" t="s">
        <v>2347</v>
      </c>
      <c r="C830" s="66" t="s">
        <v>2281</v>
      </c>
      <c r="D830" s="61">
        <v>139636</v>
      </c>
      <c r="E830" s="478">
        <v>43346</v>
      </c>
      <c r="F830" s="285"/>
    </row>
    <row r="831" spans="1:6" ht="14.25" thickTop="1" thickBot="1">
      <c r="A831" s="267" t="str">
        <f>C833</f>
        <v>EMERSON DOS SANTOS CUNHA FERNANDES    (Guerra)</v>
      </c>
      <c r="B831" s="394" t="s">
        <v>3400</v>
      </c>
      <c r="C831" s="122" t="s">
        <v>1112</v>
      </c>
      <c r="D831" s="144">
        <v>101621</v>
      </c>
      <c r="E831" s="70">
        <v>44103</v>
      </c>
      <c r="F831" s="402"/>
    </row>
    <row r="832" spans="1:6" ht="14.25" thickTop="1" thickBot="1">
      <c r="A832" s="267" t="str">
        <f>C833</f>
        <v>EMERSON DOS SANTOS CUNHA FERNANDES    (Guerra)</v>
      </c>
      <c r="B832" s="68"/>
      <c r="C832" s="66" t="s">
        <v>2926</v>
      </c>
      <c r="D832" s="61">
        <v>135503</v>
      </c>
      <c r="E832" s="62">
        <v>42038</v>
      </c>
      <c r="F832" s="285"/>
    </row>
    <row r="833" spans="1:6" ht="14.25" thickTop="1" thickBot="1">
      <c r="A833" s="267" t="str">
        <f>C834</f>
        <v>EMERSON FABIANO DE OLIVEIRA</v>
      </c>
      <c r="B833" s="68" t="s">
        <v>62</v>
      </c>
      <c r="C833" s="66" t="s">
        <v>2927</v>
      </c>
      <c r="D833" s="65">
        <v>63731</v>
      </c>
      <c r="E833" s="62">
        <v>40480</v>
      </c>
      <c r="F833" s="285"/>
    </row>
    <row r="834" spans="1:6" ht="14.25" thickTop="1" thickBot="1">
      <c r="A834" s="267" t="s">
        <v>2148</v>
      </c>
      <c r="B834" s="68" t="s">
        <v>2413</v>
      </c>
      <c r="C834" s="66" t="s">
        <v>1431</v>
      </c>
      <c r="D834" s="65">
        <v>39443</v>
      </c>
      <c r="E834" s="62"/>
      <c r="F834" s="285"/>
    </row>
    <row r="835" spans="1:6" ht="14.25" thickTop="1" thickBot="1">
      <c r="A835" s="267" t="str">
        <f>C837</f>
        <v>EMERSON LUIS BECHER</v>
      </c>
      <c r="B835" s="68" t="s">
        <v>1812</v>
      </c>
      <c r="C835" s="77" t="s">
        <v>2148</v>
      </c>
      <c r="D835" s="61">
        <v>103757</v>
      </c>
      <c r="E835" s="62">
        <v>44097</v>
      </c>
      <c r="F835" s="285"/>
    </row>
    <row r="836" spans="1:6" ht="14.25" thickTop="1" thickBot="1">
      <c r="A836" s="267" t="str">
        <f>C838</f>
        <v>EMERSON LUIS CARNEIRO VARGAS          (Gordo)</v>
      </c>
      <c r="B836" s="68" t="s">
        <v>62</v>
      </c>
      <c r="C836" s="64" t="s">
        <v>2148</v>
      </c>
      <c r="D836" s="65">
        <v>103757</v>
      </c>
      <c r="E836" s="62">
        <v>39272</v>
      </c>
      <c r="F836" s="285"/>
    </row>
    <row r="837" spans="1:6" ht="14.25" thickTop="1" thickBot="1">
      <c r="A837" s="267" t="str">
        <f>C838</f>
        <v>EMERSON LUIS CARNEIRO VARGAS          (Gordo)</v>
      </c>
      <c r="B837" s="68" t="s">
        <v>1570</v>
      </c>
      <c r="C837" s="66" t="s">
        <v>837</v>
      </c>
      <c r="D837" s="65">
        <v>63072</v>
      </c>
      <c r="E837" s="70">
        <v>42326</v>
      </c>
      <c r="F837" s="292" t="s">
        <v>2268</v>
      </c>
    </row>
    <row r="838" spans="1:6" ht="14.25" thickTop="1" thickBot="1">
      <c r="A838" s="267" t="str">
        <f>C839</f>
        <v>EMERSON LUIS MARTINS FERREIRA            (Tubarão)</v>
      </c>
      <c r="B838" s="68" t="s">
        <v>62</v>
      </c>
      <c r="C838" s="66" t="s">
        <v>3203</v>
      </c>
      <c r="D838" s="65">
        <v>55725</v>
      </c>
      <c r="E838" s="62">
        <v>40351</v>
      </c>
      <c r="F838" s="285"/>
    </row>
    <row r="839" spans="1:6" ht="14.25" thickTop="1" thickBot="1">
      <c r="A839" s="267" t="str">
        <f>C840</f>
        <v>EMERSON LUIS RIBEIRO MENDES</v>
      </c>
      <c r="B839" s="68" t="s">
        <v>1306</v>
      </c>
      <c r="C839" s="64" t="s">
        <v>3204</v>
      </c>
      <c r="D839" s="67"/>
      <c r="E839" s="62">
        <v>42471</v>
      </c>
      <c r="F839" s="285"/>
    </row>
    <row r="840" spans="1:6" ht="14.25" thickTop="1" thickBot="1">
      <c r="A840" s="267" t="s">
        <v>2605</v>
      </c>
      <c r="B840" s="68" t="s">
        <v>2413</v>
      </c>
      <c r="C840" s="66" t="s">
        <v>2513</v>
      </c>
      <c r="D840" s="61">
        <v>636013</v>
      </c>
      <c r="E840" s="62">
        <v>44126</v>
      </c>
      <c r="F840" s="285"/>
    </row>
    <row r="841" spans="1:6" ht="14.25" thickTop="1" thickBot="1">
      <c r="A841" s="267" t="str">
        <f>C842</f>
        <v>EMERSON LUIS SOARES DE LIMA               (Pomba)</v>
      </c>
      <c r="B841" s="68" t="s">
        <v>62</v>
      </c>
      <c r="C841" s="66" t="s">
        <v>651</v>
      </c>
      <c r="D841" s="61">
        <v>27137</v>
      </c>
      <c r="E841" s="62"/>
      <c r="F841" s="286" t="s">
        <v>1850</v>
      </c>
    </row>
    <row r="842" spans="1:6" ht="14.25" thickTop="1" thickBot="1">
      <c r="A842" s="267" t="str">
        <f>C843</f>
        <v>EMERSON LUIZ SCHECKETEL               (Capri)</v>
      </c>
      <c r="B842" s="68" t="s">
        <v>62</v>
      </c>
      <c r="C842" s="66" t="s">
        <v>3205</v>
      </c>
      <c r="D842" s="65">
        <v>36745</v>
      </c>
      <c r="E842" s="70">
        <v>42523</v>
      </c>
      <c r="F842" s="287"/>
    </row>
    <row r="843" spans="1:6" ht="14.25" thickTop="1" thickBot="1">
      <c r="A843" s="267" t="str">
        <f>C844</f>
        <v>EMERSON LUNGAREZI DE OLIVEIRA</v>
      </c>
      <c r="B843" s="68" t="s">
        <v>62</v>
      </c>
      <c r="C843" s="66" t="s">
        <v>3206</v>
      </c>
      <c r="D843" s="65"/>
      <c r="E843" s="62">
        <v>40742</v>
      </c>
      <c r="F843" s="285"/>
    </row>
    <row r="844" spans="1:6" ht="14.25" thickTop="1" thickBot="1">
      <c r="A844" s="269" t="s">
        <v>2861</v>
      </c>
      <c r="B844" s="68" t="s">
        <v>2413</v>
      </c>
      <c r="C844" s="192" t="s">
        <v>2861</v>
      </c>
      <c r="D844" s="61">
        <v>169641</v>
      </c>
      <c r="E844" s="70">
        <v>43818</v>
      </c>
      <c r="F844" s="287"/>
    </row>
    <row r="845" spans="1:6" ht="14.25" thickTop="1" thickBot="1">
      <c r="A845" s="267" t="str">
        <f t="shared" ref="A845:A856" si="38">C846</f>
        <v>EMERSON RENATO PEREIRA</v>
      </c>
      <c r="B845" s="68" t="s">
        <v>62</v>
      </c>
      <c r="C845" s="64" t="s">
        <v>3207</v>
      </c>
      <c r="D845" s="67"/>
      <c r="E845" s="62">
        <v>42038</v>
      </c>
      <c r="F845" s="285"/>
    </row>
    <row r="846" spans="1:6" ht="14.25" thickTop="1" thickBot="1">
      <c r="A846" s="267" t="str">
        <f t="shared" si="38"/>
        <v>EMERSON RODRIGO NUNES DE MORAIS SARAIVA</v>
      </c>
      <c r="B846" s="68" t="s">
        <v>62</v>
      </c>
      <c r="C846" s="64" t="s">
        <v>1330</v>
      </c>
      <c r="D846" s="61">
        <v>63845</v>
      </c>
      <c r="E846" s="62">
        <v>41080</v>
      </c>
      <c r="F846" s="285"/>
    </row>
    <row r="847" spans="1:6" ht="14.25" thickTop="1" thickBot="1">
      <c r="A847" s="267" t="str">
        <f t="shared" si="38"/>
        <v>EMERSON RODRIGUES</v>
      </c>
      <c r="B847" s="68" t="s">
        <v>62</v>
      </c>
      <c r="C847" s="66" t="s">
        <v>807</v>
      </c>
      <c r="D847" s="65">
        <v>98668</v>
      </c>
      <c r="E847" s="62">
        <v>41164</v>
      </c>
      <c r="F847" s="285"/>
    </row>
    <row r="848" spans="1:6" ht="14.25" thickTop="1" thickBot="1">
      <c r="A848" s="267" t="str">
        <f t="shared" si="38"/>
        <v>EMERSON SOARES BUENO FERREIRA DIAS DA LUZ</v>
      </c>
      <c r="B848" s="68" t="s">
        <v>15</v>
      </c>
      <c r="C848" s="64" t="s">
        <v>1258</v>
      </c>
      <c r="D848" s="65">
        <v>101568</v>
      </c>
      <c r="E848" s="62">
        <v>42580</v>
      </c>
      <c r="F848" s="285"/>
    </row>
    <row r="849" spans="1:6" ht="14.25" thickTop="1" thickBot="1">
      <c r="A849" s="267" t="str">
        <f t="shared" si="38"/>
        <v>ENEAS DE MOURA RIBAS</v>
      </c>
      <c r="B849" s="68" t="s">
        <v>62</v>
      </c>
      <c r="C849" s="66" t="s">
        <v>1082</v>
      </c>
      <c r="D849" s="69">
        <v>63410</v>
      </c>
      <c r="E849" s="62">
        <v>42551</v>
      </c>
      <c r="F849" s="285"/>
    </row>
    <row r="850" spans="1:6" ht="14.25" thickTop="1" thickBot="1">
      <c r="A850" s="267" t="str">
        <f t="shared" si="38"/>
        <v>ENIO DE MORAIS</v>
      </c>
      <c r="B850" s="68" t="s">
        <v>1306</v>
      </c>
      <c r="C850" s="66" t="s">
        <v>899</v>
      </c>
      <c r="D850" s="69">
        <v>10498</v>
      </c>
      <c r="E850" s="70">
        <v>43355</v>
      </c>
      <c r="F850" s="284"/>
    </row>
    <row r="851" spans="1:6" ht="14.25" thickTop="1" thickBot="1">
      <c r="A851" s="267" t="str">
        <f t="shared" si="38"/>
        <v>ENORI BRANDES                            (Polaco)</v>
      </c>
      <c r="B851" s="68" t="s">
        <v>62</v>
      </c>
      <c r="C851" s="60" t="s">
        <v>2158</v>
      </c>
      <c r="D851" s="61">
        <v>18690</v>
      </c>
      <c r="E851" s="70">
        <v>41742</v>
      </c>
      <c r="F851" s="284"/>
    </row>
    <row r="852" spans="1:6" ht="14.25" thickTop="1" thickBot="1">
      <c r="A852" s="267" t="str">
        <f t="shared" si="38"/>
        <v>ERAILDO APARECIDO MOREIRA</v>
      </c>
      <c r="B852" s="68" t="s">
        <v>15</v>
      </c>
      <c r="C852" s="66" t="s">
        <v>3208</v>
      </c>
      <c r="D852" s="61">
        <v>115652</v>
      </c>
      <c r="E852" s="70">
        <v>42909</v>
      </c>
      <c r="F852" s="284"/>
    </row>
    <row r="853" spans="1:6" ht="14.25" thickTop="1" thickBot="1">
      <c r="A853" s="267" t="str">
        <f t="shared" si="38"/>
        <v>ERASMO CARLOS RODRIGUES</v>
      </c>
      <c r="B853" s="68" t="s">
        <v>2347</v>
      </c>
      <c r="C853" s="66" t="s">
        <v>1620</v>
      </c>
      <c r="D853" s="61">
        <v>63831</v>
      </c>
      <c r="E853" s="62">
        <v>43346</v>
      </c>
      <c r="F853" s="285"/>
    </row>
    <row r="854" spans="1:6" ht="14.25" thickTop="1" thickBot="1">
      <c r="A854" s="267" t="str">
        <f t="shared" si="38"/>
        <v>EREMILTON EVANDERSON SILVA</v>
      </c>
      <c r="B854" s="68" t="s">
        <v>62</v>
      </c>
      <c r="C854" s="60" t="s">
        <v>2318</v>
      </c>
      <c r="D854" s="61">
        <v>53493</v>
      </c>
      <c r="E854" s="62">
        <v>39699</v>
      </c>
      <c r="F854" s="285"/>
    </row>
    <row r="855" spans="1:6" ht="14.25" thickTop="1" thickBot="1">
      <c r="A855" s="267" t="str">
        <f t="shared" si="38"/>
        <v>ERENILSON BATISTA VIDAL          (Dentinho)</v>
      </c>
      <c r="B855" s="68" t="s">
        <v>62</v>
      </c>
      <c r="C855" s="66" t="s">
        <v>1863</v>
      </c>
      <c r="D855" s="61">
        <v>18388</v>
      </c>
      <c r="E855" s="62">
        <v>42558</v>
      </c>
      <c r="F855" s="285"/>
    </row>
    <row r="856" spans="1:6" ht="14.25" thickTop="1" thickBot="1">
      <c r="A856" s="267" t="str">
        <f t="shared" si="38"/>
        <v>ERICK BOAVENTURA DE SOUZA</v>
      </c>
      <c r="B856" s="68" t="s">
        <v>62</v>
      </c>
      <c r="C856" s="66" t="s">
        <v>3209</v>
      </c>
      <c r="D856" s="65">
        <v>102260</v>
      </c>
      <c r="E856" s="62">
        <v>39938</v>
      </c>
      <c r="F856" s="285"/>
    </row>
    <row r="857" spans="1:6" ht="14.25" thickTop="1" thickBot="1">
      <c r="A857" s="267"/>
      <c r="B857" s="68" t="s">
        <v>2406</v>
      </c>
      <c r="C857" s="66" t="s">
        <v>1123</v>
      </c>
      <c r="D857" s="61">
        <v>21826</v>
      </c>
      <c r="E857" s="62">
        <v>43630</v>
      </c>
      <c r="F857" s="285"/>
    </row>
    <row r="858" spans="1:6" ht="14.25" thickTop="1" thickBot="1">
      <c r="A858" s="267"/>
      <c r="B858" s="61" t="s">
        <v>1812</v>
      </c>
      <c r="C858" s="60" t="s">
        <v>2488</v>
      </c>
      <c r="D858" s="61">
        <v>161881</v>
      </c>
      <c r="E858" s="70">
        <v>44076</v>
      </c>
      <c r="F858" s="284"/>
    </row>
    <row r="859" spans="1:6" ht="14.25" thickTop="1" thickBot="1">
      <c r="A859" s="267" t="str">
        <f>C860</f>
        <v>ERICKSON DIEGO MARTINS</v>
      </c>
      <c r="B859" s="68" t="s">
        <v>62</v>
      </c>
      <c r="C859" s="60" t="s">
        <v>2180</v>
      </c>
      <c r="D859" s="61">
        <v>142729</v>
      </c>
      <c r="E859" s="66"/>
      <c r="F859" s="289"/>
    </row>
    <row r="860" spans="1:6" ht="14.25" thickTop="1" thickBot="1">
      <c r="A860" s="267" t="str">
        <f>C861</f>
        <v xml:space="preserve">ERICKSON DIEGO MARTINS </v>
      </c>
      <c r="B860" s="68" t="s">
        <v>15</v>
      </c>
      <c r="C860" s="66" t="s">
        <v>1990</v>
      </c>
      <c r="D860" s="61">
        <v>125797</v>
      </c>
      <c r="E860" s="70">
        <v>43005</v>
      </c>
      <c r="F860" s="284"/>
    </row>
    <row r="861" spans="1:6" ht="14.25" thickTop="1" thickBot="1">
      <c r="A861" s="267"/>
      <c r="B861" s="68" t="s">
        <v>1812</v>
      </c>
      <c r="C861" s="66" t="s">
        <v>2307</v>
      </c>
      <c r="D861" s="61">
        <v>21826</v>
      </c>
      <c r="E861" s="62">
        <v>43748</v>
      </c>
      <c r="F861" s="285"/>
    </row>
    <row r="862" spans="1:6" ht="14.25" thickTop="1" thickBot="1">
      <c r="A862" s="267" t="str">
        <f t="shared" ref="A862:A870" si="39">C863</f>
        <v>ERICKSON RAFAEL BIASSIO MENDES             (Malcriado)</v>
      </c>
      <c r="B862" s="68" t="s">
        <v>62</v>
      </c>
      <c r="C862" s="66" t="s">
        <v>2053</v>
      </c>
      <c r="D862" s="61">
        <v>144914</v>
      </c>
      <c r="E862" s="62">
        <v>43084</v>
      </c>
      <c r="F862" s="293"/>
    </row>
    <row r="863" spans="1:6" ht="14.25" thickTop="1" thickBot="1">
      <c r="A863" s="267" t="str">
        <f t="shared" si="39"/>
        <v>ERICO ADRIANO RODRIGUES DOS SANTOS</v>
      </c>
      <c r="B863" s="68" t="s">
        <v>126</v>
      </c>
      <c r="C863" s="66" t="s">
        <v>3210</v>
      </c>
      <c r="D863" s="61">
        <v>122964</v>
      </c>
      <c r="E863" s="62">
        <v>40763</v>
      </c>
      <c r="F863" s="285"/>
    </row>
    <row r="864" spans="1:6" ht="14.25" thickTop="1" thickBot="1">
      <c r="A864" s="267" t="str">
        <f t="shared" si="39"/>
        <v>ERICO ANDRADE DINIZ</v>
      </c>
      <c r="B864" s="89" t="s">
        <v>2061</v>
      </c>
      <c r="C864" s="66" t="s">
        <v>1851</v>
      </c>
      <c r="D864" s="67"/>
      <c r="E864" s="62"/>
      <c r="F864" s="285"/>
    </row>
    <row r="865" spans="1:6" ht="14.25" thickTop="1" thickBot="1">
      <c r="A865" s="267" t="str">
        <f t="shared" si="39"/>
        <v xml:space="preserve">ERICO HERMES LUIS  </v>
      </c>
      <c r="B865" s="68" t="s">
        <v>62</v>
      </c>
      <c r="C865" s="66" t="s">
        <v>1994</v>
      </c>
      <c r="D865" s="61">
        <v>100453</v>
      </c>
      <c r="E865" s="62">
        <v>42101</v>
      </c>
      <c r="F865" s="285"/>
    </row>
    <row r="866" spans="1:6" ht="14.25" thickTop="1" thickBot="1">
      <c r="A866" s="272" t="str">
        <f t="shared" si="39"/>
        <v>ERICSON LUIS CARDOSO GASPAR DE ARAUJO    (Londrina)</v>
      </c>
      <c r="B866" s="68" t="s">
        <v>1812</v>
      </c>
      <c r="C866" s="64" t="s">
        <v>900</v>
      </c>
      <c r="D866" s="61">
        <v>13263</v>
      </c>
      <c r="E866" s="62">
        <v>41004</v>
      </c>
      <c r="F866" s="285"/>
    </row>
    <row r="867" spans="1:6" ht="14.25" thickTop="1" thickBot="1">
      <c r="A867" s="272" t="str">
        <f t="shared" si="39"/>
        <v>ERIEL COELHO</v>
      </c>
      <c r="B867" s="68" t="s">
        <v>62</v>
      </c>
      <c r="C867" s="66" t="s">
        <v>2928</v>
      </c>
      <c r="D867" s="67"/>
      <c r="E867" s="62">
        <v>41604</v>
      </c>
      <c r="F867" s="285"/>
    </row>
    <row r="868" spans="1:6" ht="14.25" thickTop="1" thickBot="1">
      <c r="A868" s="267" t="str">
        <f t="shared" si="39"/>
        <v>ERIEL RODRIGUES GONÇALVES</v>
      </c>
      <c r="B868" s="68" t="s">
        <v>25</v>
      </c>
      <c r="C868" s="66" t="s">
        <v>901</v>
      </c>
      <c r="D868" s="65">
        <v>69646</v>
      </c>
      <c r="E868" s="62">
        <v>42060</v>
      </c>
      <c r="F868" s="285"/>
    </row>
    <row r="869" spans="1:6" ht="14.25" thickTop="1" thickBot="1">
      <c r="A869" s="267" t="str">
        <f t="shared" si="39"/>
        <v>ERISSON FELIPE DA SILVA DE ALMEIDA</v>
      </c>
      <c r="B869" s="68" t="s">
        <v>62</v>
      </c>
      <c r="C869" s="64" t="s">
        <v>573</v>
      </c>
      <c r="D869" s="65">
        <v>69646</v>
      </c>
      <c r="E869" s="62">
        <v>42202</v>
      </c>
      <c r="F869" s="285"/>
    </row>
    <row r="870" spans="1:6" ht="14.25" thickTop="1" thickBot="1">
      <c r="A870" s="267" t="str">
        <f t="shared" si="39"/>
        <v>ERITON JOSE DA SILVA</v>
      </c>
      <c r="B870" s="68" t="s">
        <v>62</v>
      </c>
      <c r="C870" s="66" t="s">
        <v>498</v>
      </c>
      <c r="D870" s="312">
        <v>27131</v>
      </c>
      <c r="E870" s="62">
        <v>42954</v>
      </c>
      <c r="F870" s="285"/>
    </row>
    <row r="871" spans="1:6" ht="14.25" thickTop="1" thickBot="1">
      <c r="A871" s="267" t="s">
        <v>987</v>
      </c>
      <c r="B871" s="68" t="s">
        <v>2413</v>
      </c>
      <c r="C871" s="66" t="s">
        <v>585</v>
      </c>
      <c r="D871" s="65">
        <v>39053</v>
      </c>
      <c r="E871" s="62"/>
      <c r="F871" s="285"/>
    </row>
    <row r="872" spans="1:6" ht="14.25" thickTop="1" thickBot="1">
      <c r="A872" s="267" t="str">
        <f>C873</f>
        <v>ERLEI DE JESUS ZAMBILO</v>
      </c>
      <c r="B872" s="68" t="s">
        <v>1264</v>
      </c>
      <c r="C872" s="64" t="s">
        <v>987</v>
      </c>
      <c r="D872" s="65">
        <v>27252</v>
      </c>
      <c r="E872" s="70">
        <v>42331</v>
      </c>
      <c r="F872" s="284"/>
    </row>
    <row r="873" spans="1:6" ht="14.25" thickTop="1" thickBot="1">
      <c r="A873" s="267"/>
      <c r="B873" s="68" t="s">
        <v>98</v>
      </c>
      <c r="C873" s="66" t="s">
        <v>2195</v>
      </c>
      <c r="D873" s="65">
        <v>39053</v>
      </c>
      <c r="E873" s="70">
        <v>43599</v>
      </c>
      <c r="F873" s="285"/>
    </row>
    <row r="874" spans="1:6" ht="14.25" thickTop="1" thickBot="1">
      <c r="A874" s="267" t="str">
        <f t="shared" ref="A874:A882" si="40">C875</f>
        <v>ERLEI DE JESUS ZAMBILO    (Gringo)</v>
      </c>
      <c r="B874" s="68" t="s">
        <v>1306</v>
      </c>
      <c r="C874" s="66" t="s">
        <v>2929</v>
      </c>
      <c r="D874" s="61">
        <v>39053</v>
      </c>
      <c r="E874" s="62">
        <v>39615</v>
      </c>
      <c r="F874" s="285"/>
    </row>
    <row r="875" spans="1:6" ht="14.25" thickTop="1" thickBot="1">
      <c r="A875" s="267" t="str">
        <f t="shared" si="40"/>
        <v>ERNESTO APARECIDO DE LIMA</v>
      </c>
      <c r="B875" s="68" t="s">
        <v>98</v>
      </c>
      <c r="C875" s="66" t="s">
        <v>2930</v>
      </c>
      <c r="D875" s="61">
        <v>27203</v>
      </c>
      <c r="E875" s="62">
        <v>41326</v>
      </c>
      <c r="F875" s="285"/>
    </row>
    <row r="876" spans="1:6" ht="14.25" thickTop="1" thickBot="1">
      <c r="A876" s="267" t="str">
        <f t="shared" si="40"/>
        <v>ERON MAYEL TERNOSKI LEMES</v>
      </c>
      <c r="B876" s="68" t="s">
        <v>62</v>
      </c>
      <c r="C876" s="66" t="s">
        <v>1512</v>
      </c>
      <c r="D876" s="61">
        <v>101894</v>
      </c>
      <c r="E876" s="70">
        <v>42677</v>
      </c>
      <c r="F876" s="287"/>
    </row>
    <row r="877" spans="1:6" ht="14.25" thickTop="1" thickBot="1">
      <c r="A877" s="267" t="str">
        <f t="shared" si="40"/>
        <v>ESDRAS ANTUNES PEREIRA</v>
      </c>
      <c r="B877" s="163" t="s">
        <v>62</v>
      </c>
      <c r="C877" s="66" t="s">
        <v>1220</v>
      </c>
      <c r="D877" s="61">
        <v>24061</v>
      </c>
      <c r="E877" s="204">
        <v>43360</v>
      </c>
      <c r="F877" s="284"/>
    </row>
    <row r="878" spans="1:6" ht="14.25" thickTop="1" thickBot="1">
      <c r="A878" s="267" t="str">
        <f t="shared" si="40"/>
        <v>ESTANLEY DE OLIVEIRA</v>
      </c>
      <c r="B878" s="68" t="s">
        <v>62</v>
      </c>
      <c r="C878" s="60" t="s">
        <v>2314</v>
      </c>
      <c r="D878" s="61">
        <v>106702</v>
      </c>
      <c r="E878" s="62">
        <v>40177</v>
      </c>
      <c r="F878" s="285"/>
    </row>
    <row r="879" spans="1:6" ht="14.25" thickTop="1" thickBot="1">
      <c r="A879" s="267" t="str">
        <f t="shared" si="40"/>
        <v>ESTEFANO KRUCHAK NETO               (Ivai / Polaco)</v>
      </c>
      <c r="B879" s="68" t="s">
        <v>62</v>
      </c>
      <c r="C879" s="66" t="s">
        <v>1577</v>
      </c>
      <c r="D879" s="61">
        <v>27171</v>
      </c>
      <c r="E879" s="62" t="s">
        <v>2010</v>
      </c>
      <c r="F879" s="287"/>
    </row>
    <row r="880" spans="1:6" ht="14.25" thickTop="1" thickBot="1">
      <c r="A880" s="267" t="str">
        <f t="shared" si="40"/>
        <v>EUGENIO HENRIQUE DOS SANTOS</v>
      </c>
      <c r="B880" s="68" t="s">
        <v>1306</v>
      </c>
      <c r="C880" s="66" t="s">
        <v>3211</v>
      </c>
      <c r="D880" s="67"/>
      <c r="E880" s="62">
        <v>41205</v>
      </c>
      <c r="F880" s="285"/>
    </row>
    <row r="881" spans="1:6" ht="14.25" thickTop="1" thickBot="1">
      <c r="A881" s="267" t="str">
        <f t="shared" si="40"/>
        <v>EVAIR MOREIRA MAESS</v>
      </c>
      <c r="B881" s="61" t="s">
        <v>351</v>
      </c>
      <c r="C881" s="64" t="s">
        <v>931</v>
      </c>
      <c r="D881" s="67"/>
      <c r="E881" s="62">
        <v>43587</v>
      </c>
      <c r="F881" s="284"/>
    </row>
    <row r="882" spans="1:6" ht="14.25" thickTop="1" thickBot="1">
      <c r="A882" s="267" t="str">
        <f t="shared" si="40"/>
        <v>EVANDRO CARLOS</v>
      </c>
      <c r="B882" s="68" t="s">
        <v>62</v>
      </c>
      <c r="C882" s="60" t="s">
        <v>2712</v>
      </c>
      <c r="D882" s="61"/>
      <c r="E882" s="62">
        <v>41372</v>
      </c>
      <c r="F882" s="285"/>
    </row>
    <row r="883" spans="1:6" ht="14.25" thickTop="1" thickBot="1">
      <c r="A883" s="267"/>
      <c r="B883" s="68"/>
      <c r="C883" s="66" t="s">
        <v>1498</v>
      </c>
      <c r="D883" s="61">
        <v>58760</v>
      </c>
      <c r="E883" s="62">
        <v>43306</v>
      </c>
      <c r="F883" s="285"/>
    </row>
    <row r="884" spans="1:6" ht="14.25" thickTop="1" thickBot="1">
      <c r="A884" s="267" t="str">
        <f>C885</f>
        <v>EVANDRO DE OLIVEIRA MARCOLINO</v>
      </c>
      <c r="B884" s="68" t="s">
        <v>126</v>
      </c>
      <c r="C884" s="66" t="s">
        <v>2282</v>
      </c>
      <c r="D884" s="61">
        <v>149995</v>
      </c>
      <c r="E884" s="62">
        <v>41128</v>
      </c>
      <c r="F884" s="285"/>
    </row>
    <row r="885" spans="1:6" ht="14.25" thickTop="1" thickBot="1">
      <c r="A885" s="267" t="str">
        <f>C886</f>
        <v>EVANDRO FERREIRA ALFERES</v>
      </c>
      <c r="B885" s="68" t="s">
        <v>62</v>
      </c>
      <c r="C885" s="66" t="s">
        <v>1914</v>
      </c>
      <c r="D885" s="65">
        <v>63005</v>
      </c>
      <c r="E885" s="62">
        <v>42784</v>
      </c>
      <c r="F885" s="285"/>
    </row>
    <row r="886" spans="1:6" ht="14.25" thickTop="1" thickBot="1">
      <c r="A886" s="276"/>
      <c r="B886" s="68" t="s">
        <v>2413</v>
      </c>
      <c r="C886" s="192" t="s">
        <v>932</v>
      </c>
      <c r="D886" s="61">
        <v>430954</v>
      </c>
      <c r="E886" s="62">
        <v>44062</v>
      </c>
      <c r="F886" s="285"/>
    </row>
    <row r="887" spans="1:6" ht="14.25" thickTop="1" thickBot="1">
      <c r="A887" s="267" t="str">
        <f>C888</f>
        <v>EVANDRO JAILDO DE ALMEIDA</v>
      </c>
      <c r="B887" s="68"/>
      <c r="C887" s="66" t="s">
        <v>932</v>
      </c>
      <c r="D887" s="65">
        <v>27179</v>
      </c>
      <c r="E887" s="62">
        <v>41834</v>
      </c>
      <c r="F887" s="285"/>
    </row>
    <row r="888" spans="1:6" ht="14.25" thickTop="1" thickBot="1">
      <c r="A888" s="267"/>
      <c r="B888" s="61" t="s">
        <v>1812</v>
      </c>
      <c r="C888" s="77" t="s">
        <v>2421</v>
      </c>
      <c r="D888" s="61">
        <v>107309</v>
      </c>
      <c r="E888" s="70">
        <v>44076</v>
      </c>
      <c r="F888" s="284"/>
    </row>
    <row r="889" spans="1:6" ht="14.25" thickTop="1" thickBot="1">
      <c r="A889" s="267"/>
      <c r="B889" s="68" t="s">
        <v>1812</v>
      </c>
      <c r="C889" s="66" t="s">
        <v>3212</v>
      </c>
      <c r="D889" s="61">
        <v>28764</v>
      </c>
      <c r="E889" s="81">
        <v>43550</v>
      </c>
      <c r="F889" s="285"/>
    </row>
    <row r="890" spans="1:6" ht="14.25" thickTop="1" thickBot="1">
      <c r="A890" s="267" t="str">
        <f>C891</f>
        <v>EVANDRO SOARES SIQUEIRA     (Gordinho)</v>
      </c>
      <c r="B890" s="68" t="s">
        <v>1306</v>
      </c>
      <c r="C890" s="60" t="s">
        <v>1588</v>
      </c>
      <c r="D890" s="226">
        <v>101177</v>
      </c>
      <c r="E890" s="70">
        <v>42283</v>
      </c>
      <c r="F890" s="284"/>
    </row>
    <row r="891" spans="1:6" ht="14.25" thickTop="1" thickBot="1">
      <c r="A891" s="267" t="str">
        <f>C892</f>
        <v>EVANILSO ALVES VIEIRA              (Pão)</v>
      </c>
      <c r="B891" s="68" t="s">
        <v>62</v>
      </c>
      <c r="C891" s="66" t="s">
        <v>2931</v>
      </c>
      <c r="D891" s="65">
        <v>27126</v>
      </c>
      <c r="E891" s="62">
        <v>40745</v>
      </c>
      <c r="F891" s="285"/>
    </row>
    <row r="892" spans="1:6" ht="14.25" thickTop="1" thickBot="1">
      <c r="A892" s="267" t="s">
        <v>2397</v>
      </c>
      <c r="B892" s="68" t="s">
        <v>126</v>
      </c>
      <c r="C892" s="66" t="s">
        <v>3213</v>
      </c>
      <c r="D892" s="65">
        <v>63529</v>
      </c>
      <c r="E892" s="62">
        <v>43392</v>
      </c>
      <c r="F892" s="285"/>
    </row>
    <row r="893" spans="1:6" ht="14.25" thickTop="1" thickBot="1">
      <c r="A893" s="267" t="str">
        <f>C894</f>
        <v xml:space="preserve">EVERALDO DE LARA   </v>
      </c>
      <c r="B893" s="68" t="s">
        <v>62</v>
      </c>
      <c r="C893" s="60" t="s">
        <v>3214</v>
      </c>
      <c r="D893" s="61">
        <v>90957</v>
      </c>
      <c r="E893" s="62">
        <v>40864</v>
      </c>
      <c r="F893" s="285"/>
    </row>
    <row r="894" spans="1:6" ht="14.25" thickTop="1" thickBot="1">
      <c r="A894" s="267" t="str">
        <f>C895</f>
        <v>EVERALDO OLIVEIRA DE SANTANA</v>
      </c>
      <c r="B894" s="68" t="s">
        <v>2012</v>
      </c>
      <c r="C894" s="66" t="s">
        <v>933</v>
      </c>
      <c r="D894" s="61">
        <v>121196</v>
      </c>
      <c r="E894" s="62">
        <v>39938</v>
      </c>
      <c r="F894" s="285"/>
    </row>
    <row r="895" spans="1:6" ht="14.25" thickTop="1" thickBot="1">
      <c r="A895" s="267" t="str">
        <f>C896</f>
        <v>EVERLIN JORDÃO DE FREITAS     (Magrâo)</v>
      </c>
      <c r="B895" s="68" t="s">
        <v>62</v>
      </c>
      <c r="C895" s="66" t="s">
        <v>2011</v>
      </c>
      <c r="D895" s="65">
        <v>27005</v>
      </c>
      <c r="E895" s="70">
        <v>42271</v>
      </c>
      <c r="F895" s="284"/>
    </row>
    <row r="896" spans="1:6" ht="14.25" thickTop="1" thickBot="1">
      <c r="A896" s="267" t="s">
        <v>1676</v>
      </c>
      <c r="B896" s="68" t="s">
        <v>126</v>
      </c>
      <c r="C896" s="64" t="s">
        <v>2932</v>
      </c>
      <c r="D896" s="61">
        <v>102463</v>
      </c>
      <c r="E896" s="70">
        <v>43398</v>
      </c>
      <c r="F896" s="284"/>
    </row>
    <row r="897" spans="1:6" ht="14.25" thickTop="1" thickBot="1">
      <c r="A897" s="267" t="str">
        <f>C898</f>
        <v>EVERSON DA SILVA</v>
      </c>
      <c r="B897" s="68" t="s">
        <v>62</v>
      </c>
      <c r="C897" s="64" t="s">
        <v>2932</v>
      </c>
      <c r="D897" s="61">
        <v>102463</v>
      </c>
      <c r="E897" s="62">
        <v>42914</v>
      </c>
      <c r="F897" s="285"/>
    </row>
    <row r="898" spans="1:6" ht="14.25" thickTop="1" thickBot="1">
      <c r="A898" s="267" t="str">
        <f>C899</f>
        <v>EVERSON DA SILVA</v>
      </c>
      <c r="B898" s="68" t="s">
        <v>62</v>
      </c>
      <c r="C898" s="66" t="s">
        <v>1626</v>
      </c>
      <c r="D898" s="65">
        <v>101874</v>
      </c>
      <c r="E898" s="70">
        <v>43006</v>
      </c>
      <c r="F898" s="284"/>
    </row>
    <row r="899" spans="1:6" ht="14.25" thickTop="1" thickBot="1">
      <c r="A899" s="267" t="str">
        <f>C901</f>
        <v>EVERSON FERNANDO FERREIRA DA SILVA</v>
      </c>
      <c r="B899" s="68" t="s">
        <v>2406</v>
      </c>
      <c r="C899" s="66" t="s">
        <v>1626</v>
      </c>
      <c r="D899" s="61">
        <v>102177</v>
      </c>
      <c r="E899" s="62">
        <v>43669</v>
      </c>
      <c r="F899" s="285"/>
    </row>
    <row r="900" spans="1:6" ht="14.25" thickTop="1" thickBot="1">
      <c r="A900" s="267" t="str">
        <f>C901</f>
        <v>EVERSON FERNANDO FERREIRA DA SILVA</v>
      </c>
      <c r="B900" s="89" t="s">
        <v>62</v>
      </c>
      <c r="C900" s="66" t="s">
        <v>1759</v>
      </c>
      <c r="D900" s="88">
        <v>101874</v>
      </c>
      <c r="E900" s="70">
        <v>42523</v>
      </c>
      <c r="F900" s="287"/>
    </row>
    <row r="901" spans="1:6" ht="14.25" thickTop="1" thickBot="1">
      <c r="A901" s="267" t="str">
        <f>C902</f>
        <v>EVERSON LUIS DE LIMA                 (Chuck)</v>
      </c>
      <c r="B901" s="68" t="s">
        <v>1306</v>
      </c>
      <c r="C901" s="78" t="s">
        <v>1759</v>
      </c>
      <c r="D901" s="61">
        <v>7042</v>
      </c>
      <c r="E901" s="62">
        <v>41669</v>
      </c>
      <c r="F901" s="294"/>
    </row>
    <row r="902" spans="1:6" ht="14.25" thickTop="1" thickBot="1">
      <c r="A902" s="267" t="str">
        <f>C903</f>
        <v>EVERSON LUIS DOS SANTOS</v>
      </c>
      <c r="B902" s="68" t="s">
        <v>62</v>
      </c>
      <c r="C902" s="66" t="s">
        <v>3216</v>
      </c>
      <c r="D902" s="69">
        <v>63952</v>
      </c>
      <c r="E902" s="62">
        <v>40242</v>
      </c>
      <c r="F902" s="285"/>
    </row>
    <row r="903" spans="1:6" ht="14.25" thickTop="1" thickBot="1">
      <c r="A903" s="267"/>
      <c r="B903" s="68" t="s">
        <v>1522</v>
      </c>
      <c r="C903" s="64" t="s">
        <v>3739</v>
      </c>
      <c r="D903" s="61">
        <v>501110</v>
      </c>
      <c r="E903" s="70">
        <v>44156</v>
      </c>
      <c r="F903" s="287"/>
    </row>
    <row r="904" spans="1:6" ht="14.25" thickTop="1" thickBot="1">
      <c r="A904" s="267"/>
      <c r="B904" s="68"/>
      <c r="C904" s="130" t="s">
        <v>2701</v>
      </c>
      <c r="D904" s="117">
        <v>165539</v>
      </c>
      <c r="E904" s="70">
        <v>44158</v>
      </c>
      <c r="F904" s="287"/>
    </row>
    <row r="905" spans="1:6" ht="14.25" thickTop="1" thickBot="1">
      <c r="A905" s="267"/>
      <c r="B905" s="68"/>
      <c r="C905" s="606" t="s">
        <v>3736</v>
      </c>
      <c r="D905" s="117">
        <v>101659</v>
      </c>
      <c r="E905" s="70">
        <v>44158</v>
      </c>
      <c r="F905" s="287"/>
    </row>
    <row r="906" spans="1:6" ht="14.25" thickTop="1" thickBot="1">
      <c r="A906" s="267"/>
      <c r="B906" s="68"/>
      <c r="C906" s="130" t="s">
        <v>2778</v>
      </c>
      <c r="D906" s="117">
        <v>132684</v>
      </c>
      <c r="E906" s="70">
        <v>44158</v>
      </c>
      <c r="F906" s="287"/>
    </row>
    <row r="907" spans="1:6" ht="14.25" thickTop="1" thickBot="1">
      <c r="A907" s="267"/>
      <c r="B907" s="68"/>
      <c r="C907" s="131" t="s">
        <v>1239</v>
      </c>
      <c r="D907" s="117">
        <v>101669</v>
      </c>
      <c r="E907" s="70">
        <v>44158</v>
      </c>
      <c r="F907" s="287"/>
    </row>
    <row r="908" spans="1:6" ht="14.25" thickTop="1" thickBot="1">
      <c r="A908" s="267"/>
      <c r="B908" s="68"/>
      <c r="C908" s="637" t="s">
        <v>3745</v>
      </c>
      <c r="D908" s="638">
        <v>9208</v>
      </c>
      <c r="E908" s="70">
        <v>44158</v>
      </c>
      <c r="F908" s="287"/>
    </row>
    <row r="909" spans="1:6" ht="14.25" thickTop="1" thickBot="1">
      <c r="A909" s="267"/>
      <c r="B909" s="68" t="s">
        <v>2413</v>
      </c>
      <c r="C909" s="64" t="s">
        <v>3215</v>
      </c>
      <c r="D909" s="61">
        <v>7042</v>
      </c>
      <c r="E909" s="70">
        <v>43693</v>
      </c>
      <c r="F909" s="287"/>
    </row>
    <row r="910" spans="1:6" ht="14.25" thickTop="1" thickBot="1">
      <c r="A910" s="267"/>
      <c r="B910" s="68" t="s">
        <v>1264</v>
      </c>
      <c r="C910" s="78" t="s">
        <v>2480</v>
      </c>
      <c r="D910" s="82"/>
      <c r="E910" s="62">
        <v>43508</v>
      </c>
      <c r="F910" s="285"/>
    </row>
    <row r="911" spans="1:6" ht="14.25" thickTop="1" thickBot="1">
      <c r="A911" s="267" t="str">
        <f>C912</f>
        <v>EVERSON RIBEIRO PINTO</v>
      </c>
      <c r="B911" s="61" t="s">
        <v>351</v>
      </c>
      <c r="C911" s="66" t="s">
        <v>223</v>
      </c>
      <c r="D911" s="67"/>
      <c r="E911" s="62">
        <v>43383</v>
      </c>
      <c r="F911" s="284"/>
    </row>
    <row r="912" spans="1:6" ht="14.25" thickTop="1" thickBot="1">
      <c r="A912" s="267" t="str">
        <f>C913</f>
        <v>EVERSON RODRIGO DE OLIVEIRA</v>
      </c>
      <c r="B912" s="68" t="s">
        <v>62</v>
      </c>
      <c r="C912" s="77" t="s">
        <v>2289</v>
      </c>
      <c r="D912" s="61">
        <v>142282</v>
      </c>
      <c r="E912" s="62">
        <v>41691</v>
      </c>
      <c r="F912" s="285"/>
    </row>
    <row r="913" spans="1:6" ht="14.25" thickTop="1" thickBot="1">
      <c r="A913" s="267" t="s">
        <v>2665</v>
      </c>
      <c r="B913" s="68" t="s">
        <v>2413</v>
      </c>
      <c r="C913" s="66" t="s">
        <v>1327</v>
      </c>
      <c r="D913" s="61">
        <v>101524</v>
      </c>
      <c r="E913" s="62"/>
      <c r="F913" s="285"/>
    </row>
    <row r="914" spans="1:6" ht="14.25" thickTop="1" thickBot="1">
      <c r="A914" s="267" t="str">
        <f>C916</f>
        <v xml:space="preserve">EVERSON RODRIGO GREGORIO </v>
      </c>
      <c r="B914" s="68" t="s">
        <v>3508</v>
      </c>
      <c r="C914" s="64" t="s">
        <v>3509</v>
      </c>
      <c r="D914" s="65">
        <v>146527</v>
      </c>
      <c r="E914" s="70">
        <v>44021</v>
      </c>
      <c r="F914" s="287" t="s">
        <v>1812</v>
      </c>
    </row>
    <row r="915" spans="1:6" ht="14.25" thickTop="1" thickBot="1">
      <c r="A915" s="267"/>
      <c r="B915" s="68" t="s">
        <v>2413</v>
      </c>
      <c r="C915" s="64" t="s">
        <v>2628</v>
      </c>
      <c r="D915" s="61"/>
      <c r="E915" s="70">
        <v>43544</v>
      </c>
      <c r="F915" s="284"/>
    </row>
    <row r="916" spans="1:6" ht="14.25" thickTop="1" thickBot="1">
      <c r="A916" s="267" t="str">
        <f>C917</f>
        <v>EVERTON ALEXANDRE DA SILVA</v>
      </c>
      <c r="B916" s="68" t="s">
        <v>62</v>
      </c>
      <c r="C916" s="60" t="s">
        <v>2628</v>
      </c>
      <c r="D916" s="61">
        <v>302087</v>
      </c>
      <c r="E916" s="62">
        <v>40866</v>
      </c>
      <c r="F916" s="285"/>
    </row>
    <row r="917" spans="1:6" ht="14.25" thickTop="1" thickBot="1">
      <c r="A917" s="267" t="str">
        <f>C918</f>
        <v>EVERTON CARDOSO                        (Tom)</v>
      </c>
      <c r="B917" s="68" t="s">
        <v>62</v>
      </c>
      <c r="C917" s="66" t="s">
        <v>1234</v>
      </c>
      <c r="D917" s="61">
        <v>121276</v>
      </c>
      <c r="E917" s="62">
        <v>40702</v>
      </c>
      <c r="F917" s="285"/>
    </row>
    <row r="918" spans="1:6" ht="14.25" thickTop="1" thickBot="1">
      <c r="A918" s="267" t="str">
        <f>C919</f>
        <v>EVERTON CARNEIRO ALVES</v>
      </c>
      <c r="B918" s="67" t="s">
        <v>1522</v>
      </c>
      <c r="C918" s="66" t="s">
        <v>3218</v>
      </c>
      <c r="D918" s="65">
        <v>10840</v>
      </c>
      <c r="E918" s="62">
        <v>40676</v>
      </c>
      <c r="F918" s="285"/>
    </row>
    <row r="919" spans="1:6" ht="14.25" thickTop="1" thickBot="1">
      <c r="A919" s="267" t="str">
        <f>C920</f>
        <v>EVERTON CLAYTON DE OLIVEIRA</v>
      </c>
      <c r="B919" s="68" t="s">
        <v>546</v>
      </c>
      <c r="C919" s="66" t="s">
        <v>652</v>
      </c>
      <c r="D919" s="312">
        <v>63856</v>
      </c>
      <c r="E919" s="62">
        <v>40928</v>
      </c>
      <c r="F919" s="285"/>
    </row>
    <row r="920" spans="1:6" ht="14.25" thickTop="1" thickBot="1">
      <c r="A920" s="267" t="str">
        <f>C921</f>
        <v>EVERTON EVANDRO VIEIRA           ( Bastião / Piloto / Falcão)</v>
      </c>
      <c r="B920" s="68" t="s">
        <v>516</v>
      </c>
      <c r="C920" s="66" t="s">
        <v>852</v>
      </c>
      <c r="D920" s="61">
        <v>27241</v>
      </c>
      <c r="E920" s="62">
        <v>40689</v>
      </c>
      <c r="F920" s="285"/>
    </row>
    <row r="921" spans="1:6" ht="14.25" thickTop="1" thickBot="1">
      <c r="A921" s="267" t="str">
        <f>C923</f>
        <v>EVERTON JHONES MARTINS</v>
      </c>
      <c r="B921" s="68" t="s">
        <v>62</v>
      </c>
      <c r="C921" s="66" t="s">
        <v>3217</v>
      </c>
      <c r="D921" s="65">
        <v>27101</v>
      </c>
      <c r="E921" s="62">
        <v>42474</v>
      </c>
      <c r="F921" s="285"/>
    </row>
    <row r="922" spans="1:6" ht="14.25" thickTop="1" thickBot="1">
      <c r="A922" s="267" t="s">
        <v>2602</v>
      </c>
      <c r="B922" s="68" t="s">
        <v>1812</v>
      </c>
      <c r="C922" s="264" t="s">
        <v>2602</v>
      </c>
      <c r="D922" s="61">
        <v>104836</v>
      </c>
      <c r="E922" s="62">
        <v>43791</v>
      </c>
      <c r="F922" s="285"/>
    </row>
    <row r="923" spans="1:6" ht="14.25" thickTop="1" thickBot="1">
      <c r="A923" s="267" t="str">
        <f>C924</f>
        <v>EVERTON LUIZ DOS SANTOS</v>
      </c>
      <c r="B923" s="68" t="s">
        <v>62</v>
      </c>
      <c r="C923" s="66" t="s">
        <v>1452</v>
      </c>
      <c r="D923" s="65">
        <v>63638</v>
      </c>
      <c r="E923" s="62">
        <v>42927</v>
      </c>
      <c r="F923" s="285"/>
    </row>
    <row r="924" spans="1:6" ht="14.25" thickTop="1" thickBot="1">
      <c r="A924" s="267" t="str">
        <f>C935</f>
        <v>EZEQUIEL PEREIRA RODRIGUES</v>
      </c>
      <c r="B924" s="68" t="s">
        <v>2413</v>
      </c>
      <c r="C924" s="192" t="s">
        <v>1629</v>
      </c>
      <c r="D924" s="61">
        <v>102174</v>
      </c>
      <c r="E924" s="70">
        <v>43847</v>
      </c>
      <c r="F924" s="284"/>
    </row>
    <row r="925" spans="1:6" ht="14.25" thickTop="1" thickBot="1">
      <c r="A925" s="267" t="str">
        <f>C926</f>
        <v>EVERTON SINGER DOS SANTOS</v>
      </c>
      <c r="B925" s="68" t="s">
        <v>1812</v>
      </c>
      <c r="C925" s="66" t="s">
        <v>2933</v>
      </c>
      <c r="D925" s="61">
        <v>123010</v>
      </c>
      <c r="E925" s="62">
        <v>41624</v>
      </c>
      <c r="F925" s="285"/>
    </row>
    <row r="926" spans="1:6" ht="14.25" thickTop="1" thickBot="1">
      <c r="A926" s="267" t="str">
        <f>C927</f>
        <v>EWERTON BABI RIBEIRO</v>
      </c>
      <c r="B926" s="68" t="s">
        <v>62</v>
      </c>
      <c r="C926" s="66" t="s">
        <v>2021</v>
      </c>
      <c r="D926" s="65">
        <v>53583</v>
      </c>
      <c r="E926" s="62">
        <v>39503</v>
      </c>
      <c r="F926" s="285"/>
    </row>
    <row r="927" spans="1:6" ht="14.25" thickTop="1" thickBot="1">
      <c r="A927" s="267"/>
      <c r="B927" s="68"/>
      <c r="C927" s="60" t="s">
        <v>2476</v>
      </c>
      <c r="D927" s="61">
        <v>161755</v>
      </c>
      <c r="E927" s="62"/>
      <c r="F927" s="285"/>
    </row>
    <row r="928" spans="1:6" ht="14.25" thickTop="1" thickBot="1">
      <c r="A928" s="267" t="str">
        <f t="shared" ref="A928:A933" si="41">C929</f>
        <v>EZAQUEU MOREIRA DA LUZ</v>
      </c>
      <c r="B928" s="68" t="s">
        <v>846</v>
      </c>
      <c r="C928" s="66" t="s">
        <v>3219</v>
      </c>
      <c r="D928" s="65">
        <v>27008</v>
      </c>
      <c r="E928" s="62">
        <v>40553</v>
      </c>
      <c r="F928" s="285"/>
    </row>
    <row r="929" spans="1:6" ht="14.25" thickTop="1" thickBot="1">
      <c r="A929" s="267" t="str">
        <f t="shared" si="41"/>
        <v>EZEQUIEL COSTA JUNIOR</v>
      </c>
      <c r="B929" s="68" t="s">
        <v>62</v>
      </c>
      <c r="C929" s="66" t="s">
        <v>10</v>
      </c>
      <c r="D929" s="65">
        <v>47559</v>
      </c>
      <c r="E929" s="62">
        <v>40893</v>
      </c>
      <c r="F929" s="285"/>
    </row>
    <row r="930" spans="1:6" ht="14.25" thickTop="1" thickBot="1">
      <c r="A930" s="267" t="str">
        <f t="shared" si="41"/>
        <v>EZEQUIEL DE QUADROS</v>
      </c>
      <c r="B930" s="68" t="s">
        <v>62</v>
      </c>
      <c r="C930" s="66" t="s">
        <v>487</v>
      </c>
      <c r="D930" s="61">
        <v>11850</v>
      </c>
      <c r="E930" s="62">
        <v>43084</v>
      </c>
      <c r="F930" s="293"/>
    </row>
    <row r="931" spans="1:6" ht="14.25" thickTop="1" thickBot="1">
      <c r="A931" s="267" t="str">
        <f t="shared" si="41"/>
        <v>EZEQUIEL DE SOUZA</v>
      </c>
      <c r="B931" s="68" t="s">
        <v>62</v>
      </c>
      <c r="C931" s="66" t="s">
        <v>2037</v>
      </c>
      <c r="D931" s="61">
        <v>117320</v>
      </c>
      <c r="E931" s="62"/>
      <c r="F931" s="285"/>
    </row>
    <row r="932" spans="1:6" ht="14.25" thickTop="1" thickBot="1">
      <c r="A932" s="267" t="str">
        <f t="shared" si="41"/>
        <v>EZEQUIEL MARTINS                         (Pãozinho)</v>
      </c>
      <c r="B932" s="68" t="s">
        <v>62</v>
      </c>
      <c r="C932" s="66" t="s">
        <v>1421</v>
      </c>
      <c r="D932" s="61">
        <v>27285</v>
      </c>
      <c r="E932" s="62">
        <v>41380</v>
      </c>
      <c r="F932" s="285"/>
    </row>
    <row r="933" spans="1:6" ht="14.25" thickTop="1" thickBot="1">
      <c r="A933" s="267" t="str">
        <f t="shared" si="41"/>
        <v xml:space="preserve">EZEQUIEL OLIVEIRA DOS SANTOS </v>
      </c>
      <c r="B933" s="68" t="s">
        <v>1298</v>
      </c>
      <c r="C933" s="66" t="s">
        <v>3220</v>
      </c>
      <c r="D933" s="67"/>
      <c r="E933" s="62">
        <v>39285</v>
      </c>
      <c r="F933" s="285"/>
    </row>
    <row r="934" spans="1:6" ht="14.25" thickTop="1" thickBot="1">
      <c r="A934" s="273" t="s">
        <v>2606</v>
      </c>
      <c r="B934" s="68" t="s">
        <v>62</v>
      </c>
      <c r="C934" s="64" t="s">
        <v>934</v>
      </c>
      <c r="D934" s="65">
        <v>63989</v>
      </c>
      <c r="E934" s="70"/>
      <c r="F934" s="284"/>
    </row>
    <row r="935" spans="1:6" ht="14.25" thickTop="1" thickBot="1">
      <c r="A935" s="267" t="str">
        <f>C936</f>
        <v>EZEQUIEL PINTO MARTINS</v>
      </c>
      <c r="B935" s="68" t="s">
        <v>62</v>
      </c>
      <c r="C935" s="193" t="s">
        <v>2606</v>
      </c>
      <c r="D935" s="67"/>
      <c r="E935" s="81">
        <v>40288</v>
      </c>
      <c r="F935" s="285"/>
    </row>
    <row r="936" spans="1:6" ht="14.25" thickTop="1" thickBot="1">
      <c r="A936" s="267" t="s">
        <v>2599</v>
      </c>
      <c r="B936" s="68" t="s">
        <v>603</v>
      </c>
      <c r="C936" s="66" t="s">
        <v>399</v>
      </c>
      <c r="D936" s="65">
        <v>63865</v>
      </c>
      <c r="E936" s="70">
        <v>43560</v>
      </c>
      <c r="F936" s="284"/>
    </row>
    <row r="937" spans="1:6" ht="14.25" thickTop="1" thickBot="1">
      <c r="A937" s="267" t="str">
        <f t="shared" ref="A937:A946" si="42">C938</f>
        <v>EZIQUIEL BATISTA DE FRANÇA</v>
      </c>
      <c r="B937" s="68" t="s">
        <v>62</v>
      </c>
      <c r="C937" s="194" t="s">
        <v>2599</v>
      </c>
      <c r="D937" s="65"/>
      <c r="E937" s="62">
        <v>39381</v>
      </c>
      <c r="F937" s="285"/>
    </row>
    <row r="938" spans="1:6" ht="14.25" thickTop="1" thickBot="1">
      <c r="A938" s="267" t="str">
        <f t="shared" si="42"/>
        <v>EZIQUIEL COSTA JUNIOR</v>
      </c>
      <c r="B938" s="68" t="s">
        <v>62</v>
      </c>
      <c r="C938" s="64" t="s">
        <v>554</v>
      </c>
      <c r="D938" s="67"/>
      <c r="E938" s="70">
        <v>42304</v>
      </c>
      <c r="F938" s="284"/>
    </row>
    <row r="939" spans="1:6" ht="14.25" thickTop="1" thickBot="1">
      <c r="A939" s="267" t="str">
        <f t="shared" si="42"/>
        <v>FABIANO ALVES DA MAIAR MOTTO</v>
      </c>
      <c r="B939" s="68" t="s">
        <v>62</v>
      </c>
      <c r="C939" s="66" t="s">
        <v>1277</v>
      </c>
      <c r="D939" s="65">
        <v>63563</v>
      </c>
      <c r="E939" s="70">
        <v>42922</v>
      </c>
      <c r="F939" s="284"/>
    </row>
    <row r="940" spans="1:6" ht="14.25" thickTop="1" thickBot="1">
      <c r="A940" s="267" t="str">
        <f t="shared" si="42"/>
        <v>FABIANO CORREIA DE LIMA               ( Magneto )</v>
      </c>
      <c r="B940" s="68" t="s">
        <v>2347</v>
      </c>
      <c r="C940" s="66" t="s">
        <v>935</v>
      </c>
      <c r="D940" s="61">
        <v>109226</v>
      </c>
      <c r="E940" s="62">
        <v>43346</v>
      </c>
      <c r="F940" s="285"/>
    </row>
    <row r="941" spans="1:6" ht="14.25" thickTop="1" thickBot="1">
      <c r="A941" s="267" t="str">
        <f t="shared" si="42"/>
        <v>FABIANO CORREIA DOS SANTOS</v>
      </c>
      <c r="B941" s="68" t="s">
        <v>62</v>
      </c>
      <c r="C941" s="78" t="s">
        <v>3221</v>
      </c>
      <c r="D941" s="61"/>
      <c r="E941" s="62">
        <v>41417</v>
      </c>
      <c r="F941" s="285"/>
    </row>
    <row r="942" spans="1:6" ht="14.25" thickTop="1" thickBot="1">
      <c r="A942" s="267" t="str">
        <f t="shared" si="42"/>
        <v>FABIANO DE SOUZA DOS APOSTOLOS</v>
      </c>
      <c r="B942" s="68" t="s">
        <v>546</v>
      </c>
      <c r="C942" s="66" t="s">
        <v>1807</v>
      </c>
      <c r="D942" s="67"/>
      <c r="E942" s="62">
        <v>42327</v>
      </c>
      <c r="F942" s="285"/>
    </row>
    <row r="943" spans="1:6" ht="14.25" thickTop="1" thickBot="1">
      <c r="A943" s="267" t="str">
        <f t="shared" si="42"/>
        <v>FABIANO FANTONI DOS SANTOS</v>
      </c>
      <c r="B943" s="68" t="s">
        <v>62</v>
      </c>
      <c r="C943" s="66" t="s">
        <v>653</v>
      </c>
      <c r="D943" s="69">
        <v>54266</v>
      </c>
      <c r="E943" s="62">
        <v>41417</v>
      </c>
      <c r="F943" s="285"/>
    </row>
    <row r="944" spans="1:6" ht="14.25" thickTop="1" thickBot="1">
      <c r="A944" s="267" t="str">
        <f t="shared" si="42"/>
        <v>FABIANO GLINSKI</v>
      </c>
      <c r="B944" s="68" t="s">
        <v>62</v>
      </c>
      <c r="C944" s="66" t="s">
        <v>193</v>
      </c>
      <c r="D944" s="67"/>
      <c r="E944" s="62">
        <v>42591</v>
      </c>
      <c r="F944" s="285"/>
    </row>
    <row r="945" spans="1:6" ht="14.25" thickTop="1" thickBot="1">
      <c r="A945" s="267" t="str">
        <f t="shared" si="42"/>
        <v>FABIANO MONTEIRO ANTUNES</v>
      </c>
      <c r="B945" s="68" t="s">
        <v>546</v>
      </c>
      <c r="C945" s="66" t="s">
        <v>654</v>
      </c>
      <c r="D945" s="61">
        <v>101808</v>
      </c>
      <c r="E945" s="62">
        <v>41821</v>
      </c>
      <c r="F945" s="286"/>
    </row>
    <row r="946" spans="1:6" ht="14.25" thickTop="1" thickBot="1">
      <c r="A946" s="267" t="str">
        <f t="shared" si="42"/>
        <v>FABIANO PERINOTTI DE RAMOS</v>
      </c>
      <c r="B946" s="68" t="s">
        <v>62</v>
      </c>
      <c r="C946" s="66" t="s">
        <v>453</v>
      </c>
      <c r="D946" s="67"/>
      <c r="E946" s="62">
        <v>41991</v>
      </c>
      <c r="F946" s="285"/>
    </row>
    <row r="947" spans="1:6" ht="14.25" thickTop="1" thickBot="1">
      <c r="A947" s="267" t="s">
        <v>2398</v>
      </c>
      <c r="B947" s="68" t="s">
        <v>126</v>
      </c>
      <c r="C947" s="66" t="s">
        <v>936</v>
      </c>
      <c r="D947" s="67"/>
      <c r="E947" s="62">
        <v>43398</v>
      </c>
      <c r="F947" s="285"/>
    </row>
    <row r="948" spans="1:6" ht="14.25" thickTop="1" thickBot="1">
      <c r="A948" s="267"/>
      <c r="B948" s="68" t="s">
        <v>546</v>
      </c>
      <c r="C948" s="60" t="s">
        <v>2934</v>
      </c>
      <c r="D948" s="61">
        <v>4408</v>
      </c>
      <c r="E948" s="62">
        <v>41778</v>
      </c>
      <c r="F948" s="285"/>
    </row>
    <row r="949" spans="1:6" ht="14.25" thickTop="1" thickBot="1">
      <c r="A949" s="267" t="str">
        <f>C950</f>
        <v>FABIANO WENGLAREK FERREIRA</v>
      </c>
      <c r="B949" s="68" t="s">
        <v>62</v>
      </c>
      <c r="C949" s="66" t="s">
        <v>235</v>
      </c>
      <c r="D949" s="65">
        <v>101665</v>
      </c>
      <c r="E949" s="70">
        <v>42909</v>
      </c>
      <c r="F949" s="284"/>
    </row>
    <row r="950" spans="1:6" ht="14.25" thickTop="1" thickBot="1">
      <c r="A950" s="267" t="str">
        <f>C951</f>
        <v>FABIO ALVES DE SOUZA</v>
      </c>
      <c r="B950" s="68" t="s">
        <v>62</v>
      </c>
      <c r="C950" s="64" t="s">
        <v>1223</v>
      </c>
      <c r="D950" s="65">
        <v>100617</v>
      </c>
      <c r="E950" s="70">
        <v>42922</v>
      </c>
      <c r="F950" s="284"/>
    </row>
    <row r="951" spans="1:6" ht="14.25" thickTop="1" thickBot="1">
      <c r="A951" s="267" t="str">
        <f>C952</f>
        <v>FABIO ANTONIO DE OLIVEIRA FERREIRA    (Passarinho)</v>
      </c>
      <c r="B951" s="68" t="s">
        <v>62</v>
      </c>
      <c r="C951" s="66" t="s">
        <v>255</v>
      </c>
      <c r="D951" s="61">
        <v>106334</v>
      </c>
      <c r="E951" s="62">
        <v>40854</v>
      </c>
      <c r="F951" s="285"/>
    </row>
    <row r="952" spans="1:6" ht="14.25" thickTop="1" thickBot="1">
      <c r="A952" s="267" t="str">
        <f>C954</f>
        <v>FABIO APARECIDO LOPES</v>
      </c>
      <c r="B952" s="68" t="s">
        <v>62</v>
      </c>
      <c r="C952" s="184" t="s">
        <v>2935</v>
      </c>
      <c r="D952" s="65">
        <v>63556</v>
      </c>
      <c r="E952" s="62">
        <v>39231</v>
      </c>
      <c r="F952" s="285"/>
    </row>
    <row r="953" spans="1:6" ht="14.25" thickTop="1" thickBot="1">
      <c r="A953" s="267"/>
      <c r="B953" s="61" t="s">
        <v>3630</v>
      </c>
      <c r="C953" s="77" t="s">
        <v>2028</v>
      </c>
      <c r="D953" s="61">
        <v>101959</v>
      </c>
      <c r="E953" s="70">
        <v>44123</v>
      </c>
      <c r="F953" s="405"/>
    </row>
    <row r="954" spans="1:6" ht="14.25" thickTop="1" thickBot="1">
      <c r="A954" s="267" t="str">
        <f>C955</f>
        <v>FABIO AUGUSTO BARRETO</v>
      </c>
      <c r="B954" s="68" t="s">
        <v>62</v>
      </c>
      <c r="C954" s="64" t="s">
        <v>656</v>
      </c>
      <c r="D954" s="61">
        <v>101625</v>
      </c>
      <c r="E954" s="62">
        <v>40326</v>
      </c>
      <c r="F954" s="285"/>
    </row>
    <row r="955" spans="1:6" ht="14.25" thickTop="1" thickBot="1">
      <c r="A955" s="267" t="str">
        <f>C956</f>
        <v>FABIO AURELIO FERREIRA</v>
      </c>
      <c r="B955" s="68" t="s">
        <v>1306</v>
      </c>
      <c r="C955" s="66" t="s">
        <v>531</v>
      </c>
      <c r="D955" s="65">
        <v>11212</v>
      </c>
      <c r="E955" s="70">
        <v>43355</v>
      </c>
      <c r="F955" s="284"/>
    </row>
    <row r="956" spans="1:6" ht="14.25" thickTop="1" thickBot="1">
      <c r="A956" s="267" t="str">
        <f>C957</f>
        <v>FABIO CANDIDO DOS SANTOS</v>
      </c>
      <c r="B956" s="68" t="s">
        <v>1306</v>
      </c>
      <c r="C956" s="60" t="s">
        <v>1036</v>
      </c>
      <c r="D956" s="61">
        <v>102364</v>
      </c>
      <c r="E956" s="70">
        <v>42492</v>
      </c>
      <c r="F956" s="284"/>
    </row>
    <row r="957" spans="1:6" ht="14.25" thickTop="1" thickBot="1">
      <c r="A957" s="267"/>
      <c r="B957" s="68" t="s">
        <v>62</v>
      </c>
      <c r="C957" s="66" t="s">
        <v>34</v>
      </c>
      <c r="D957" s="61">
        <v>106026</v>
      </c>
      <c r="E957" s="62">
        <v>41766</v>
      </c>
      <c r="F957" s="285"/>
    </row>
    <row r="958" spans="1:6" ht="14.25" thickTop="1" thickBot="1">
      <c r="A958" s="267" t="str">
        <f>C959</f>
        <v>FABIO DA SILVA MOREIRA</v>
      </c>
      <c r="B958" s="68" t="s">
        <v>62</v>
      </c>
      <c r="C958" s="66" t="s">
        <v>2030</v>
      </c>
      <c r="D958" s="65">
        <v>63366</v>
      </c>
      <c r="E958" s="62">
        <v>41844</v>
      </c>
      <c r="F958" s="285"/>
    </row>
    <row r="959" spans="1:6" ht="14.25" thickTop="1" thickBot="1">
      <c r="A959" s="267" t="str">
        <f>C960</f>
        <v>FABIO DANIEL DA SILVA</v>
      </c>
      <c r="B959" s="68" t="s">
        <v>62</v>
      </c>
      <c r="C959" s="66" t="s">
        <v>68</v>
      </c>
      <c r="D959" s="67"/>
      <c r="E959" s="62">
        <v>41768</v>
      </c>
      <c r="F959" s="285"/>
    </row>
    <row r="960" spans="1:6" ht="14.25" thickTop="1" thickBot="1">
      <c r="A960" s="267" t="str">
        <f>C961</f>
        <v>FABIO DE LIMA</v>
      </c>
      <c r="B960" s="68" t="s">
        <v>62</v>
      </c>
      <c r="C960" s="66" t="s">
        <v>657</v>
      </c>
      <c r="D960" s="61">
        <v>63461</v>
      </c>
      <c r="E960" s="62">
        <v>40891</v>
      </c>
      <c r="F960" s="285"/>
    </row>
    <row r="961" spans="1:20" ht="14.25" thickTop="1" thickBot="1">
      <c r="A961" s="267" t="str">
        <f>C962</f>
        <v>FABIO DE MATOS</v>
      </c>
      <c r="B961" s="68" t="s">
        <v>62</v>
      </c>
      <c r="C961" s="66" t="s">
        <v>1514</v>
      </c>
      <c r="D961" s="61">
        <v>63877</v>
      </c>
      <c r="E961" s="62">
        <v>39363</v>
      </c>
      <c r="F961" s="285"/>
    </row>
    <row r="962" spans="1:20" ht="14.25" thickTop="1" thickBot="1">
      <c r="A962" s="267" t="str">
        <f>C963</f>
        <v>FABIO FERREIRA DA SILVA</v>
      </c>
      <c r="B962" s="68" t="s">
        <v>62</v>
      </c>
      <c r="C962" s="66" t="s">
        <v>165</v>
      </c>
      <c r="D962" s="65">
        <v>74031</v>
      </c>
      <c r="E962" s="62">
        <v>40023</v>
      </c>
      <c r="F962" s="285"/>
    </row>
    <row r="963" spans="1:20" ht="14.25" thickTop="1" thickBot="1">
      <c r="A963" s="270" t="s">
        <v>2028</v>
      </c>
      <c r="B963" s="68" t="s">
        <v>1812</v>
      </c>
      <c r="C963" s="77" t="s">
        <v>996</v>
      </c>
      <c r="D963" s="61">
        <v>74031</v>
      </c>
      <c r="E963" s="62">
        <v>43936</v>
      </c>
      <c r="F963" s="285"/>
      <c r="G963" s="408"/>
      <c r="H963" s="410"/>
      <c r="I963" s="346"/>
      <c r="J963" s="84"/>
      <c r="K963" s="439"/>
      <c r="L963" s="84"/>
      <c r="M963" s="439"/>
      <c r="N963" s="84"/>
      <c r="O963" s="199"/>
      <c r="P963" s="199"/>
      <c r="Q963" s="199"/>
      <c r="R963" s="199"/>
      <c r="S963" s="199"/>
      <c r="T963" s="199"/>
    </row>
    <row r="964" spans="1:20" ht="14.25" thickTop="1" thickBot="1">
      <c r="A964" s="267" t="str">
        <f t="shared" ref="A964:A974" si="43">C965</f>
        <v>FABIO FONSECA DOS SANTOS</v>
      </c>
      <c r="B964" s="68" t="s">
        <v>62</v>
      </c>
      <c r="C964" s="66" t="s">
        <v>996</v>
      </c>
      <c r="D964" s="65">
        <v>81391</v>
      </c>
      <c r="E964" s="62">
        <v>40561</v>
      </c>
      <c r="F964" s="285"/>
    </row>
    <row r="965" spans="1:20" ht="14.25" thickTop="1" thickBot="1">
      <c r="A965" s="267" t="str">
        <f t="shared" si="43"/>
        <v>FABIO GOMES DOS SANTOS    (Gago)</v>
      </c>
      <c r="B965" s="68" t="s">
        <v>415</v>
      </c>
      <c r="C965" s="64" t="s">
        <v>276</v>
      </c>
      <c r="D965" s="65">
        <v>27072</v>
      </c>
      <c r="E965" s="62">
        <v>42207</v>
      </c>
      <c r="F965" s="285"/>
    </row>
    <row r="966" spans="1:20" ht="14.25" thickTop="1" thickBot="1">
      <c r="A966" s="267" t="str">
        <f t="shared" si="43"/>
        <v>FABIO JOSÉ AGOSTINHO SOARES   (Neguinho)</v>
      </c>
      <c r="B966" s="67" t="s">
        <v>1522</v>
      </c>
      <c r="C966" s="66" t="s">
        <v>2936</v>
      </c>
      <c r="D966" s="65">
        <v>63932</v>
      </c>
      <c r="E966" s="70">
        <v>42692</v>
      </c>
      <c r="F966" s="284"/>
    </row>
    <row r="967" spans="1:20" ht="14.25" thickTop="1" thickBot="1">
      <c r="A967" s="267" t="str">
        <f t="shared" si="43"/>
        <v>FABIO JUNIOR DE LARA</v>
      </c>
      <c r="B967" s="68" t="s">
        <v>62</v>
      </c>
      <c r="C967" s="66" t="s">
        <v>2937</v>
      </c>
      <c r="D967" s="67"/>
      <c r="E967" s="62">
        <v>41838</v>
      </c>
      <c r="F967" s="285"/>
    </row>
    <row r="968" spans="1:20" ht="14.25" thickTop="1" thickBot="1">
      <c r="A968" s="267" t="str">
        <f t="shared" si="43"/>
        <v>FABIO JUNIOR DOS SANTOS</v>
      </c>
      <c r="B968" s="68" t="s">
        <v>1306</v>
      </c>
      <c r="C968" s="66" t="s">
        <v>658</v>
      </c>
      <c r="D968" s="69">
        <v>63349</v>
      </c>
      <c r="E968" s="62">
        <v>40891</v>
      </c>
      <c r="F968" s="285"/>
    </row>
    <row r="969" spans="1:20" ht="14.25" thickTop="1" thickBot="1">
      <c r="A969" s="267" t="str">
        <f t="shared" si="43"/>
        <v>FABIO LOPES DE SOUZA JUSEK</v>
      </c>
      <c r="B969" s="68" t="s">
        <v>1306</v>
      </c>
      <c r="C969" s="66" t="s">
        <v>659</v>
      </c>
      <c r="D969" s="65">
        <v>55439</v>
      </c>
      <c r="E969" s="62">
        <v>42873</v>
      </c>
      <c r="F969" s="285"/>
    </row>
    <row r="970" spans="1:20" ht="14.25" thickTop="1" thickBot="1">
      <c r="A970" s="267" t="str">
        <f t="shared" si="43"/>
        <v>FABIO MARIANO DA SILVA LEAL</v>
      </c>
      <c r="B970" s="68" t="s">
        <v>62</v>
      </c>
      <c r="C970" s="66" t="s">
        <v>937</v>
      </c>
      <c r="D970" s="61">
        <v>101806</v>
      </c>
      <c r="E970" s="62">
        <v>43243</v>
      </c>
      <c r="F970" s="285"/>
    </row>
    <row r="971" spans="1:20" ht="14.25" thickTop="1" thickBot="1">
      <c r="A971" s="267" t="str">
        <f t="shared" si="43"/>
        <v>FABIO MICHAEL PODOLAN</v>
      </c>
      <c r="B971" s="68" t="s">
        <v>62</v>
      </c>
      <c r="C971" s="66" t="s">
        <v>1633</v>
      </c>
      <c r="D971" s="61">
        <v>117082</v>
      </c>
      <c r="E971" s="62">
        <v>41712</v>
      </c>
      <c r="F971" s="285"/>
    </row>
    <row r="972" spans="1:20" ht="14.25" thickTop="1" thickBot="1">
      <c r="A972" s="267" t="str">
        <f t="shared" si="43"/>
        <v>FABIO PIRES BARBOZA</v>
      </c>
      <c r="B972" s="89" t="s">
        <v>1522</v>
      </c>
      <c r="C972" s="66" t="s">
        <v>1591</v>
      </c>
      <c r="D972" s="61">
        <v>7040</v>
      </c>
      <c r="E972" s="62">
        <v>42986</v>
      </c>
      <c r="F972" s="285"/>
    </row>
    <row r="973" spans="1:20" ht="14.25" thickTop="1" thickBot="1">
      <c r="A973" s="267" t="str">
        <f t="shared" si="43"/>
        <v>FABIO RENE PEREIRA    (Binho)</v>
      </c>
      <c r="B973" s="67" t="s">
        <v>1298</v>
      </c>
      <c r="C973" s="66" t="s">
        <v>1287</v>
      </c>
      <c r="D973" s="61">
        <v>63349</v>
      </c>
      <c r="E973" s="62">
        <v>43390</v>
      </c>
      <c r="F973" s="285"/>
    </row>
    <row r="974" spans="1:20" ht="14.25" thickTop="1" thickBot="1">
      <c r="A974" s="267" t="str">
        <f t="shared" si="43"/>
        <v>FABIO RODRIGUES DA SILVA</v>
      </c>
      <c r="B974" s="68" t="s">
        <v>2203</v>
      </c>
      <c r="C974" s="64" t="s">
        <v>2938</v>
      </c>
      <c r="D974" s="65">
        <v>3763</v>
      </c>
      <c r="E974" s="62">
        <v>42130</v>
      </c>
      <c r="F974" s="285"/>
    </row>
    <row r="975" spans="1:20" ht="14.25" thickTop="1" thickBot="1">
      <c r="A975" s="267"/>
      <c r="B975" s="68" t="s">
        <v>1812</v>
      </c>
      <c r="C975" s="60" t="s">
        <v>2478</v>
      </c>
      <c r="D975" s="191">
        <v>63349</v>
      </c>
      <c r="E975" s="62">
        <v>43927</v>
      </c>
      <c r="F975" s="285"/>
    </row>
    <row r="976" spans="1:20" ht="14.25" thickTop="1" thickBot="1">
      <c r="A976" s="267" t="str">
        <f t="shared" ref="A976:A981" si="44">C977</f>
        <v>FABIO RODRIGUES DA SILVA    (Febronha / Fabio Cola)</v>
      </c>
      <c r="B976" s="67" t="s">
        <v>1522</v>
      </c>
      <c r="C976" s="66" t="s">
        <v>2942</v>
      </c>
      <c r="D976" s="65">
        <v>63349</v>
      </c>
      <c r="E976" s="62"/>
      <c r="F976" s="285"/>
    </row>
    <row r="977" spans="1:6" ht="14.25" thickTop="1" thickBot="1">
      <c r="A977" s="267" t="str">
        <f t="shared" si="44"/>
        <v>FABIO TORRES BANRUQUE</v>
      </c>
      <c r="B977" s="68" t="s">
        <v>62</v>
      </c>
      <c r="C977" s="66" t="s">
        <v>2942</v>
      </c>
      <c r="D977" s="61">
        <v>68338</v>
      </c>
      <c r="E977" s="62">
        <v>42131</v>
      </c>
      <c r="F977" s="285"/>
    </row>
    <row r="978" spans="1:6" ht="14.25" thickTop="1" thickBot="1">
      <c r="A978" s="267" t="str">
        <f t="shared" si="44"/>
        <v>FABRICIO ADRIANO BUENO BARBOSA</v>
      </c>
      <c r="B978" s="68" t="s">
        <v>62</v>
      </c>
      <c r="C978" s="66" t="s">
        <v>1884</v>
      </c>
      <c r="D978" s="65">
        <v>63910</v>
      </c>
      <c r="E978" s="62">
        <v>41962</v>
      </c>
      <c r="F978" s="285"/>
    </row>
    <row r="979" spans="1:6" ht="14.25" thickTop="1" thickBot="1">
      <c r="A979" s="267" t="str">
        <f t="shared" si="44"/>
        <v>FABRICIO APARECIDO TETERICZ</v>
      </c>
      <c r="B979" s="68" t="s">
        <v>1306</v>
      </c>
      <c r="C979" s="66" t="s">
        <v>1188</v>
      </c>
      <c r="D979" s="65">
        <v>63016</v>
      </c>
      <c r="E979" s="62">
        <v>42836</v>
      </c>
      <c r="F979" s="285"/>
    </row>
    <row r="980" spans="1:6" ht="14.25" thickTop="1" thickBot="1">
      <c r="A980" s="267" t="str">
        <f t="shared" si="44"/>
        <v>FABRICIO JULIANO FERREIRA    (Jacaré)</v>
      </c>
      <c r="B980" s="68" t="s">
        <v>2347</v>
      </c>
      <c r="C980" s="66" t="s">
        <v>874</v>
      </c>
      <c r="D980" s="65">
        <v>63528</v>
      </c>
      <c r="E980" s="62">
        <v>43346</v>
      </c>
      <c r="F980" s="285"/>
    </row>
    <row r="981" spans="1:6" ht="14.25" thickTop="1" thickBot="1">
      <c r="A981" s="267" t="str">
        <f t="shared" si="44"/>
        <v>FABRICIO JULIANO FERREIRA    (Jacaré)</v>
      </c>
      <c r="B981" s="68" t="s">
        <v>62</v>
      </c>
      <c r="C981" s="66" t="s">
        <v>2940</v>
      </c>
      <c r="D981" s="61">
        <v>63528</v>
      </c>
      <c r="E981" s="70">
        <v>42145</v>
      </c>
      <c r="F981" s="284"/>
    </row>
    <row r="982" spans="1:6" ht="14.25" thickTop="1" thickBot="1">
      <c r="A982" s="267"/>
      <c r="B982" s="68" t="s">
        <v>1306</v>
      </c>
      <c r="C982" s="66" t="s">
        <v>2941</v>
      </c>
      <c r="D982" s="65">
        <v>101348</v>
      </c>
      <c r="E982" s="62">
        <v>42039</v>
      </c>
      <c r="F982" s="285"/>
    </row>
    <row r="983" spans="1:6" ht="14.25" thickTop="1" thickBot="1">
      <c r="A983" s="267" t="str">
        <f>C984</f>
        <v>FABRIZIO ROBERTO MARTINS</v>
      </c>
      <c r="B983" s="68" t="s">
        <v>62</v>
      </c>
      <c r="C983" s="64" t="s">
        <v>1037</v>
      </c>
      <c r="D983" s="61">
        <v>27304</v>
      </c>
      <c r="E983" s="62"/>
      <c r="F983" s="285"/>
    </row>
    <row r="984" spans="1:6" ht="14.25" thickTop="1" thickBot="1">
      <c r="A984" s="267" t="str">
        <f>C994</f>
        <v>FELIPE JOSE STORI MOREIRA</v>
      </c>
      <c r="B984" s="68" t="s">
        <v>1812</v>
      </c>
      <c r="C984" s="376" t="s">
        <v>3578</v>
      </c>
      <c r="D984" s="61"/>
      <c r="E984" s="62">
        <v>44095</v>
      </c>
      <c r="F984" s="285"/>
    </row>
    <row r="985" spans="1:6" ht="14.25" thickTop="1" thickBot="1">
      <c r="A985" s="267" t="str">
        <f>C986</f>
        <v>FELIPE ANTUNES</v>
      </c>
      <c r="B985" s="68" t="s">
        <v>62</v>
      </c>
      <c r="C985" s="66" t="s">
        <v>147</v>
      </c>
      <c r="D985" s="65">
        <v>27081</v>
      </c>
      <c r="E985" s="62">
        <v>39409</v>
      </c>
      <c r="F985" s="285"/>
    </row>
    <row r="986" spans="1:6" ht="14.25" thickTop="1" thickBot="1">
      <c r="A986" s="267" t="str">
        <f>C987</f>
        <v>FELIPE BUENO VAZ DA SILVA</v>
      </c>
      <c r="B986" s="68" t="s">
        <v>62</v>
      </c>
      <c r="C986" s="66" t="s">
        <v>22</v>
      </c>
      <c r="D986" s="172">
        <v>117232</v>
      </c>
      <c r="E986" s="62">
        <v>42914</v>
      </c>
      <c r="F986" s="285"/>
    </row>
    <row r="987" spans="1:6" ht="14.25" thickTop="1" thickBot="1">
      <c r="A987" s="267" t="str">
        <f>C988</f>
        <v>FELIPE COUTINHO CRISTIANO</v>
      </c>
      <c r="B987" s="68" t="s">
        <v>351</v>
      </c>
      <c r="C987" s="66" t="s">
        <v>2472</v>
      </c>
      <c r="D987" s="65">
        <v>112046</v>
      </c>
      <c r="E987" s="62"/>
      <c r="F987" s="285"/>
    </row>
    <row r="988" spans="1:6" ht="14.25" thickTop="1" thickBot="1">
      <c r="A988" s="268"/>
      <c r="B988" s="68" t="s">
        <v>62</v>
      </c>
      <c r="C988" s="78" t="s">
        <v>2009</v>
      </c>
      <c r="D988" s="61">
        <v>7104</v>
      </c>
      <c r="E988" s="62">
        <v>43306</v>
      </c>
      <c r="F988" s="285"/>
    </row>
    <row r="989" spans="1:6" ht="14.25" thickTop="1" thickBot="1">
      <c r="A989" s="575"/>
      <c r="B989" s="71" t="s">
        <v>2812</v>
      </c>
      <c r="C989" s="60" t="s">
        <v>3478</v>
      </c>
      <c r="D989" s="61">
        <v>132835</v>
      </c>
      <c r="E989" s="62">
        <v>44141</v>
      </c>
      <c r="F989" s="285"/>
    </row>
    <row r="990" spans="1:6" ht="14.25" thickTop="1" thickBot="1">
      <c r="A990" s="267" t="str">
        <f>C991</f>
        <v>FELIPE DA CRUZ OLIVEIRA</v>
      </c>
      <c r="B990" s="61" t="s">
        <v>2406</v>
      </c>
      <c r="C990" s="66" t="s">
        <v>1655</v>
      </c>
      <c r="D990" s="61">
        <v>117557</v>
      </c>
      <c r="E990" s="70">
        <v>43504</v>
      </c>
      <c r="F990" s="284"/>
    </row>
    <row r="991" spans="1:6" ht="14.25" thickTop="1" thickBot="1">
      <c r="A991" s="274" t="s">
        <v>2561</v>
      </c>
      <c r="B991" s="68" t="s">
        <v>62</v>
      </c>
      <c r="C991" s="192" t="s">
        <v>2342</v>
      </c>
      <c r="D991" s="61">
        <v>132835</v>
      </c>
      <c r="E991" s="62">
        <v>41962</v>
      </c>
      <c r="F991" s="285"/>
    </row>
    <row r="992" spans="1:6" ht="14.25" thickTop="1" thickBot="1">
      <c r="A992" s="267"/>
      <c r="B992" s="68" t="s">
        <v>2413</v>
      </c>
      <c r="C992" s="77" t="s">
        <v>2578</v>
      </c>
      <c r="D992" s="61">
        <v>138734</v>
      </c>
      <c r="E992" s="62">
        <v>44062</v>
      </c>
      <c r="F992" s="285"/>
    </row>
    <row r="993" spans="1:6" ht="14.25" thickTop="1" thickBot="1">
      <c r="A993" s="267"/>
      <c r="B993" s="68" t="s">
        <v>2406</v>
      </c>
      <c r="C993" s="66" t="s">
        <v>2108</v>
      </c>
      <c r="D993" s="61">
        <v>7104</v>
      </c>
      <c r="E993" s="62">
        <v>43892</v>
      </c>
      <c r="F993" s="285"/>
    </row>
    <row r="994" spans="1:6" ht="14.25" thickTop="1" thickBot="1">
      <c r="A994" s="267"/>
      <c r="B994" s="61" t="s">
        <v>351</v>
      </c>
      <c r="C994" s="66" t="s">
        <v>2108</v>
      </c>
      <c r="D994" s="61">
        <v>27016</v>
      </c>
      <c r="E994" s="62">
        <v>43383</v>
      </c>
      <c r="F994" s="284"/>
    </row>
    <row r="995" spans="1:6" ht="14.25" thickTop="1" thickBot="1">
      <c r="A995" s="267"/>
      <c r="B995" s="68" t="s">
        <v>2413</v>
      </c>
      <c r="C995" s="66" t="s">
        <v>2939</v>
      </c>
      <c r="D995" s="61">
        <v>7104</v>
      </c>
      <c r="E995" s="62"/>
      <c r="F995" s="285"/>
    </row>
    <row r="996" spans="1:6" ht="14.25" thickTop="1" thickBot="1">
      <c r="A996" s="267" t="s">
        <v>3657</v>
      </c>
      <c r="B996" s="61" t="s">
        <v>2406</v>
      </c>
      <c r="C996" s="91" t="s">
        <v>3657</v>
      </c>
      <c r="D996" s="191">
        <v>502148</v>
      </c>
      <c r="E996" s="70">
        <v>44144</v>
      </c>
      <c r="F996" s="405" t="s">
        <v>3582</v>
      </c>
    </row>
    <row r="997" spans="1:6" ht="14.25" thickTop="1" thickBot="1">
      <c r="A997" s="267" t="s">
        <v>2611</v>
      </c>
      <c r="B997" s="68" t="s">
        <v>2406</v>
      </c>
      <c r="C997" s="64" t="s">
        <v>2632</v>
      </c>
      <c r="D997" s="65">
        <v>127473</v>
      </c>
      <c r="E997" s="62">
        <v>43615</v>
      </c>
      <c r="F997" s="285"/>
    </row>
    <row r="998" spans="1:6" ht="14.25" thickTop="1" thickBot="1">
      <c r="A998" s="267"/>
      <c r="B998" s="68" t="s">
        <v>62</v>
      </c>
      <c r="C998" s="60" t="s">
        <v>2579</v>
      </c>
      <c r="D998" s="61">
        <v>129429</v>
      </c>
      <c r="E998" s="62">
        <v>43529</v>
      </c>
      <c r="F998" s="285"/>
    </row>
    <row r="999" spans="1:6" ht="14.25" thickTop="1" thickBot="1">
      <c r="A999" s="267"/>
      <c r="B999" s="68" t="s">
        <v>2413</v>
      </c>
      <c r="C999" s="66" t="s">
        <v>2579</v>
      </c>
      <c r="D999" s="61">
        <v>129429</v>
      </c>
      <c r="E999" s="62">
        <v>43749</v>
      </c>
      <c r="F999" s="285"/>
    </row>
    <row r="1000" spans="1:6" ht="14.25" thickTop="1" thickBot="1">
      <c r="A1000" s="267" t="str">
        <f>C1001</f>
        <v>FELIPE PIECYCOLAN</v>
      </c>
      <c r="B1000" s="68" t="s">
        <v>2203</v>
      </c>
      <c r="C1000" s="192" t="s">
        <v>2722</v>
      </c>
      <c r="D1000" s="61">
        <v>105153</v>
      </c>
      <c r="E1000" s="62">
        <v>43805</v>
      </c>
      <c r="F1000" s="285"/>
    </row>
    <row r="1001" spans="1:6" ht="14.25" thickTop="1" thickBot="1">
      <c r="A1001" s="267" t="str">
        <f>C1002</f>
        <v>FELIPE PIECYKOLAN     (Mormaii)</v>
      </c>
      <c r="B1001" s="163" t="s">
        <v>62</v>
      </c>
      <c r="C1001" s="66" t="s">
        <v>2611</v>
      </c>
      <c r="D1001" s="61">
        <v>105153</v>
      </c>
      <c r="E1001" s="204">
        <v>43360</v>
      </c>
      <c r="F1001" s="285"/>
    </row>
    <row r="1002" spans="1:6" ht="14.25" thickTop="1" thickBot="1">
      <c r="A1002" s="267" t="str">
        <f>C1003</f>
        <v>FELIPE RAFAEL DA SILVA</v>
      </c>
      <c r="B1002" s="68" t="s">
        <v>62</v>
      </c>
      <c r="C1002" s="66" t="s">
        <v>2943</v>
      </c>
      <c r="D1002" s="61">
        <v>105153</v>
      </c>
      <c r="E1002" s="62">
        <v>41802</v>
      </c>
      <c r="F1002" s="285"/>
    </row>
    <row r="1003" spans="1:6" ht="14.25" thickTop="1" thickBot="1">
      <c r="A1003" s="267"/>
      <c r="B1003" s="68" t="s">
        <v>62</v>
      </c>
      <c r="C1003" s="64" t="s">
        <v>1359</v>
      </c>
      <c r="D1003" s="61">
        <v>27255</v>
      </c>
      <c r="E1003" s="62">
        <v>40795</v>
      </c>
      <c r="F1003" s="285"/>
    </row>
    <row r="1004" spans="1:6" ht="14.25" thickTop="1" thickBot="1">
      <c r="A1004" s="267" t="s">
        <v>3439</v>
      </c>
      <c r="B1004" s="68" t="s">
        <v>2413</v>
      </c>
      <c r="C1004" s="77" t="s">
        <v>1359</v>
      </c>
      <c r="D1004" s="61">
        <v>27016</v>
      </c>
      <c r="E1004" s="62">
        <v>44062</v>
      </c>
      <c r="F1004" s="285"/>
    </row>
    <row r="1005" spans="1:6" ht="14.25" thickTop="1" thickBot="1">
      <c r="A1005" s="267" t="str">
        <f>C1006</f>
        <v>FELIPE SEBASTIÃO JUNIOR</v>
      </c>
      <c r="B1005" s="68" t="s">
        <v>1812</v>
      </c>
      <c r="C1005" s="60" t="s">
        <v>2477</v>
      </c>
      <c r="D1005" s="61">
        <v>161752</v>
      </c>
      <c r="E1005" s="70">
        <v>43691</v>
      </c>
      <c r="F1005" s="284"/>
    </row>
    <row r="1006" spans="1:6" ht="14.25" thickTop="1" thickBot="1">
      <c r="A1006" s="267"/>
      <c r="B1006" s="68" t="s">
        <v>1298</v>
      </c>
      <c r="C1006" s="66" t="s">
        <v>1049</v>
      </c>
      <c r="D1006" s="67"/>
      <c r="E1006" s="70">
        <v>42606</v>
      </c>
      <c r="F1006" s="284"/>
    </row>
    <row r="1007" spans="1:6" ht="14.25" thickTop="1" thickBot="1">
      <c r="A1007" s="267" t="str">
        <f t="shared" ref="A1007:A1013" si="45">C1008</f>
        <v>FERNANDO DA SILVA SANTOS</v>
      </c>
      <c r="B1007" s="68" t="s">
        <v>1306</v>
      </c>
      <c r="C1007" s="66" t="s">
        <v>544</v>
      </c>
      <c r="D1007" s="67"/>
      <c r="E1007" s="180">
        <v>40763</v>
      </c>
      <c r="F1007" s="286" t="s">
        <v>1743</v>
      </c>
    </row>
    <row r="1008" spans="1:6" ht="14.25" thickTop="1" thickBot="1">
      <c r="A1008" s="267" t="str">
        <f t="shared" si="45"/>
        <v>FERNANDO DE CASTRO LIBORIO</v>
      </c>
      <c r="B1008" s="62" t="s">
        <v>1812</v>
      </c>
      <c r="C1008" s="66" t="s">
        <v>660</v>
      </c>
      <c r="D1008" s="65">
        <v>100500</v>
      </c>
      <c r="E1008" s="62">
        <v>43356</v>
      </c>
      <c r="F1008" s="293"/>
    </row>
    <row r="1009" spans="1:256" ht="14.25" thickTop="1" thickBot="1">
      <c r="A1009" s="267" t="str">
        <f t="shared" si="45"/>
        <v>FERNANDO DE CASTRO LIBORIO</v>
      </c>
      <c r="B1009" s="68" t="s">
        <v>62</v>
      </c>
      <c r="C1009" s="60" t="s">
        <v>278</v>
      </c>
      <c r="D1009" s="203">
        <v>100500</v>
      </c>
      <c r="E1009" s="62">
        <v>42914</v>
      </c>
      <c r="F1009" s="285"/>
    </row>
    <row r="1010" spans="1:256" ht="14.25" thickTop="1" thickBot="1">
      <c r="A1010" s="267" t="str">
        <f t="shared" si="45"/>
        <v>FERNANDO DE JESUS DOS SANTOS SAMPAIO</v>
      </c>
      <c r="B1010" s="68" t="s">
        <v>62</v>
      </c>
      <c r="C1010" s="66" t="s">
        <v>278</v>
      </c>
      <c r="D1010" s="61">
        <v>108833</v>
      </c>
      <c r="E1010" s="62">
        <v>40441</v>
      </c>
      <c r="F1010" s="285"/>
    </row>
    <row r="1011" spans="1:256" ht="14.25" thickTop="1" thickBot="1">
      <c r="A1011" s="267" t="str">
        <f t="shared" si="45"/>
        <v>FERNANDO DE OLIVEIRA LOPES</v>
      </c>
      <c r="B1011" s="68" t="s">
        <v>62</v>
      </c>
      <c r="C1011" s="66" t="s">
        <v>1955</v>
      </c>
      <c r="D1011" s="65">
        <v>101629</v>
      </c>
      <c r="E1011" s="62">
        <v>40997</v>
      </c>
      <c r="F1011" s="285"/>
    </row>
    <row r="1012" spans="1:256" ht="14.25" thickTop="1" thickBot="1">
      <c r="A1012" s="267" t="str">
        <f t="shared" si="45"/>
        <v>FERNANDO ELIAS DO NASCIMENTO    (Apocalipse)</v>
      </c>
      <c r="B1012" s="68" t="s">
        <v>1306</v>
      </c>
      <c r="C1012" s="66" t="s">
        <v>427</v>
      </c>
      <c r="D1012" s="65">
        <v>63763</v>
      </c>
      <c r="E1012" s="70">
        <v>43355</v>
      </c>
      <c r="F1012" s="284"/>
    </row>
    <row r="1013" spans="1:256" ht="14.25" thickTop="1" thickBot="1">
      <c r="A1013" s="267" t="str">
        <f t="shared" si="45"/>
        <v>FERNANDO FELIX DO ESPIRITO SANTO</v>
      </c>
      <c r="B1013" s="68" t="s">
        <v>351</v>
      </c>
      <c r="C1013" s="66" t="s">
        <v>2944</v>
      </c>
      <c r="D1013" s="61">
        <v>110248</v>
      </c>
      <c r="E1013" s="62">
        <v>43084</v>
      </c>
      <c r="F1013" s="293"/>
    </row>
    <row r="1014" spans="1:256" ht="14.25" thickTop="1" thickBot="1">
      <c r="A1014" s="267"/>
      <c r="B1014" s="68" t="s">
        <v>62</v>
      </c>
      <c r="C1014" s="66" t="s">
        <v>2233</v>
      </c>
      <c r="D1014" s="61">
        <v>29764</v>
      </c>
      <c r="E1014" s="62">
        <v>40763</v>
      </c>
      <c r="F1014" s="285"/>
    </row>
    <row r="1015" spans="1:256" ht="14.25" thickTop="1" thickBot="1">
      <c r="A1015" s="267"/>
      <c r="B1015" s="68" t="s">
        <v>1812</v>
      </c>
      <c r="C1015" s="60" t="s">
        <v>2438</v>
      </c>
      <c r="D1015" s="61">
        <v>148842</v>
      </c>
      <c r="E1015" s="62">
        <v>43802</v>
      </c>
      <c r="F1015" s="285"/>
    </row>
    <row r="1016" spans="1:256" ht="14.25" thickTop="1" thickBot="1">
      <c r="A1016" s="267" t="str">
        <f>C1017</f>
        <v>FERNANDO KETEMPS</v>
      </c>
      <c r="B1016" s="68" t="s">
        <v>62</v>
      </c>
      <c r="C1016" s="66" t="s">
        <v>1502</v>
      </c>
      <c r="D1016" s="61">
        <v>68947</v>
      </c>
      <c r="E1016" s="70">
        <v>43363</v>
      </c>
      <c r="F1016" s="291"/>
    </row>
    <row r="1017" spans="1:256" ht="14.25" thickTop="1" thickBot="1">
      <c r="A1017" s="267" t="str">
        <f>C1018</f>
        <v>FERNANDO MACHADO GONÇALVES (Imortal)</v>
      </c>
      <c r="B1017" s="68" t="s">
        <v>351</v>
      </c>
      <c r="C1017" s="192" t="s">
        <v>1700</v>
      </c>
      <c r="D1017" s="61">
        <v>122251</v>
      </c>
      <c r="E1017" s="62">
        <v>42061</v>
      </c>
      <c r="F1017" s="285"/>
    </row>
    <row r="1018" spans="1:256" ht="14.25" thickTop="1" thickBot="1">
      <c r="A1018" s="267" t="str">
        <f>C1020</f>
        <v>FERNANDO MORAES (Mortal)</v>
      </c>
      <c r="B1018" s="68" t="s">
        <v>1812</v>
      </c>
      <c r="C1018" s="66" t="s">
        <v>2865</v>
      </c>
      <c r="D1018" s="61">
        <v>102342</v>
      </c>
      <c r="E1018" s="62">
        <v>44046</v>
      </c>
      <c r="F1018" s="285"/>
    </row>
    <row r="1019" spans="1:256" ht="14.25" thickTop="1" thickBot="1">
      <c r="A1019" s="267" t="str">
        <f>C1020</f>
        <v>FERNANDO MORAES (Mortal)</v>
      </c>
      <c r="B1019" s="182" t="s">
        <v>25</v>
      </c>
      <c r="C1019" s="66" t="s">
        <v>1859</v>
      </c>
      <c r="D1019" s="181">
        <v>10882</v>
      </c>
      <c r="E1019" s="62">
        <v>39966</v>
      </c>
      <c r="F1019" s="285"/>
    </row>
    <row r="1020" spans="1:256" ht="14.25" thickTop="1" thickBot="1">
      <c r="A1020" s="267"/>
      <c r="B1020" s="68" t="s">
        <v>516</v>
      </c>
      <c r="C1020" s="66" t="s">
        <v>1742</v>
      </c>
      <c r="D1020" s="65">
        <v>63818</v>
      </c>
      <c r="E1020" s="62">
        <v>41830</v>
      </c>
      <c r="F1020" s="285"/>
    </row>
    <row r="1021" spans="1:256" ht="14.25" thickTop="1" thickBot="1">
      <c r="A1021" s="267" t="str">
        <f>C1022</f>
        <v>FERNANDO RICARDO STOCCO    (Fer / Fernanda)</v>
      </c>
      <c r="B1021" s="163" t="s">
        <v>62</v>
      </c>
      <c r="C1021" s="66" t="s">
        <v>80</v>
      </c>
      <c r="D1021" s="65">
        <v>7064</v>
      </c>
      <c r="E1021" s="204">
        <v>43360</v>
      </c>
      <c r="F1021" s="284"/>
    </row>
    <row r="1022" spans="1:256" ht="14.25" thickTop="1" thickBot="1">
      <c r="A1022" s="267" t="str">
        <f>C1023</f>
        <v>FERNANDO RODRIGUES DOS SANTOS    (Tetinha)</v>
      </c>
      <c r="B1022" s="68" t="s">
        <v>62</v>
      </c>
      <c r="C1022" s="77" t="s">
        <v>2945</v>
      </c>
      <c r="D1022" s="61">
        <v>73662</v>
      </c>
      <c r="E1022" s="62">
        <v>41757</v>
      </c>
      <c r="F1022" s="285"/>
    </row>
    <row r="1023" spans="1:256" ht="14.25" thickTop="1" thickBot="1">
      <c r="A1023" s="267" t="str">
        <f>C1024</f>
        <v xml:space="preserve">FERNANDO RODRIGUES TEODORO </v>
      </c>
      <c r="B1023" s="68" t="s">
        <v>25</v>
      </c>
      <c r="C1023" s="66" t="s">
        <v>2946</v>
      </c>
      <c r="D1023" s="65">
        <v>51673</v>
      </c>
      <c r="E1023" s="62">
        <v>41576</v>
      </c>
      <c r="F1023" s="285"/>
    </row>
    <row r="1024" spans="1:256" s="40" customFormat="1" ht="14.25" thickTop="1" thickBot="1">
      <c r="A1024" s="267" t="str">
        <f>C1025</f>
        <v>FERNANDO SOARES DIAS (Fernandão)</v>
      </c>
      <c r="B1024" s="68" t="s">
        <v>62</v>
      </c>
      <c r="C1024" s="64" t="s">
        <v>574</v>
      </c>
      <c r="D1024" s="65">
        <v>27065</v>
      </c>
      <c r="E1024" s="62">
        <v>40499</v>
      </c>
      <c r="F1024" s="285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  <c r="Y1024" s="37"/>
      <c r="Z1024" s="37"/>
      <c r="AA1024" s="37"/>
      <c r="AB1024" s="37"/>
      <c r="AC1024" s="37"/>
      <c r="AD1024" s="37"/>
      <c r="AE1024" s="37"/>
      <c r="AF1024" s="37"/>
      <c r="AG1024" s="37"/>
      <c r="AH1024" s="37"/>
      <c r="AI1024" s="37"/>
      <c r="AJ1024" s="37"/>
      <c r="AK1024" s="37"/>
      <c r="AL1024" s="37"/>
      <c r="AM1024" s="37"/>
      <c r="AN1024" s="37"/>
      <c r="AO1024" s="37"/>
      <c r="AP1024" s="37"/>
      <c r="AQ1024" s="37"/>
      <c r="AR1024" s="37"/>
      <c r="AS1024" s="37"/>
      <c r="AT1024" s="37"/>
      <c r="AU1024" s="37"/>
      <c r="AV1024" s="37"/>
      <c r="AW1024" s="37"/>
      <c r="AX1024" s="37"/>
      <c r="AY1024" s="37"/>
      <c r="AZ1024" s="37"/>
      <c r="BA1024" s="37"/>
      <c r="BB1024" s="37"/>
      <c r="BC1024" s="37"/>
      <c r="BD1024" s="37"/>
      <c r="BE1024" s="37"/>
      <c r="BF1024" s="37"/>
      <c r="BG1024" s="37"/>
      <c r="BH1024" s="37"/>
      <c r="BI1024" s="37"/>
      <c r="BJ1024" s="37"/>
      <c r="BK1024" s="37"/>
      <c r="BL1024" s="37"/>
      <c r="BM1024" s="37"/>
      <c r="BN1024" s="37"/>
      <c r="BO1024" s="37"/>
      <c r="BP1024" s="37"/>
      <c r="BQ1024" s="37"/>
      <c r="BR1024" s="37"/>
      <c r="BS1024" s="37"/>
      <c r="BT1024" s="37"/>
      <c r="BU1024" s="37"/>
      <c r="BV1024" s="37"/>
      <c r="BW1024" s="37"/>
      <c r="BX1024" s="37"/>
      <c r="BY1024" s="37"/>
      <c r="BZ1024" s="37"/>
      <c r="CA1024" s="37"/>
      <c r="CB1024" s="37"/>
      <c r="CC1024" s="37"/>
      <c r="CD1024" s="37"/>
      <c r="CE1024" s="37"/>
      <c r="CF1024" s="37"/>
      <c r="CG1024" s="37"/>
      <c r="CH1024" s="37"/>
      <c r="CI1024" s="37"/>
      <c r="CJ1024" s="37"/>
      <c r="CK1024" s="37"/>
      <c r="CL1024" s="37"/>
      <c r="CM1024" s="37"/>
      <c r="CN1024" s="37"/>
      <c r="CO1024" s="37"/>
      <c r="CP1024" s="37"/>
      <c r="CQ1024" s="37"/>
      <c r="CR1024" s="37"/>
      <c r="CS1024" s="37"/>
      <c r="CT1024" s="37"/>
      <c r="CU1024" s="37"/>
      <c r="CV1024" s="37"/>
      <c r="CW1024" s="37"/>
      <c r="CX1024" s="37"/>
      <c r="CY1024" s="37"/>
      <c r="CZ1024" s="37"/>
      <c r="DA1024" s="37"/>
      <c r="DB1024" s="37"/>
      <c r="DC1024" s="37"/>
      <c r="DD1024" s="37"/>
      <c r="DE1024" s="37"/>
      <c r="DF1024" s="37"/>
      <c r="DG1024" s="37"/>
      <c r="DH1024" s="37"/>
      <c r="DI1024" s="37"/>
      <c r="DJ1024" s="37"/>
      <c r="DK1024" s="37"/>
      <c r="DL1024" s="37"/>
      <c r="DM1024" s="37"/>
      <c r="DN1024" s="37"/>
      <c r="DO1024" s="37"/>
      <c r="DP1024" s="37"/>
      <c r="DQ1024" s="37"/>
      <c r="DR1024" s="37"/>
      <c r="DS1024" s="37"/>
      <c r="DT1024" s="37"/>
      <c r="DU1024" s="37"/>
      <c r="DV1024" s="37"/>
      <c r="DW1024" s="37"/>
      <c r="DX1024" s="37"/>
      <c r="DY1024" s="37"/>
      <c r="DZ1024" s="37"/>
      <c r="EA1024" s="37"/>
      <c r="EB1024" s="37"/>
      <c r="EC1024" s="37"/>
      <c r="ED1024" s="37"/>
      <c r="EE1024" s="37"/>
      <c r="EF1024" s="37"/>
      <c r="EG1024" s="37"/>
      <c r="EH1024" s="37"/>
      <c r="EI1024" s="37"/>
      <c r="EJ1024" s="37"/>
      <c r="EK1024" s="37"/>
      <c r="EL1024" s="37"/>
      <c r="EM1024" s="37"/>
      <c r="EN1024" s="37"/>
      <c r="EO1024" s="37"/>
      <c r="EP1024" s="37"/>
      <c r="EQ1024" s="37"/>
      <c r="ER1024" s="37"/>
      <c r="ES1024" s="37"/>
      <c r="ET1024" s="37"/>
      <c r="EU1024" s="37"/>
      <c r="EV1024" s="37"/>
      <c r="EW1024" s="37"/>
      <c r="EX1024" s="37"/>
      <c r="EY1024" s="37"/>
      <c r="EZ1024" s="37"/>
      <c r="FA1024" s="37"/>
      <c r="FB1024" s="37"/>
      <c r="FC1024" s="37"/>
      <c r="FD1024" s="37"/>
      <c r="FE1024" s="37"/>
      <c r="FF1024" s="37"/>
      <c r="FG1024" s="37"/>
      <c r="FH1024" s="37"/>
      <c r="FI1024" s="37"/>
      <c r="FJ1024" s="37"/>
      <c r="FK1024" s="37"/>
      <c r="FL1024" s="37"/>
      <c r="FM1024" s="37"/>
      <c r="FN1024" s="37"/>
      <c r="FO1024" s="37"/>
      <c r="FP1024" s="37"/>
      <c r="FQ1024" s="37"/>
      <c r="FR1024" s="37"/>
      <c r="FS1024" s="37"/>
      <c r="FT1024" s="37"/>
      <c r="FU1024" s="37"/>
      <c r="FV1024" s="37"/>
      <c r="FW1024" s="37"/>
      <c r="FX1024" s="37"/>
      <c r="FY1024" s="37"/>
      <c r="FZ1024" s="37"/>
      <c r="GA1024" s="37"/>
      <c r="GB1024" s="37"/>
      <c r="GC1024" s="37"/>
      <c r="GD1024" s="37"/>
      <c r="GE1024" s="37"/>
      <c r="GF1024" s="37"/>
      <c r="GG1024" s="37"/>
      <c r="GH1024" s="37"/>
      <c r="GI1024" s="37"/>
      <c r="GJ1024" s="37"/>
      <c r="GK1024" s="37"/>
      <c r="GL1024" s="37"/>
      <c r="GM1024" s="37"/>
      <c r="GN1024" s="37"/>
      <c r="GO1024" s="37"/>
      <c r="GP1024" s="37"/>
      <c r="GQ1024" s="37"/>
      <c r="GR1024" s="37"/>
      <c r="GS1024" s="37"/>
      <c r="GT1024" s="37"/>
      <c r="GU1024" s="37"/>
      <c r="GV1024" s="37"/>
      <c r="GW1024" s="37"/>
      <c r="GX1024" s="37"/>
      <c r="GY1024" s="37"/>
      <c r="GZ1024" s="37"/>
      <c r="HA1024" s="37"/>
      <c r="HB1024" s="37"/>
      <c r="HC1024" s="37"/>
      <c r="HD1024" s="37"/>
      <c r="HE1024" s="37"/>
      <c r="HF1024" s="37"/>
      <c r="HG1024" s="37"/>
      <c r="HH1024" s="37"/>
      <c r="HI1024" s="37"/>
      <c r="HJ1024" s="37"/>
      <c r="HK1024" s="37"/>
      <c r="HL1024" s="37"/>
      <c r="HM1024" s="37"/>
      <c r="HN1024" s="37"/>
      <c r="HO1024" s="37"/>
      <c r="HP1024" s="37"/>
      <c r="HQ1024" s="37"/>
      <c r="HR1024" s="37"/>
      <c r="HS1024" s="37"/>
      <c r="HT1024" s="37"/>
      <c r="HU1024" s="37"/>
      <c r="HV1024" s="37"/>
      <c r="HW1024" s="37"/>
      <c r="HX1024" s="37"/>
      <c r="HY1024" s="37"/>
      <c r="HZ1024" s="37"/>
      <c r="IA1024" s="37"/>
      <c r="IB1024" s="37"/>
      <c r="IC1024" s="37"/>
      <c r="ID1024" s="37"/>
      <c r="IE1024" s="37"/>
      <c r="IF1024" s="37"/>
      <c r="IG1024" s="37"/>
      <c r="IH1024" s="37"/>
      <c r="II1024" s="37"/>
      <c r="IJ1024" s="37"/>
      <c r="IK1024" s="37"/>
      <c r="IL1024" s="37"/>
      <c r="IM1024" s="37"/>
      <c r="IN1024" s="37"/>
      <c r="IO1024" s="37"/>
      <c r="IP1024" s="37"/>
      <c r="IQ1024" s="37"/>
      <c r="IR1024" s="37"/>
      <c r="IS1024" s="37"/>
      <c r="IT1024" s="37"/>
      <c r="IU1024" s="37"/>
      <c r="IV1024" s="37"/>
    </row>
    <row r="1025" spans="1:256" ht="14.25" thickTop="1" thickBot="1">
      <c r="A1025" s="267"/>
      <c r="B1025" s="68" t="s">
        <v>2413</v>
      </c>
      <c r="C1025" s="77" t="s">
        <v>2548</v>
      </c>
      <c r="D1025" s="61">
        <v>54225</v>
      </c>
      <c r="E1025" s="62">
        <v>43984</v>
      </c>
      <c r="F1025" s="285"/>
    </row>
    <row r="1026" spans="1:256" ht="14.25" thickTop="1" thickBot="1">
      <c r="A1026" s="267" t="str">
        <f t="shared" ref="A1026:A1041" si="46">C1027</f>
        <v>FIDELIS MACIEL DE OLIVEIRA</v>
      </c>
      <c r="B1026" s="68" t="s">
        <v>62</v>
      </c>
      <c r="C1026" s="66" t="s">
        <v>1260</v>
      </c>
      <c r="D1026" s="67"/>
      <c r="E1026" s="62">
        <v>40997</v>
      </c>
      <c r="F1026" s="285"/>
    </row>
    <row r="1027" spans="1:256" ht="14.25" thickTop="1" thickBot="1">
      <c r="A1027" s="267" t="str">
        <f t="shared" si="46"/>
        <v>FLAVIO ALBERTO SALAZAR DA SILVEIRA JUNIOR</v>
      </c>
      <c r="B1027" s="68" t="s">
        <v>15</v>
      </c>
      <c r="C1027" s="64" t="s">
        <v>221</v>
      </c>
      <c r="D1027" s="65">
        <v>53080</v>
      </c>
      <c r="E1027" s="62">
        <v>40414</v>
      </c>
      <c r="F1027" s="285"/>
    </row>
    <row r="1028" spans="1:256" ht="14.25" thickTop="1" thickBot="1">
      <c r="A1028" s="267" t="str">
        <f t="shared" si="46"/>
        <v>FLAVIO LUIZ CARNEIRO      (Flavinho)</v>
      </c>
      <c r="B1028" s="68" t="s">
        <v>1033</v>
      </c>
      <c r="C1028" s="66" t="s">
        <v>1111</v>
      </c>
      <c r="D1028" s="61">
        <v>50684</v>
      </c>
      <c r="E1028" s="70">
        <v>42199</v>
      </c>
      <c r="F1028" s="284"/>
    </row>
    <row r="1029" spans="1:256" ht="14.25" thickTop="1" thickBot="1">
      <c r="A1029" s="267" t="str">
        <f t="shared" si="46"/>
        <v>FLAVIO PEREIRA</v>
      </c>
      <c r="B1029" s="67" t="s">
        <v>1522</v>
      </c>
      <c r="C1029" s="66" t="s">
        <v>2947</v>
      </c>
      <c r="D1029" s="69">
        <v>41576</v>
      </c>
      <c r="E1029" s="70">
        <v>42594</v>
      </c>
      <c r="F1029" s="284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  <c r="AA1029" s="40"/>
      <c r="AB1029" s="40"/>
      <c r="AC1029" s="40"/>
      <c r="AD1029" s="40"/>
      <c r="AE1029" s="40"/>
      <c r="AF1029" s="40"/>
      <c r="AG1029" s="40"/>
      <c r="AH1029" s="40"/>
      <c r="AI1029" s="40"/>
      <c r="AJ1029" s="40"/>
      <c r="AK1029" s="40"/>
      <c r="AL1029" s="40"/>
      <c r="AM1029" s="40"/>
      <c r="AN1029" s="40"/>
      <c r="AO1029" s="40"/>
      <c r="AP1029" s="40"/>
      <c r="AQ1029" s="40"/>
      <c r="AR1029" s="40"/>
      <c r="AS1029" s="40"/>
      <c r="AT1029" s="40"/>
      <c r="AU1029" s="40"/>
      <c r="AV1029" s="40"/>
      <c r="AW1029" s="40"/>
      <c r="AX1029" s="40"/>
      <c r="AY1029" s="40"/>
      <c r="AZ1029" s="40"/>
      <c r="BA1029" s="40"/>
      <c r="BB1029" s="40"/>
      <c r="BC1029" s="40"/>
      <c r="BD1029" s="40"/>
      <c r="BE1029" s="40"/>
      <c r="BF1029" s="40"/>
      <c r="BG1029" s="40"/>
      <c r="BH1029" s="40"/>
      <c r="BI1029" s="40"/>
      <c r="BJ1029" s="40"/>
      <c r="BK1029" s="40"/>
      <c r="BL1029" s="40"/>
      <c r="BM1029" s="40"/>
      <c r="BN1029" s="40"/>
      <c r="BO1029" s="40"/>
      <c r="BP1029" s="40"/>
      <c r="BQ1029" s="40"/>
      <c r="BR1029" s="40"/>
      <c r="BS1029" s="40"/>
      <c r="BT1029" s="40"/>
      <c r="BU1029" s="40"/>
      <c r="BV1029" s="40"/>
      <c r="BW1029" s="40"/>
      <c r="BX1029" s="40"/>
      <c r="BY1029" s="40"/>
      <c r="BZ1029" s="40"/>
      <c r="CA1029" s="40"/>
      <c r="CB1029" s="40"/>
      <c r="CC1029" s="40"/>
      <c r="CD1029" s="40"/>
      <c r="CE1029" s="40"/>
      <c r="CF1029" s="40"/>
      <c r="CG1029" s="40"/>
      <c r="CH1029" s="40"/>
      <c r="CI1029" s="40"/>
      <c r="CJ1029" s="40"/>
      <c r="CK1029" s="40"/>
      <c r="CL1029" s="40"/>
      <c r="CM1029" s="40"/>
      <c r="CN1029" s="40"/>
      <c r="CO1029" s="40"/>
      <c r="CP1029" s="40"/>
      <c r="CQ1029" s="40"/>
      <c r="CR1029" s="40"/>
      <c r="CS1029" s="40"/>
      <c r="CT1029" s="40"/>
      <c r="CU1029" s="40"/>
      <c r="CV1029" s="40"/>
      <c r="CW1029" s="40"/>
      <c r="CX1029" s="40"/>
      <c r="CY1029" s="40"/>
      <c r="CZ1029" s="40"/>
      <c r="DA1029" s="40"/>
      <c r="DB1029" s="40"/>
      <c r="DC1029" s="40"/>
      <c r="DD1029" s="40"/>
      <c r="DE1029" s="40"/>
      <c r="DF1029" s="40"/>
      <c r="DG1029" s="40"/>
      <c r="DH1029" s="40"/>
      <c r="DI1029" s="40"/>
      <c r="DJ1029" s="40"/>
      <c r="DK1029" s="40"/>
      <c r="DL1029" s="40"/>
      <c r="DM1029" s="40"/>
      <c r="DN1029" s="40"/>
      <c r="DO1029" s="40"/>
      <c r="DP1029" s="40"/>
      <c r="DQ1029" s="40"/>
      <c r="DR1029" s="40"/>
      <c r="DS1029" s="40"/>
      <c r="DT1029" s="40"/>
      <c r="DU1029" s="40"/>
      <c r="DV1029" s="40"/>
      <c r="DW1029" s="40"/>
      <c r="DX1029" s="40"/>
      <c r="DY1029" s="40"/>
      <c r="DZ1029" s="40"/>
      <c r="EA1029" s="40"/>
      <c r="EB1029" s="40"/>
      <c r="EC1029" s="40"/>
      <c r="ED1029" s="40"/>
      <c r="EE1029" s="40"/>
      <c r="EF1029" s="40"/>
      <c r="EG1029" s="40"/>
      <c r="EH1029" s="40"/>
      <c r="EI1029" s="40"/>
      <c r="EJ1029" s="40"/>
      <c r="EK1029" s="40"/>
      <c r="EL1029" s="40"/>
      <c r="EM1029" s="40"/>
      <c r="EN1029" s="40"/>
      <c r="EO1029" s="40"/>
      <c r="EP1029" s="40"/>
      <c r="EQ1029" s="40"/>
      <c r="ER1029" s="40"/>
      <c r="ES1029" s="40"/>
      <c r="ET1029" s="40"/>
      <c r="EU1029" s="40"/>
      <c r="EV1029" s="40"/>
      <c r="EW1029" s="40"/>
      <c r="EX1029" s="40"/>
      <c r="EY1029" s="40"/>
      <c r="EZ1029" s="40"/>
      <c r="FA1029" s="40"/>
      <c r="FB1029" s="40"/>
      <c r="FC1029" s="40"/>
      <c r="FD1029" s="40"/>
      <c r="FE1029" s="40"/>
      <c r="FF1029" s="40"/>
      <c r="FG1029" s="40"/>
      <c r="FH1029" s="40"/>
      <c r="FI1029" s="40"/>
      <c r="FJ1029" s="40"/>
      <c r="FK1029" s="40"/>
      <c r="FL1029" s="40"/>
      <c r="FM1029" s="40"/>
      <c r="FN1029" s="40"/>
      <c r="FO1029" s="40"/>
      <c r="FP1029" s="40"/>
      <c r="FQ1029" s="40"/>
      <c r="FR1029" s="40"/>
      <c r="FS1029" s="40"/>
      <c r="FT1029" s="40"/>
      <c r="FU1029" s="40"/>
      <c r="FV1029" s="40"/>
      <c r="FW1029" s="40"/>
      <c r="FX1029" s="40"/>
      <c r="FY1029" s="40"/>
      <c r="FZ1029" s="40"/>
      <c r="GA1029" s="40"/>
      <c r="GB1029" s="40"/>
      <c r="GC1029" s="40"/>
      <c r="GD1029" s="40"/>
      <c r="GE1029" s="40"/>
      <c r="GF1029" s="40"/>
      <c r="GG1029" s="40"/>
      <c r="GH1029" s="40"/>
      <c r="GI1029" s="40"/>
      <c r="GJ1029" s="40"/>
      <c r="GK1029" s="40"/>
      <c r="GL1029" s="40"/>
      <c r="GM1029" s="40"/>
      <c r="GN1029" s="40"/>
      <c r="GO1029" s="40"/>
      <c r="GP1029" s="40"/>
      <c r="GQ1029" s="40"/>
      <c r="GR1029" s="40"/>
      <c r="GS1029" s="40"/>
      <c r="GT1029" s="40"/>
      <c r="GU1029" s="40"/>
      <c r="GV1029" s="40"/>
      <c r="GW1029" s="40"/>
      <c r="GX1029" s="40"/>
      <c r="GY1029" s="40"/>
      <c r="GZ1029" s="40"/>
      <c r="HA1029" s="40"/>
      <c r="HB1029" s="40"/>
      <c r="HC1029" s="40"/>
      <c r="HD1029" s="40"/>
      <c r="HE1029" s="40"/>
      <c r="HF1029" s="40"/>
      <c r="HG1029" s="40"/>
      <c r="HH1029" s="40"/>
      <c r="HI1029" s="40"/>
      <c r="HJ1029" s="40"/>
      <c r="HK1029" s="40"/>
      <c r="HL1029" s="40"/>
      <c r="HM1029" s="40"/>
      <c r="HN1029" s="40"/>
      <c r="HO1029" s="40"/>
      <c r="HP1029" s="40"/>
      <c r="HQ1029" s="40"/>
      <c r="HR1029" s="40"/>
      <c r="HS1029" s="40"/>
      <c r="HT1029" s="40"/>
      <c r="HU1029" s="40"/>
      <c r="HV1029" s="40"/>
      <c r="HW1029" s="40"/>
      <c r="HX1029" s="40"/>
      <c r="HY1029" s="40"/>
      <c r="HZ1029" s="40"/>
      <c r="IA1029" s="40"/>
      <c r="IB1029" s="40"/>
      <c r="IC1029" s="40"/>
      <c r="ID1029" s="40"/>
      <c r="IE1029" s="40"/>
      <c r="IF1029" s="40"/>
      <c r="IG1029" s="40"/>
      <c r="IH1029" s="40"/>
      <c r="II1029" s="40"/>
      <c r="IJ1029" s="40"/>
      <c r="IK1029" s="40"/>
      <c r="IL1029" s="40"/>
      <c r="IM1029" s="40"/>
      <c r="IN1029" s="40"/>
      <c r="IO1029" s="40"/>
      <c r="IP1029" s="40"/>
      <c r="IQ1029" s="40"/>
      <c r="IR1029" s="40"/>
      <c r="IS1029" s="40"/>
      <c r="IT1029" s="40"/>
      <c r="IU1029" s="40"/>
      <c r="IV1029" s="40"/>
    </row>
    <row r="1030" spans="1:256" ht="14.25" thickTop="1" thickBot="1">
      <c r="A1030" s="267" t="str">
        <f t="shared" si="46"/>
        <v>FLAVIO RICARDO DE FRANÇA</v>
      </c>
      <c r="B1030" s="68" t="s">
        <v>62</v>
      </c>
      <c r="C1030" s="66" t="s">
        <v>922</v>
      </c>
      <c r="D1030" s="65">
        <v>63951</v>
      </c>
      <c r="E1030" s="185">
        <v>42968</v>
      </c>
      <c r="F1030" s="286" t="s">
        <v>757</v>
      </c>
    </row>
    <row r="1031" spans="1:256" ht="14.25" thickTop="1" thickBot="1">
      <c r="A1031" s="267" t="str">
        <f t="shared" si="46"/>
        <v>FRANCISCO AMELIO DE SOUSA</v>
      </c>
      <c r="B1031" s="182" t="s">
        <v>603</v>
      </c>
      <c r="C1031" s="66" t="s">
        <v>296</v>
      </c>
      <c r="D1031" s="181">
        <v>85165</v>
      </c>
      <c r="E1031" s="62">
        <v>41205</v>
      </c>
      <c r="F1031" s="285"/>
    </row>
    <row r="1032" spans="1:256" ht="14.25" thickTop="1" thickBot="1">
      <c r="A1032" s="267" t="str">
        <f t="shared" si="46"/>
        <v>FRANCISCO DE OLIVEIRA E SILVA</v>
      </c>
      <c r="B1032" s="68" t="s">
        <v>1306</v>
      </c>
      <c r="C1032" s="66" t="s">
        <v>1873</v>
      </c>
      <c r="D1032" s="65">
        <v>63901</v>
      </c>
      <c r="E1032" s="62">
        <v>43241</v>
      </c>
      <c r="F1032" s="285"/>
    </row>
    <row r="1033" spans="1:256" ht="14.25" thickTop="1" thickBot="1">
      <c r="A1033" s="267" t="str">
        <f t="shared" si="46"/>
        <v>FRANCISCO DE OLIVEIRA E SILVA</v>
      </c>
      <c r="B1033" s="68" t="s">
        <v>62</v>
      </c>
      <c r="C1033" s="66" t="s">
        <v>374</v>
      </c>
      <c r="D1033" s="61">
        <v>63901</v>
      </c>
      <c r="E1033" s="70">
        <v>42331</v>
      </c>
      <c r="F1033" s="288" t="s">
        <v>757</v>
      </c>
    </row>
    <row r="1034" spans="1:256" ht="14.25" thickTop="1" thickBot="1">
      <c r="A1034" s="267" t="str">
        <f t="shared" si="46"/>
        <v>FRANCISCO ELIAS DE MEIRA</v>
      </c>
      <c r="B1034" s="68" t="s">
        <v>25</v>
      </c>
      <c r="C1034" s="64" t="s">
        <v>374</v>
      </c>
      <c r="D1034" s="65">
        <v>63927</v>
      </c>
      <c r="E1034" s="62">
        <v>40934</v>
      </c>
      <c r="F1034" s="285"/>
    </row>
    <row r="1035" spans="1:256" ht="14.25" thickTop="1" thickBot="1">
      <c r="A1035" s="267" t="str">
        <f t="shared" si="46"/>
        <v>FRANCISCO RIBEIRO SANTANA</v>
      </c>
      <c r="B1035" s="68" t="s">
        <v>62</v>
      </c>
      <c r="C1035" s="66" t="s">
        <v>1255</v>
      </c>
      <c r="D1035" s="61">
        <v>27209</v>
      </c>
      <c r="E1035" s="62">
        <v>42703</v>
      </c>
      <c r="F1035" s="285"/>
    </row>
    <row r="1036" spans="1:256" ht="14.25" thickTop="1" thickBot="1">
      <c r="A1036" s="267" t="str">
        <f t="shared" si="46"/>
        <v>GABRIEL ALEXANDRE DA ROSA</v>
      </c>
      <c r="B1036" s="68" t="s">
        <v>62</v>
      </c>
      <c r="C1036" s="66" t="s">
        <v>212</v>
      </c>
      <c r="D1036" s="61">
        <v>102242</v>
      </c>
      <c r="E1036" s="62">
        <v>40744</v>
      </c>
      <c r="F1036" s="285"/>
    </row>
    <row r="1037" spans="1:256" ht="14.25" thickTop="1" thickBot="1">
      <c r="A1037" s="267" t="str">
        <f t="shared" si="46"/>
        <v>GABRIEL BARBOSA PORTO</v>
      </c>
      <c r="B1037" s="68"/>
      <c r="C1037" s="66" t="s">
        <v>1614</v>
      </c>
      <c r="D1037" s="65">
        <v>27154</v>
      </c>
      <c r="E1037" s="62">
        <v>42327</v>
      </c>
      <c r="F1037" s="285"/>
    </row>
    <row r="1038" spans="1:256" ht="14.25" thickTop="1" thickBot="1">
      <c r="A1038" s="267" t="str">
        <f t="shared" si="46"/>
        <v>GABRIEL BRIGIDO PALHANO</v>
      </c>
      <c r="B1038" s="68" t="s">
        <v>62</v>
      </c>
      <c r="C1038" s="66" t="s">
        <v>1455</v>
      </c>
      <c r="D1038" s="61">
        <v>113274</v>
      </c>
      <c r="E1038" s="70">
        <v>42998</v>
      </c>
      <c r="F1038" s="291"/>
    </row>
    <row r="1039" spans="1:256" ht="14.25" thickTop="1" thickBot="1">
      <c r="A1039" s="267" t="str">
        <f t="shared" si="46"/>
        <v>GABRIEL CRUZ DE RAMOS</v>
      </c>
      <c r="B1039" s="68" t="s">
        <v>2347</v>
      </c>
      <c r="C1039" s="66" t="s">
        <v>1687</v>
      </c>
      <c r="D1039" s="65">
        <v>88279</v>
      </c>
      <c r="E1039" s="62">
        <v>43346</v>
      </c>
      <c r="F1039" s="285"/>
    </row>
    <row r="1040" spans="1:256" ht="14.25" thickTop="1" thickBot="1">
      <c r="A1040" s="267" t="str">
        <f t="shared" si="46"/>
        <v>GABRIEL FERNANDO ANGIESKI</v>
      </c>
      <c r="B1040" s="68" t="s">
        <v>62</v>
      </c>
      <c r="C1040" s="66" t="s">
        <v>2251</v>
      </c>
      <c r="D1040" s="61"/>
      <c r="E1040" s="62">
        <v>43364</v>
      </c>
      <c r="F1040" s="285"/>
    </row>
    <row r="1041" spans="1:6" ht="14.25" thickTop="1" thickBot="1">
      <c r="A1041" s="267" t="str">
        <f t="shared" si="46"/>
        <v>GABRIEL GONÇALVES</v>
      </c>
      <c r="B1041" s="68" t="s">
        <v>62</v>
      </c>
      <c r="C1041" s="193" t="s">
        <v>2008</v>
      </c>
      <c r="D1041" s="198">
        <v>117022</v>
      </c>
      <c r="E1041" s="180">
        <v>40659</v>
      </c>
      <c r="F1041" s="286"/>
    </row>
    <row r="1042" spans="1:6" ht="14.25" thickTop="1" thickBot="1">
      <c r="A1042" s="267" t="str">
        <f>C1044</f>
        <v>GABRIEL MENDES</v>
      </c>
      <c r="B1042" s="182" t="s">
        <v>1306</v>
      </c>
      <c r="C1042" s="66" t="s">
        <v>1698</v>
      </c>
      <c r="D1042" s="182"/>
      <c r="E1042" s="62">
        <v>42844</v>
      </c>
      <c r="F1042" s="285"/>
    </row>
    <row r="1043" spans="1:6" ht="14.25" thickTop="1" thickBot="1">
      <c r="A1043" s="267"/>
      <c r="B1043" s="68" t="s">
        <v>1264</v>
      </c>
      <c r="C1043" s="77" t="s">
        <v>3417</v>
      </c>
      <c r="D1043" s="61">
        <v>484129</v>
      </c>
      <c r="E1043" s="62">
        <v>43928</v>
      </c>
      <c r="F1043" s="285"/>
    </row>
    <row r="1044" spans="1:6" ht="14.25" thickTop="1" thickBot="1">
      <c r="A1044" s="267" t="str">
        <f t="shared" ref="A1044:A1050" si="47">C1045</f>
        <v>GABRIEL PACHECO      (Raul)</v>
      </c>
      <c r="B1044" s="68" t="s">
        <v>1812</v>
      </c>
      <c r="C1044" s="66" t="s">
        <v>76</v>
      </c>
      <c r="D1044" s="65"/>
      <c r="E1044" s="62">
        <v>40353</v>
      </c>
      <c r="F1044" s="285"/>
    </row>
    <row r="1045" spans="1:6" ht="14.25" thickTop="1" thickBot="1">
      <c r="A1045" s="267" t="str">
        <f t="shared" si="47"/>
        <v>GABRIEL VINICIUS VIEIRA BORGES</v>
      </c>
      <c r="B1045" s="68" t="s">
        <v>62</v>
      </c>
      <c r="C1045" s="66" t="s">
        <v>2948</v>
      </c>
      <c r="D1045" s="65">
        <v>27031</v>
      </c>
      <c r="E1045" s="62">
        <v>43077</v>
      </c>
      <c r="F1045" s="285"/>
    </row>
    <row r="1046" spans="1:6" ht="14.25" thickTop="1" thickBot="1">
      <c r="A1046" s="267" t="str">
        <f t="shared" si="47"/>
        <v>GEANDRO TIERRE ANDRONIC</v>
      </c>
      <c r="B1046" s="68" t="s">
        <v>62</v>
      </c>
      <c r="C1046" s="131" t="s">
        <v>2102</v>
      </c>
      <c r="D1046" s="117">
        <v>139635</v>
      </c>
      <c r="E1046" s="115">
        <v>41379</v>
      </c>
      <c r="F1046" s="288" t="s">
        <v>129</v>
      </c>
    </row>
    <row r="1047" spans="1:6" ht="14.25" thickTop="1" thickBot="1">
      <c r="A1047" s="267" t="str">
        <f t="shared" si="47"/>
        <v>GEDEAO DE ALMEIDA LOPES</v>
      </c>
      <c r="B1047" s="68" t="s">
        <v>62</v>
      </c>
      <c r="C1047" s="66" t="s">
        <v>92</v>
      </c>
      <c r="D1047" s="61">
        <v>27325</v>
      </c>
      <c r="E1047" s="62">
        <v>39966</v>
      </c>
      <c r="F1047" s="285"/>
    </row>
    <row r="1048" spans="1:6" ht="14.25" thickTop="1" thickBot="1">
      <c r="A1048" s="267" t="str">
        <f t="shared" si="47"/>
        <v>GELSON ALEXANDRE DA SILVA</v>
      </c>
      <c r="B1048" s="68" t="s">
        <v>62</v>
      </c>
      <c r="C1048" s="66" t="s">
        <v>1004</v>
      </c>
      <c r="D1048" s="65">
        <v>27006</v>
      </c>
      <c r="E1048" s="62">
        <v>42131</v>
      </c>
      <c r="F1048" s="285"/>
    </row>
    <row r="1049" spans="1:6" ht="14.25" thickTop="1" thickBot="1">
      <c r="A1049" s="267" t="str">
        <f t="shared" si="47"/>
        <v xml:space="preserve">GELSON CARLOS RODRIGUES </v>
      </c>
      <c r="B1049" s="68" t="s">
        <v>62</v>
      </c>
      <c r="C1049" s="64" t="s">
        <v>308</v>
      </c>
      <c r="D1049" s="61">
        <v>63979</v>
      </c>
      <c r="E1049" s="62"/>
      <c r="F1049" s="285"/>
    </row>
    <row r="1050" spans="1:6" ht="14.25" thickTop="1" thickBot="1">
      <c r="A1050" s="267" t="str">
        <f t="shared" si="47"/>
        <v>GELSON DE CASTRO</v>
      </c>
      <c r="B1050" s="68" t="s">
        <v>62</v>
      </c>
      <c r="C1050" s="66" t="s">
        <v>1832</v>
      </c>
      <c r="D1050" s="65">
        <v>51084</v>
      </c>
      <c r="E1050" s="62">
        <v>43243</v>
      </c>
      <c r="F1050" s="285"/>
    </row>
    <row r="1051" spans="1:6" ht="14.25" thickTop="1" thickBot="1">
      <c r="A1051" s="267"/>
      <c r="B1051" s="68" t="s">
        <v>62</v>
      </c>
      <c r="C1051" s="66" t="s">
        <v>2143</v>
      </c>
      <c r="D1051" s="61">
        <v>123371</v>
      </c>
      <c r="E1051" s="62">
        <v>40414</v>
      </c>
      <c r="F1051" s="285"/>
    </row>
    <row r="1052" spans="1:6" ht="14.25" thickTop="1" thickBot="1">
      <c r="A1052" s="267" t="str">
        <f>C1053</f>
        <v>GENILSON DE PAULA BRITO    (Geninho)</v>
      </c>
      <c r="B1052" s="68" t="s">
        <v>2413</v>
      </c>
      <c r="C1052" s="192" t="s">
        <v>2949</v>
      </c>
      <c r="D1052" s="61">
        <v>24491</v>
      </c>
      <c r="E1052" s="62">
        <v>43749</v>
      </c>
      <c r="F1052" s="285"/>
    </row>
    <row r="1053" spans="1:6" ht="14.25" thickTop="1" thickBot="1">
      <c r="A1053" s="271"/>
      <c r="B1053" s="62" t="s">
        <v>1812</v>
      </c>
      <c r="C1053" s="66" t="s">
        <v>2950</v>
      </c>
      <c r="D1053" s="65"/>
      <c r="E1053" s="62">
        <v>43356</v>
      </c>
      <c r="F1053" s="293"/>
    </row>
    <row r="1054" spans="1:6" ht="14.25" thickTop="1" thickBot="1">
      <c r="A1054" s="267" t="s">
        <v>2363</v>
      </c>
      <c r="B1054" s="61" t="s">
        <v>2413</v>
      </c>
      <c r="C1054" s="66" t="s">
        <v>2951</v>
      </c>
      <c r="D1054" s="61">
        <v>72194</v>
      </c>
      <c r="E1054" s="70">
        <v>43440</v>
      </c>
      <c r="F1054" s="284"/>
    </row>
    <row r="1055" spans="1:6" ht="14.25" thickTop="1" thickBot="1">
      <c r="A1055" s="267"/>
      <c r="B1055" s="68" t="s">
        <v>2413</v>
      </c>
      <c r="C1055" s="66" t="s">
        <v>2258</v>
      </c>
      <c r="D1055" s="61">
        <v>139494</v>
      </c>
      <c r="E1055" s="62">
        <v>43984</v>
      </c>
      <c r="F1055" s="285"/>
    </row>
    <row r="1056" spans="1:6" ht="14.25" thickTop="1" thickBot="1">
      <c r="A1056" s="267"/>
      <c r="B1056" s="62" t="s">
        <v>126</v>
      </c>
      <c r="C1056" s="60" t="s">
        <v>1229</v>
      </c>
      <c r="D1056" s="61">
        <v>63165</v>
      </c>
      <c r="E1056" s="62">
        <v>43392</v>
      </c>
      <c r="F1056" s="293"/>
    </row>
    <row r="1057" spans="1:6" ht="14.25" thickTop="1" thickBot="1">
      <c r="A1057" s="267" t="s">
        <v>2380</v>
      </c>
      <c r="B1057" s="68" t="s">
        <v>2406</v>
      </c>
      <c r="C1057" s="60" t="s">
        <v>2504</v>
      </c>
      <c r="D1057" s="61">
        <v>142880</v>
      </c>
      <c r="E1057" s="62">
        <v>43749</v>
      </c>
      <c r="F1057" s="285"/>
    </row>
    <row r="1058" spans="1:6" ht="14.25" thickTop="1" thickBot="1">
      <c r="A1058" s="267" t="str">
        <f>C1059</f>
        <v>GEOVANI OLIVEIRA CALAUDINO</v>
      </c>
      <c r="B1058" s="68" t="s">
        <v>2406</v>
      </c>
      <c r="C1058" s="66" t="s">
        <v>2380</v>
      </c>
      <c r="D1058" s="191">
        <v>157925</v>
      </c>
      <c r="E1058" s="62">
        <v>43812</v>
      </c>
      <c r="F1058" s="285"/>
    </row>
    <row r="1059" spans="1:6" ht="14.25" thickTop="1" thickBot="1">
      <c r="A1059" s="267" t="str">
        <f>C1060</f>
        <v>GERALDO DAS CHAGAS</v>
      </c>
      <c r="B1059" s="68" t="s">
        <v>62</v>
      </c>
      <c r="C1059" s="60" t="s">
        <v>2363</v>
      </c>
      <c r="D1059" s="61">
        <v>166925</v>
      </c>
      <c r="E1059" s="62">
        <v>42705</v>
      </c>
      <c r="F1059" s="285"/>
    </row>
    <row r="1060" spans="1:6" ht="14.25" thickTop="1" thickBot="1">
      <c r="A1060" s="267" t="str">
        <f>C1063</f>
        <v>GERALDO HENRIQUE DO ESPIRITO SANTO</v>
      </c>
      <c r="B1060" s="68" t="s">
        <v>1306</v>
      </c>
      <c r="C1060" s="66" t="s">
        <v>1322</v>
      </c>
      <c r="D1060" s="186">
        <v>43462</v>
      </c>
      <c r="E1060" s="81">
        <v>40288</v>
      </c>
      <c r="F1060" s="285"/>
    </row>
    <row r="1061" spans="1:6" ht="14.25" thickTop="1" thickBot="1">
      <c r="A1061" s="267" t="str">
        <f>C1062</f>
        <v>GERALDO FERREIRA SILVINO</v>
      </c>
      <c r="B1061" s="68" t="s">
        <v>62</v>
      </c>
      <c r="C1061" s="66" t="s">
        <v>183</v>
      </c>
      <c r="D1061" s="67"/>
      <c r="E1061" s="62">
        <v>41647</v>
      </c>
      <c r="F1061" s="285"/>
    </row>
    <row r="1062" spans="1:6" ht="14.25" thickTop="1" thickBot="1">
      <c r="A1062" s="267" t="str">
        <f>C1063</f>
        <v>GERALDO HENRIQUE DO ESPIRITO SANTO</v>
      </c>
      <c r="B1062" s="68" t="s">
        <v>1306</v>
      </c>
      <c r="C1062" s="64" t="s">
        <v>222</v>
      </c>
      <c r="D1062" s="61">
        <v>39872</v>
      </c>
      <c r="E1062" s="70">
        <v>43355</v>
      </c>
      <c r="F1062" s="284"/>
    </row>
    <row r="1063" spans="1:6" ht="14.25" thickTop="1" thickBot="1">
      <c r="A1063" s="267" t="str">
        <f>C1064</f>
        <v>GERALDO JANDIR DE FONTOURA</v>
      </c>
      <c r="B1063" s="68" t="s">
        <v>62</v>
      </c>
      <c r="C1063" s="77" t="s">
        <v>2168</v>
      </c>
      <c r="D1063" s="198">
        <v>102544</v>
      </c>
      <c r="E1063" s="180">
        <v>41380</v>
      </c>
      <c r="F1063" s="286" t="s">
        <v>1758</v>
      </c>
    </row>
    <row r="1064" spans="1:6" ht="14.25" thickTop="1" thickBot="1">
      <c r="A1064" s="267" t="str">
        <f>C1065</f>
        <v>GERALDO RAITSA</v>
      </c>
      <c r="B1064" s="182" t="s">
        <v>516</v>
      </c>
      <c r="C1064" s="66" t="s">
        <v>830</v>
      </c>
      <c r="D1064" s="182"/>
      <c r="E1064" s="62">
        <v>40675</v>
      </c>
      <c r="F1064" s="285"/>
    </row>
    <row r="1065" spans="1:6" ht="14.25" thickTop="1" thickBot="1">
      <c r="A1065" s="267" t="str">
        <f>C1066</f>
        <v>GERSON VIGGIANO</v>
      </c>
      <c r="B1065" s="68" t="s">
        <v>62</v>
      </c>
      <c r="C1065" s="66" t="s">
        <v>1437</v>
      </c>
      <c r="D1065" s="65">
        <v>55716</v>
      </c>
      <c r="E1065" s="62">
        <v>43243</v>
      </c>
      <c r="F1065" s="285"/>
    </row>
    <row r="1066" spans="1:6" ht="14.25" thickTop="1" thickBot="1">
      <c r="A1066" s="267"/>
      <c r="B1066" s="67" t="s">
        <v>1522</v>
      </c>
      <c r="C1066" s="131" t="s">
        <v>474</v>
      </c>
      <c r="D1066" s="117">
        <v>55716</v>
      </c>
      <c r="E1066" s="62">
        <v>41164</v>
      </c>
      <c r="F1066" s="285"/>
    </row>
    <row r="1067" spans="1:6" ht="14.25" thickTop="1" thickBot="1">
      <c r="A1067" s="267"/>
      <c r="B1067" s="68" t="s">
        <v>1812</v>
      </c>
      <c r="C1067" s="476" t="s">
        <v>474</v>
      </c>
      <c r="D1067" s="596">
        <v>63726</v>
      </c>
      <c r="E1067" s="81">
        <v>43550</v>
      </c>
      <c r="F1067" s="285"/>
    </row>
    <row r="1068" spans="1:6" ht="14.25" thickTop="1" thickBot="1">
      <c r="A1068" s="267" t="str">
        <f>C1069</f>
        <v>GIAN LUCAS DA SILVA                     (Damaloca)</v>
      </c>
      <c r="B1068" s="68" t="s">
        <v>351</v>
      </c>
      <c r="C1068" s="238" t="s">
        <v>1841</v>
      </c>
      <c r="D1068" s="593">
        <v>109538</v>
      </c>
      <c r="E1068" s="62">
        <v>43613</v>
      </c>
      <c r="F1068" s="287"/>
    </row>
    <row r="1069" spans="1:6" ht="14.25" thickTop="1" thickBot="1">
      <c r="A1069" s="267" t="str">
        <f>C1070</f>
        <v>GILBERTO ALVES JUNIOR</v>
      </c>
      <c r="B1069" s="68" t="s">
        <v>62</v>
      </c>
      <c r="C1069" s="60" t="s">
        <v>3368</v>
      </c>
      <c r="D1069" s="61">
        <v>128514</v>
      </c>
      <c r="E1069" s="62"/>
      <c r="F1069" s="285"/>
    </row>
    <row r="1070" spans="1:6" ht="14.25" thickTop="1" thickBot="1">
      <c r="A1070" s="267"/>
      <c r="B1070" s="68" t="s">
        <v>2413</v>
      </c>
      <c r="C1070" s="66" t="s">
        <v>2389</v>
      </c>
      <c r="D1070" s="61">
        <v>120485</v>
      </c>
      <c r="E1070" s="62">
        <v>43984</v>
      </c>
      <c r="F1070" s="285"/>
    </row>
    <row r="1071" spans="1:6" ht="14.25" thickTop="1" thickBot="1">
      <c r="A1071" s="267" t="str">
        <f>C1072</f>
        <v>GILBERTO DA SILVA MIRANDA</v>
      </c>
      <c r="B1071" s="68" t="s">
        <v>62</v>
      </c>
      <c r="C1071" s="66" t="s">
        <v>1428</v>
      </c>
      <c r="D1071" s="69">
        <v>43245</v>
      </c>
      <c r="E1071" s="180">
        <v>42658</v>
      </c>
      <c r="F1071" s="286"/>
    </row>
    <row r="1072" spans="1:6" ht="14.25" thickTop="1" thickBot="1">
      <c r="A1072" s="267" t="str">
        <f>C1073</f>
        <v>GILBERTO DE JESUS                            (Gil)</v>
      </c>
      <c r="B1072" s="68" t="s">
        <v>62</v>
      </c>
      <c r="C1072" s="64" t="s">
        <v>119</v>
      </c>
      <c r="D1072" s="181">
        <v>63240</v>
      </c>
      <c r="E1072" s="62">
        <v>39406</v>
      </c>
      <c r="F1072" s="285"/>
    </row>
    <row r="1073" spans="1:6" ht="14.25" thickTop="1" thickBot="1">
      <c r="A1073" s="267" t="str">
        <f>C1079</f>
        <v>GILBERTO LIMA BARBOSA           (Gordo)</v>
      </c>
      <c r="B1073" s="68" t="s">
        <v>62</v>
      </c>
      <c r="C1073" s="131" t="s">
        <v>3369</v>
      </c>
      <c r="D1073" s="202"/>
      <c r="E1073" s="62">
        <v>42608</v>
      </c>
      <c r="F1073" s="285"/>
    </row>
    <row r="1074" spans="1:6" ht="14.25" thickTop="1" thickBot="1">
      <c r="A1074" s="267" t="s">
        <v>2870</v>
      </c>
      <c r="B1074" s="68" t="s">
        <v>62</v>
      </c>
      <c r="C1074" s="131" t="s">
        <v>1534</v>
      </c>
      <c r="D1074" s="140"/>
      <c r="E1074" s="62">
        <v>41575</v>
      </c>
      <c r="F1074" s="287"/>
    </row>
    <row r="1075" spans="1:6" ht="14.25" thickTop="1" thickBot="1">
      <c r="A1075" s="267"/>
      <c r="B1075" s="68" t="s">
        <v>2413</v>
      </c>
      <c r="C1075" s="66" t="s">
        <v>2870</v>
      </c>
      <c r="D1075" s="67" t="s">
        <v>1581</v>
      </c>
      <c r="E1075" s="62">
        <v>43845</v>
      </c>
      <c r="F1075" s="287"/>
    </row>
    <row r="1076" spans="1:6" ht="14.25" thickTop="1" thickBot="1">
      <c r="A1076" s="267" t="str">
        <f>C1080</f>
        <v>GILBERTO NUNES DA SILVEIRA</v>
      </c>
      <c r="B1076" s="68" t="s">
        <v>2413</v>
      </c>
      <c r="C1076" s="66" t="s">
        <v>3370</v>
      </c>
      <c r="D1076" s="61">
        <v>63468</v>
      </c>
      <c r="E1076" s="62"/>
      <c r="F1076" s="285"/>
    </row>
    <row r="1077" spans="1:6" ht="14.25" thickTop="1" thickBot="1">
      <c r="A1077" s="267" t="str">
        <f t="shared" ref="A1077:A1083" si="48">C1078</f>
        <v>GILBERTO LEOTERIO DA LUZ</v>
      </c>
      <c r="B1077" s="68" t="s">
        <v>62</v>
      </c>
      <c r="C1077" s="66" t="s">
        <v>3371</v>
      </c>
      <c r="D1077" s="69">
        <v>63846</v>
      </c>
      <c r="E1077" s="70">
        <v>43187</v>
      </c>
      <c r="F1077" s="284"/>
    </row>
    <row r="1078" spans="1:6" ht="14.25" thickTop="1" thickBot="1">
      <c r="A1078" s="267" t="str">
        <f t="shared" si="48"/>
        <v>GILBERTO LIMA BARBOSA           (Gordo)</v>
      </c>
      <c r="B1078" s="68" t="s">
        <v>62</v>
      </c>
      <c r="C1078" s="64" t="s">
        <v>2015</v>
      </c>
      <c r="D1078" s="65">
        <v>88349</v>
      </c>
      <c r="E1078" s="62">
        <v>37587</v>
      </c>
      <c r="F1078" s="285"/>
    </row>
    <row r="1079" spans="1:6" ht="14.25" thickTop="1" thickBot="1">
      <c r="A1079" s="267" t="str">
        <f t="shared" si="48"/>
        <v>GILBERTO NUNES DA SILVEIRA</v>
      </c>
      <c r="B1079" s="68" t="s">
        <v>1906</v>
      </c>
      <c r="C1079" s="66" t="s">
        <v>3372</v>
      </c>
      <c r="D1079" s="61"/>
      <c r="E1079" s="62">
        <v>42608</v>
      </c>
      <c r="F1079" s="285"/>
    </row>
    <row r="1080" spans="1:6" ht="14.25" thickTop="1" thickBot="1">
      <c r="A1080" s="267" t="str">
        <f t="shared" si="48"/>
        <v>GILBERTO PEDRO DE OLIVEIRA</v>
      </c>
      <c r="B1080" s="68" t="s">
        <v>1306</v>
      </c>
      <c r="C1080" s="66" t="s">
        <v>1028</v>
      </c>
      <c r="D1080" s="67"/>
      <c r="E1080" s="62">
        <v>41095</v>
      </c>
      <c r="F1080" s="285"/>
    </row>
    <row r="1081" spans="1:6" ht="14.25" thickTop="1" thickBot="1">
      <c r="A1081" s="267" t="str">
        <f t="shared" si="48"/>
        <v>GILCEMAR DE CASTRO FREITAS     (Tigê)</v>
      </c>
      <c r="B1081" s="68" t="s">
        <v>62</v>
      </c>
      <c r="C1081" s="66" t="s">
        <v>661</v>
      </c>
      <c r="D1081" s="61">
        <v>104108</v>
      </c>
      <c r="E1081" s="180">
        <v>42703</v>
      </c>
      <c r="F1081" s="286" t="s">
        <v>757</v>
      </c>
    </row>
    <row r="1082" spans="1:6" ht="14.25" thickTop="1" thickBot="1">
      <c r="A1082" s="267" t="str">
        <f t="shared" si="48"/>
        <v>GILDO JOSE DE DEUS</v>
      </c>
      <c r="B1082" s="182" t="s">
        <v>62</v>
      </c>
      <c r="C1082" s="66" t="s">
        <v>2952</v>
      </c>
      <c r="D1082" s="181">
        <v>63189</v>
      </c>
      <c r="E1082" s="62">
        <v>42836</v>
      </c>
      <c r="F1082" s="285"/>
    </row>
    <row r="1083" spans="1:6" ht="14.25" thickTop="1" thickBot="1">
      <c r="A1083" s="267" t="str">
        <f t="shared" si="48"/>
        <v>GILMAR APARECIDO RIBEIRO</v>
      </c>
      <c r="B1083" s="68" t="s">
        <v>62</v>
      </c>
      <c r="C1083" s="66" t="s">
        <v>1069</v>
      </c>
      <c r="D1083" s="67"/>
      <c r="E1083" s="62">
        <v>41884</v>
      </c>
      <c r="F1083" s="285"/>
    </row>
    <row r="1084" spans="1:6" ht="14.25" thickTop="1" thickBot="1">
      <c r="A1084" s="267"/>
      <c r="B1084" s="68" t="s">
        <v>62</v>
      </c>
      <c r="C1084" s="64" t="s">
        <v>1029</v>
      </c>
      <c r="D1084" s="61">
        <v>101519</v>
      </c>
      <c r="E1084" s="62">
        <v>40532</v>
      </c>
      <c r="F1084" s="285"/>
    </row>
    <row r="1085" spans="1:6" ht="14.25" thickTop="1" thickBot="1">
      <c r="A1085" s="267" t="str">
        <f t="shared" ref="A1085:A1091" si="49">C1086</f>
        <v>GILMAR DOS SANTOS BANDEIRA               (Espeto)</v>
      </c>
      <c r="B1085" s="68" t="s">
        <v>2594</v>
      </c>
      <c r="C1085" s="66" t="s">
        <v>132</v>
      </c>
      <c r="D1085" s="61">
        <v>122288</v>
      </c>
      <c r="E1085" s="62">
        <v>43521</v>
      </c>
      <c r="F1085" s="285"/>
    </row>
    <row r="1086" spans="1:6" ht="14.25" thickTop="1" thickBot="1">
      <c r="A1086" s="267" t="str">
        <f t="shared" si="49"/>
        <v>GILMAR FURMANIAK FREITAS DA SILVA</v>
      </c>
      <c r="B1086" s="68" t="s">
        <v>62</v>
      </c>
      <c r="C1086" s="224" t="s">
        <v>3373</v>
      </c>
      <c r="D1086" s="61">
        <v>56684</v>
      </c>
      <c r="E1086" s="62">
        <v>42658</v>
      </c>
      <c r="F1086" s="285"/>
    </row>
    <row r="1087" spans="1:6" ht="14.25" thickTop="1" thickBot="1">
      <c r="A1087" s="267" t="str">
        <f t="shared" si="49"/>
        <v>GILMAR HARTMANN</v>
      </c>
      <c r="B1087" s="68" t="s">
        <v>62</v>
      </c>
      <c r="C1087" s="66" t="s">
        <v>1874</v>
      </c>
      <c r="D1087" s="65">
        <v>27140</v>
      </c>
      <c r="E1087" s="175">
        <v>40434</v>
      </c>
      <c r="F1087" s="295" t="s">
        <v>757</v>
      </c>
    </row>
    <row r="1088" spans="1:6" ht="14.25" thickTop="1" thickBot="1">
      <c r="A1088" s="267" t="str">
        <f t="shared" si="49"/>
        <v>GILMAR MELO REIMUNDO</v>
      </c>
      <c r="B1088" s="68" t="s">
        <v>1812</v>
      </c>
      <c r="C1088" s="66" t="s">
        <v>678</v>
      </c>
      <c r="D1088" s="65"/>
      <c r="E1088" s="185">
        <v>42206</v>
      </c>
      <c r="F1088" s="292" t="s">
        <v>757</v>
      </c>
    </row>
    <row r="1089" spans="1:6" ht="14.25" thickTop="1" thickBot="1">
      <c r="A1089" s="267" t="str">
        <f t="shared" si="49"/>
        <v>GILMAR PEREIRA DE SOUZA    (Gil)</v>
      </c>
      <c r="B1089" s="68" t="s">
        <v>62</v>
      </c>
      <c r="C1089" s="66" t="s">
        <v>1922</v>
      </c>
      <c r="D1089" s="61">
        <v>112147</v>
      </c>
      <c r="E1089" s="62">
        <v>40759</v>
      </c>
      <c r="F1089" s="285"/>
    </row>
    <row r="1090" spans="1:6" ht="14.25" thickTop="1" thickBot="1">
      <c r="A1090" s="267" t="str">
        <f t="shared" si="49"/>
        <v>GILMAR RAMOS</v>
      </c>
      <c r="B1090" s="68" t="s">
        <v>62</v>
      </c>
      <c r="C1090" s="66" t="s">
        <v>2953</v>
      </c>
      <c r="D1090" s="65">
        <v>63733</v>
      </c>
      <c r="E1090" s="62">
        <v>41992</v>
      </c>
      <c r="F1090" s="285"/>
    </row>
    <row r="1091" spans="1:6" ht="14.25" thickTop="1" thickBot="1">
      <c r="A1091" s="267" t="str">
        <f t="shared" si="49"/>
        <v>GILMAR SCHULTZ</v>
      </c>
      <c r="B1091" s="68" t="s">
        <v>62</v>
      </c>
      <c r="C1091" s="66" t="s">
        <v>1447</v>
      </c>
      <c r="D1091" s="65">
        <v>63666</v>
      </c>
      <c r="E1091" s="62">
        <v>42474</v>
      </c>
      <c r="F1091" s="285"/>
    </row>
    <row r="1092" spans="1:6" ht="14.25" thickTop="1" thickBot="1">
      <c r="A1092" s="283" t="s">
        <v>2726</v>
      </c>
      <c r="B1092" s="68" t="s">
        <v>1906</v>
      </c>
      <c r="C1092" s="66" t="s">
        <v>1030</v>
      </c>
      <c r="D1092" s="61"/>
      <c r="E1092" s="62">
        <v>41205</v>
      </c>
      <c r="F1092" s="285"/>
    </row>
    <row r="1093" spans="1:6" ht="14.25" thickTop="1" thickBot="1">
      <c r="A1093" s="267" t="str">
        <f>C1094</f>
        <v>GILSON CELSO GUIMARÃES</v>
      </c>
      <c r="B1093" s="68" t="s">
        <v>2413</v>
      </c>
      <c r="C1093" s="64" t="s">
        <v>2726</v>
      </c>
      <c r="D1093" s="61">
        <v>102577</v>
      </c>
      <c r="E1093" s="70">
        <v>43818</v>
      </c>
      <c r="F1093" s="287"/>
    </row>
    <row r="1094" spans="1:6" ht="14.25" thickTop="1" thickBot="1">
      <c r="A1094" s="267" t="str">
        <f>C1095</f>
        <v>GILSON MARTINS CARDOSO</v>
      </c>
      <c r="B1094" s="68" t="s">
        <v>62</v>
      </c>
      <c r="C1094" s="66" t="s">
        <v>1902</v>
      </c>
      <c r="D1094" s="187">
        <v>63110</v>
      </c>
      <c r="E1094" s="62">
        <v>39302</v>
      </c>
      <c r="F1094" s="285"/>
    </row>
    <row r="1095" spans="1:6" ht="14.25" thickTop="1" thickBot="1">
      <c r="A1095" s="267" t="str">
        <f>C1096</f>
        <v>GILSON MELO</v>
      </c>
      <c r="B1095" s="68" t="s">
        <v>62</v>
      </c>
      <c r="C1095" s="77" t="s">
        <v>379</v>
      </c>
      <c r="D1095" s="181">
        <v>102408</v>
      </c>
      <c r="E1095" s="62">
        <v>42920</v>
      </c>
      <c r="F1095" s="285"/>
    </row>
    <row r="1096" spans="1:6" ht="14.25" thickTop="1" thickBot="1">
      <c r="A1096" s="267" t="str">
        <f>C1097</f>
        <v>GILVAGNER BARBOSA</v>
      </c>
      <c r="B1096" s="68" t="s">
        <v>62</v>
      </c>
      <c r="C1096" s="66" t="s">
        <v>1615</v>
      </c>
      <c r="D1096" s="61">
        <v>103237</v>
      </c>
      <c r="E1096" s="62">
        <v>41757</v>
      </c>
      <c r="F1096" s="285"/>
    </row>
    <row r="1097" spans="1:6" ht="14.25" thickTop="1" thickBot="1">
      <c r="A1097" s="267" t="str">
        <f>C1098</f>
        <v>GILVAM BATISTA DE ALMEIDA JUNIOR</v>
      </c>
      <c r="B1097" s="68" t="s">
        <v>62</v>
      </c>
      <c r="C1097" s="66" t="s">
        <v>314</v>
      </c>
      <c r="D1097" s="65">
        <v>48750</v>
      </c>
      <c r="E1097" s="62">
        <v>43077</v>
      </c>
      <c r="F1097" s="285"/>
    </row>
    <row r="1098" spans="1:6" ht="14.25" thickTop="1" thickBot="1">
      <c r="A1098" s="267"/>
      <c r="B1098" s="68" t="s">
        <v>1306</v>
      </c>
      <c r="C1098" s="66" t="s">
        <v>1894</v>
      </c>
      <c r="D1098" s="61">
        <v>89529</v>
      </c>
      <c r="E1098" s="62">
        <v>41354</v>
      </c>
      <c r="F1098" s="285"/>
    </row>
    <row r="1099" spans="1:6" ht="14.25" thickTop="1" thickBot="1">
      <c r="A1099" s="267" t="str">
        <f>C1100</f>
        <v>GIOVANE CAMARGO DE SOUZA    (Sprite)</v>
      </c>
      <c r="B1099" s="68" t="s">
        <v>351</v>
      </c>
      <c r="C1099" s="66" t="s">
        <v>2954</v>
      </c>
      <c r="D1099" s="69">
        <v>27122</v>
      </c>
      <c r="E1099" s="62">
        <v>42342</v>
      </c>
      <c r="F1099" s="285"/>
    </row>
    <row r="1100" spans="1:6" ht="14.25" thickTop="1" thickBot="1">
      <c r="A1100" s="268" t="s">
        <v>3387</v>
      </c>
      <c r="B1100" s="68" t="s">
        <v>62</v>
      </c>
      <c r="C1100" s="66" t="s">
        <v>2955</v>
      </c>
      <c r="D1100" s="61"/>
      <c r="E1100" s="62">
        <v>42914</v>
      </c>
      <c r="F1100" s="285"/>
    </row>
    <row r="1101" spans="1:6" ht="14.25" thickTop="1" thickBot="1">
      <c r="A1101" s="267"/>
      <c r="B1101" s="61" t="s">
        <v>2406</v>
      </c>
      <c r="C1101" s="246" t="s">
        <v>2751</v>
      </c>
      <c r="D1101" s="65">
        <v>102300</v>
      </c>
      <c r="E1101" s="70">
        <v>43860</v>
      </c>
      <c r="F1101" s="284"/>
    </row>
    <row r="1102" spans="1:6" ht="14.25" thickTop="1" thickBot="1">
      <c r="A1102" s="267"/>
      <c r="B1102" s="68" t="s">
        <v>62</v>
      </c>
      <c r="C1102" s="66" t="s">
        <v>1808</v>
      </c>
      <c r="D1102" s="65">
        <v>102527</v>
      </c>
      <c r="E1102" s="62">
        <v>42327</v>
      </c>
      <c r="F1102" s="285"/>
    </row>
    <row r="1103" spans="1:6" ht="14.25" thickTop="1" thickBot="1">
      <c r="A1103" s="267" t="str">
        <f>C1104</f>
        <v>GIULIANO MACIEL GOMES      (Bozó)</v>
      </c>
      <c r="B1103" s="68" t="s">
        <v>62</v>
      </c>
      <c r="C1103" s="64" t="s">
        <v>2114</v>
      </c>
      <c r="D1103" s="65">
        <v>27132</v>
      </c>
      <c r="E1103" s="62">
        <v>42191</v>
      </c>
      <c r="F1103" s="285"/>
    </row>
    <row r="1104" spans="1:6" ht="14.25" thickTop="1" thickBot="1">
      <c r="A1104" s="267" t="str">
        <f>C1105</f>
        <v>GIVANILDO LUCIANO CAMARGO</v>
      </c>
      <c r="B1104" s="68" t="s">
        <v>62</v>
      </c>
      <c r="C1104" s="66" t="s">
        <v>2956</v>
      </c>
      <c r="D1104" s="67"/>
      <c r="E1104" s="62">
        <v>40892</v>
      </c>
      <c r="F1104" s="285"/>
    </row>
    <row r="1105" spans="1:20" ht="14.25" thickTop="1" thickBot="1">
      <c r="A1105" s="267" t="str">
        <f>C1106</f>
        <v>GLEBERSON RICARDO SANTOS</v>
      </c>
      <c r="B1105" s="68" t="s">
        <v>1033</v>
      </c>
      <c r="C1105" s="66" t="s">
        <v>662</v>
      </c>
      <c r="D1105" s="65">
        <v>63806</v>
      </c>
      <c r="E1105" s="62">
        <v>42191</v>
      </c>
      <c r="F1105" s="285"/>
    </row>
    <row r="1106" spans="1:20" ht="14.25" thickTop="1" thickBot="1">
      <c r="A1106" s="267" t="str">
        <f>C1107</f>
        <v>GLEDSON FERNANDES DA SILVA</v>
      </c>
      <c r="B1106" s="68" t="s">
        <v>1483</v>
      </c>
      <c r="C1106" s="66" t="s">
        <v>423</v>
      </c>
      <c r="D1106" s="67"/>
      <c r="E1106" s="70">
        <v>42919</v>
      </c>
      <c r="F1106" s="284"/>
    </row>
    <row r="1107" spans="1:20" ht="14.25" thickTop="1" thickBot="1">
      <c r="A1107" s="267" t="str">
        <f>C1108</f>
        <v>GRACIEL CARNEIRO DA LUZ</v>
      </c>
      <c r="B1107" s="89" t="s">
        <v>62</v>
      </c>
      <c r="C1107" s="66" t="s">
        <v>1482</v>
      </c>
      <c r="D1107" s="61">
        <v>13244</v>
      </c>
      <c r="E1107" s="62">
        <v>39471</v>
      </c>
      <c r="F1107" s="285"/>
    </row>
    <row r="1108" spans="1:20" ht="14.25" thickTop="1" thickBot="1">
      <c r="A1108" s="276" t="s">
        <v>3625</v>
      </c>
      <c r="B1108" s="61" t="s">
        <v>1812</v>
      </c>
      <c r="C1108" s="64" t="s">
        <v>2832</v>
      </c>
      <c r="D1108" s="65">
        <v>161882</v>
      </c>
      <c r="E1108" s="62">
        <v>44111</v>
      </c>
      <c r="F1108" s="284"/>
      <c r="G1108" s="408"/>
      <c r="H1108" s="410"/>
      <c r="I1108" s="346"/>
      <c r="J1108" s="84"/>
      <c r="K1108" s="439"/>
      <c r="L1108" s="84"/>
      <c r="M1108" s="439"/>
      <c r="N1108" s="84"/>
      <c r="O1108" s="199"/>
      <c r="P1108" s="199"/>
      <c r="Q1108" s="199"/>
      <c r="R1108" s="199"/>
      <c r="S1108" s="199"/>
      <c r="T1108" s="199"/>
    </row>
    <row r="1109" spans="1:20" ht="14.25" thickTop="1" thickBot="1">
      <c r="A1109" s="267"/>
      <c r="B1109" s="68" t="s">
        <v>2406</v>
      </c>
      <c r="C1109" s="64" t="s">
        <v>3632</v>
      </c>
      <c r="D1109" s="65">
        <v>550911</v>
      </c>
      <c r="E1109" s="70">
        <v>44130</v>
      </c>
      <c r="F1109" s="287"/>
    </row>
    <row r="1110" spans="1:20" ht="14.25" thickTop="1" thickBot="1">
      <c r="A1110" s="267"/>
      <c r="B1110" s="68" t="s">
        <v>1812</v>
      </c>
      <c r="C1110" s="64" t="s">
        <v>3481</v>
      </c>
      <c r="D1110" s="65">
        <v>166912</v>
      </c>
      <c r="E1110" s="70">
        <v>44099</v>
      </c>
      <c r="F1110" s="287"/>
    </row>
    <row r="1111" spans="1:20" ht="14.25" thickTop="1" thickBot="1">
      <c r="A1111" s="267" t="str">
        <f>C1112</f>
        <v>GUARACY DA LUZ FERREIRA</v>
      </c>
      <c r="B1111" s="68" t="s">
        <v>62</v>
      </c>
      <c r="C1111" s="66" t="s">
        <v>1984</v>
      </c>
      <c r="D1111" s="61">
        <v>27253</v>
      </c>
      <c r="E1111" s="62">
        <v>40491</v>
      </c>
      <c r="F1111" s="285"/>
    </row>
    <row r="1112" spans="1:20" ht="14.25" thickTop="1" thickBot="1">
      <c r="A1112" s="267" t="str">
        <f>C1113</f>
        <v>GUATAÇARA DE OLIVEIRA</v>
      </c>
      <c r="B1112" s="68" t="s">
        <v>62</v>
      </c>
      <c r="C1112" s="66" t="s">
        <v>862</v>
      </c>
      <c r="D1112" s="61">
        <v>102178</v>
      </c>
      <c r="E1112" s="62">
        <v>43294</v>
      </c>
      <c r="F1112" s="285"/>
    </row>
    <row r="1113" spans="1:20" ht="14.25" thickTop="1" thickBot="1">
      <c r="A1113" s="267" t="str">
        <f>C1114</f>
        <v>GUATAÇARA DE OLIVEIRA</v>
      </c>
      <c r="B1113" s="68" t="s">
        <v>62</v>
      </c>
      <c r="C1113" s="66" t="s">
        <v>1026</v>
      </c>
      <c r="D1113" s="61">
        <v>3075</v>
      </c>
      <c r="E1113" s="62">
        <v>42704</v>
      </c>
      <c r="F1113" s="285"/>
    </row>
    <row r="1114" spans="1:20" ht="14.25" thickTop="1" thickBot="1">
      <c r="A1114" s="270"/>
      <c r="B1114" s="68" t="s">
        <v>62</v>
      </c>
      <c r="C1114" s="66" t="s">
        <v>1026</v>
      </c>
      <c r="D1114" s="65">
        <v>3075</v>
      </c>
      <c r="E1114" s="62">
        <v>40262</v>
      </c>
      <c r="F1114" s="285"/>
    </row>
    <row r="1115" spans="1:20" ht="14.25" thickTop="1" thickBot="1">
      <c r="A1115" s="267" t="str">
        <f>C1116</f>
        <v>GUILHERME CORDEIRO DE OLIVEIRA</v>
      </c>
      <c r="B1115" s="68" t="s">
        <v>9</v>
      </c>
      <c r="C1115" s="66" t="s">
        <v>144</v>
      </c>
      <c r="D1115" s="67"/>
      <c r="E1115" s="62">
        <v>39387</v>
      </c>
      <c r="F1115" s="285"/>
    </row>
    <row r="1116" spans="1:20" ht="14.25" thickTop="1" thickBot="1">
      <c r="A1116" s="267" t="str">
        <f>C1117</f>
        <v>GUILHERME DE MELO PADILHA</v>
      </c>
      <c r="B1116" s="68" t="s">
        <v>62</v>
      </c>
      <c r="C1116" s="64" t="s">
        <v>1202</v>
      </c>
      <c r="D1116" s="65">
        <v>104663</v>
      </c>
      <c r="E1116" s="62">
        <v>41271</v>
      </c>
      <c r="F1116" s="285"/>
    </row>
    <row r="1117" spans="1:20" ht="14.25" thickTop="1" thickBot="1">
      <c r="A1117" s="267" t="str">
        <f>C1118</f>
        <v xml:space="preserve">GUILHERME PEREIRA DA SILVA </v>
      </c>
      <c r="B1117" s="61" t="s">
        <v>351</v>
      </c>
      <c r="C1117" s="66" t="s">
        <v>1638</v>
      </c>
      <c r="D1117" s="67"/>
      <c r="E1117" s="62">
        <v>43383</v>
      </c>
      <c r="F1117" s="284"/>
    </row>
    <row r="1118" spans="1:20" ht="14.25" thickTop="1" thickBot="1">
      <c r="A1118" s="267"/>
      <c r="B1118" s="68" t="s">
        <v>1306</v>
      </c>
      <c r="C1118" s="66" t="s">
        <v>3506</v>
      </c>
      <c r="D1118" s="61">
        <v>102361</v>
      </c>
      <c r="E1118" s="62" t="s">
        <v>3505</v>
      </c>
      <c r="F1118" s="285"/>
    </row>
    <row r="1119" spans="1:20" ht="14.25" thickTop="1" thickBot="1">
      <c r="A1119" s="267"/>
      <c r="B1119" s="68" t="s">
        <v>2413</v>
      </c>
      <c r="C1119" s="66" t="s">
        <v>2248</v>
      </c>
      <c r="D1119" s="61">
        <v>131715</v>
      </c>
      <c r="E1119" s="62">
        <v>43983</v>
      </c>
      <c r="F1119" s="285"/>
    </row>
    <row r="1120" spans="1:20" ht="14.25" thickTop="1" thickBot="1">
      <c r="A1120" s="267"/>
      <c r="B1120" s="68" t="s">
        <v>516</v>
      </c>
      <c r="C1120" s="66" t="s">
        <v>663</v>
      </c>
      <c r="D1120" s="67"/>
      <c r="E1120" s="62">
        <v>41058</v>
      </c>
      <c r="F1120" s="285"/>
    </row>
    <row r="1121" spans="1:6" ht="14.25" thickTop="1" thickBot="1">
      <c r="A1121" s="267" t="str">
        <f>C1122</f>
        <v>HEBERT DIEGO DE SOUZA ROCHA</v>
      </c>
      <c r="B1121" s="68" t="s">
        <v>62</v>
      </c>
      <c r="C1121" s="64" t="s">
        <v>2957</v>
      </c>
      <c r="D1121" s="65">
        <v>100978</v>
      </c>
      <c r="E1121" s="62">
        <v>43080</v>
      </c>
      <c r="F1121" s="285"/>
    </row>
    <row r="1122" spans="1:6" ht="14.25" thickTop="1" thickBot="1">
      <c r="A1122" s="267" t="str">
        <f>C1123</f>
        <v>HEBERTON TEODORO       (Eto'o)</v>
      </c>
      <c r="B1122" s="68" t="s">
        <v>62</v>
      </c>
      <c r="C1122" s="66" t="s">
        <v>1972</v>
      </c>
      <c r="D1122" s="61">
        <v>109732</v>
      </c>
      <c r="E1122" s="62">
        <v>43243</v>
      </c>
      <c r="F1122" s="285"/>
    </row>
    <row r="1123" spans="1:6" ht="14.25" thickTop="1" thickBot="1">
      <c r="A1123" s="267"/>
      <c r="B1123" s="68" t="s">
        <v>1812</v>
      </c>
      <c r="C1123" s="66" t="s">
        <v>2958</v>
      </c>
      <c r="D1123" s="61">
        <v>117547</v>
      </c>
      <c r="E1123" s="62">
        <v>42705</v>
      </c>
      <c r="F1123" s="285"/>
    </row>
    <row r="1124" spans="1:6" ht="14.25" thickTop="1" thickBot="1">
      <c r="A1124" s="267"/>
      <c r="B1124" s="68" t="s">
        <v>1812</v>
      </c>
      <c r="C1124" s="77" t="s">
        <v>2692</v>
      </c>
      <c r="D1124" s="61">
        <v>104662</v>
      </c>
      <c r="E1124" s="204">
        <v>43880</v>
      </c>
      <c r="F1124" s="285"/>
    </row>
    <row r="1125" spans="1:6" ht="14.25" thickTop="1" thickBot="1">
      <c r="A1125" s="267" t="str">
        <f>C1126</f>
        <v>HELIO DE JESUS OLIVEIRA</v>
      </c>
      <c r="B1125" s="68" t="s">
        <v>62</v>
      </c>
      <c r="C1125" s="64" t="s">
        <v>1929</v>
      </c>
      <c r="D1125" s="65">
        <v>63715</v>
      </c>
      <c r="E1125" s="62">
        <v>40345</v>
      </c>
      <c r="F1125" s="285"/>
    </row>
    <row r="1126" spans="1:6" ht="14.25" thickTop="1" thickBot="1">
      <c r="A1126" s="267" t="str">
        <f>C1128</f>
        <v>HELTON PEDROZO MACHADO</v>
      </c>
      <c r="B1126" s="68" t="s">
        <v>62</v>
      </c>
      <c r="C1126" s="66" t="s">
        <v>604</v>
      </c>
      <c r="D1126" s="67"/>
      <c r="E1126" s="62">
        <v>42719</v>
      </c>
      <c r="F1126" s="287"/>
    </row>
    <row r="1127" spans="1:6" ht="14.25" thickTop="1" thickBot="1">
      <c r="A1127" s="267" t="str">
        <f>C1128</f>
        <v>HELTON PEDROZO MACHADO</v>
      </c>
      <c r="B1127" s="68" t="s">
        <v>62</v>
      </c>
      <c r="C1127" s="66" t="s">
        <v>665</v>
      </c>
      <c r="D1127" s="65">
        <v>27189</v>
      </c>
      <c r="E1127" s="62">
        <v>43077</v>
      </c>
      <c r="F1127" s="285"/>
    </row>
    <row r="1128" spans="1:6" ht="14.25" thickTop="1" thickBot="1">
      <c r="A1128" s="267"/>
      <c r="B1128" s="68" t="s">
        <v>1812</v>
      </c>
      <c r="C1128" s="60" t="s">
        <v>2750</v>
      </c>
      <c r="D1128" s="61">
        <v>139440</v>
      </c>
      <c r="E1128" s="62">
        <v>44025</v>
      </c>
      <c r="F1128" s="287"/>
    </row>
    <row r="1129" spans="1:6" ht="14.25" thickTop="1" thickBot="1">
      <c r="A1129" s="267" t="str">
        <f>C1133</f>
        <v>HEMERSON PADILHA</v>
      </c>
      <c r="B1129" s="68" t="s">
        <v>62</v>
      </c>
      <c r="C1129" s="66" t="s">
        <v>826</v>
      </c>
      <c r="D1129" s="65">
        <v>27230</v>
      </c>
      <c r="E1129" s="62">
        <v>40004</v>
      </c>
      <c r="F1129" s="285"/>
    </row>
    <row r="1130" spans="1:6" ht="14.25" thickTop="1" thickBot="1">
      <c r="A1130" s="267"/>
      <c r="B1130" s="68" t="s">
        <v>1306</v>
      </c>
      <c r="C1130" s="66" t="s">
        <v>826</v>
      </c>
      <c r="D1130" s="65">
        <v>27230</v>
      </c>
      <c r="E1130" s="62">
        <v>42914</v>
      </c>
      <c r="F1130" s="285"/>
    </row>
    <row r="1131" spans="1:6" ht="14.25" thickTop="1" thickBot="1">
      <c r="A1131" s="267" t="str">
        <f>C1141</f>
        <v>HUANS PINHEIRO KOPP</v>
      </c>
      <c r="B1131" s="68" t="s">
        <v>1522</v>
      </c>
      <c r="C1131" s="66" t="s">
        <v>2118</v>
      </c>
      <c r="D1131" s="61">
        <v>27230</v>
      </c>
      <c r="E1131" s="70">
        <v>43966</v>
      </c>
      <c r="F1131" s="284"/>
    </row>
    <row r="1132" spans="1:6" ht="14.25" thickTop="1" thickBot="1">
      <c r="A1132" s="267" t="str">
        <f>C1133</f>
        <v>HEMERSON PADILHA</v>
      </c>
      <c r="B1132" s="68" t="s">
        <v>62</v>
      </c>
      <c r="C1132" s="66" t="s">
        <v>2959</v>
      </c>
      <c r="D1132" s="61">
        <v>88343</v>
      </c>
      <c r="E1132" s="62">
        <v>41757</v>
      </c>
      <c r="F1132" s="285"/>
    </row>
    <row r="1133" spans="1:6" ht="14.25" thickTop="1" thickBot="1">
      <c r="A1133" s="267" t="s">
        <v>2615</v>
      </c>
      <c r="B1133" s="68" t="s">
        <v>62</v>
      </c>
      <c r="C1133" s="66" t="s">
        <v>2110</v>
      </c>
      <c r="D1133" s="65">
        <v>63973</v>
      </c>
      <c r="E1133" s="62">
        <v>39463</v>
      </c>
      <c r="F1133" s="285"/>
    </row>
    <row r="1134" spans="1:6" ht="14.25" thickTop="1" thickBot="1">
      <c r="A1134" s="275" t="s">
        <v>1855</v>
      </c>
      <c r="B1134" s="68" t="s">
        <v>2413</v>
      </c>
      <c r="C1134" s="66" t="s">
        <v>1097</v>
      </c>
      <c r="D1134" s="65"/>
      <c r="E1134" s="62">
        <v>43529</v>
      </c>
      <c r="F1134" s="285"/>
    </row>
    <row r="1135" spans="1:6" ht="14.25" thickTop="1" thickBot="1">
      <c r="A1135" s="267" t="str">
        <f t="shared" ref="A1135:A1140" si="50">C1136</f>
        <v>HERIVELTON VINICIUS DO NASCIMENTO</v>
      </c>
      <c r="B1135" s="68" t="s">
        <v>2406</v>
      </c>
      <c r="C1135" s="66" t="s">
        <v>2138</v>
      </c>
      <c r="D1135" s="61">
        <v>54944</v>
      </c>
      <c r="E1135" s="70">
        <v>43557</v>
      </c>
      <c r="F1135" s="285"/>
    </row>
    <row r="1136" spans="1:6" ht="14.25" thickTop="1" thickBot="1">
      <c r="A1136" s="267" t="str">
        <f t="shared" si="50"/>
        <v>HERIVELTON VINICIUS DO NASCIMENTO</v>
      </c>
      <c r="B1136" s="68" t="s">
        <v>1812</v>
      </c>
      <c r="C1136" s="169" t="s">
        <v>1855</v>
      </c>
      <c r="D1136" s="61">
        <v>117329</v>
      </c>
      <c r="E1136" s="70">
        <v>42838</v>
      </c>
      <c r="F1136" s="285"/>
    </row>
    <row r="1137" spans="1:6" ht="14.25" thickTop="1" thickBot="1">
      <c r="A1137" s="267" t="str">
        <f t="shared" si="50"/>
        <v>HERIVELTON VINICIUS DO NASCIMENTO</v>
      </c>
      <c r="B1137" s="68" t="s">
        <v>2406</v>
      </c>
      <c r="C1137" s="64" t="s">
        <v>1855</v>
      </c>
      <c r="D1137" s="67"/>
      <c r="E1137" s="70">
        <v>43557</v>
      </c>
      <c r="F1137" s="284"/>
    </row>
    <row r="1138" spans="1:6" ht="14.25" thickTop="1" thickBot="1">
      <c r="A1138" s="267" t="str">
        <f t="shared" si="50"/>
        <v>HILÁRIO DOS SANTOS</v>
      </c>
      <c r="B1138" s="68" t="s">
        <v>62</v>
      </c>
      <c r="C1138" s="64" t="s">
        <v>1855</v>
      </c>
      <c r="D1138" s="65">
        <v>117329</v>
      </c>
      <c r="E1138" s="97">
        <v>42578</v>
      </c>
      <c r="F1138" s="287"/>
    </row>
    <row r="1139" spans="1:6" ht="14.25" thickTop="1" thickBot="1">
      <c r="A1139" s="267" t="str">
        <f t="shared" si="50"/>
        <v>HILARIO NASCIMENTO</v>
      </c>
      <c r="B1139" s="68" t="s">
        <v>1812</v>
      </c>
      <c r="C1139" s="66" t="s">
        <v>111</v>
      </c>
      <c r="D1139" s="61">
        <v>127049</v>
      </c>
      <c r="E1139" s="62">
        <v>41060</v>
      </c>
      <c r="F1139" s="285"/>
    </row>
    <row r="1140" spans="1:6" ht="14.25" thickTop="1" thickBot="1">
      <c r="A1140" s="267" t="str">
        <f t="shared" si="50"/>
        <v>HUANS PINHEIRO KOPP</v>
      </c>
      <c r="B1140" s="68" t="s">
        <v>62</v>
      </c>
      <c r="C1140" s="66" t="s">
        <v>1875</v>
      </c>
      <c r="D1140" s="67"/>
      <c r="E1140" s="62">
        <v>42485</v>
      </c>
      <c r="F1140" s="285"/>
    </row>
    <row r="1141" spans="1:6" ht="14.25" thickTop="1" thickBot="1">
      <c r="A1141" s="267"/>
      <c r="B1141" s="68" t="s">
        <v>1306</v>
      </c>
      <c r="C1141" s="66" t="s">
        <v>2724</v>
      </c>
      <c r="D1141" s="198">
        <v>166800</v>
      </c>
      <c r="E1141" s="70">
        <v>43915</v>
      </c>
      <c r="F1141" s="287"/>
    </row>
    <row r="1142" spans="1:6" ht="14.25" thickTop="1" thickBot="1">
      <c r="A1142" s="267" t="str">
        <f>C1143</f>
        <v>IDEMAR MAHL RODRIGUES</v>
      </c>
      <c r="B1142" s="68" t="s">
        <v>1033</v>
      </c>
      <c r="C1142" s="66" t="s">
        <v>666</v>
      </c>
      <c r="D1142" s="65">
        <v>7014</v>
      </c>
      <c r="E1142" s="62">
        <v>42475</v>
      </c>
      <c r="F1142" s="287"/>
    </row>
    <row r="1143" spans="1:6" ht="14.25" thickTop="1" thickBot="1">
      <c r="A1143" s="267" t="str">
        <f>C1144</f>
        <v>IDEVALDO LOURENÇO DE GOUVEIA</v>
      </c>
      <c r="B1143" s="68" t="s">
        <v>62</v>
      </c>
      <c r="C1143" s="66" t="s">
        <v>667</v>
      </c>
      <c r="D1143" s="61">
        <v>63541</v>
      </c>
      <c r="E1143" s="62">
        <v>40689</v>
      </c>
      <c r="F1143" s="285"/>
    </row>
    <row r="1144" spans="1:6" ht="14.25" thickTop="1" thickBot="1">
      <c r="A1144" s="267"/>
      <c r="B1144" s="68" t="s">
        <v>62</v>
      </c>
      <c r="C1144" s="66" t="s">
        <v>1876</v>
      </c>
      <c r="D1144" s="61">
        <v>27135</v>
      </c>
      <c r="E1144" s="70">
        <v>42775</v>
      </c>
      <c r="F1144" s="292"/>
    </row>
    <row r="1145" spans="1:6" ht="14.25" thickTop="1" thickBot="1">
      <c r="A1145" s="267"/>
      <c r="B1145" s="68" t="s">
        <v>2413</v>
      </c>
      <c r="C1145" s="192" t="s">
        <v>2496</v>
      </c>
      <c r="D1145" s="61">
        <v>427613</v>
      </c>
      <c r="E1145" s="62">
        <v>44062</v>
      </c>
      <c r="F1145" s="285"/>
    </row>
    <row r="1146" spans="1:6" ht="14.25" thickTop="1" thickBot="1">
      <c r="A1146" s="267" t="str">
        <f t="shared" ref="A1146:A1153" si="51">C1147</f>
        <v>IGOR GOMES MATEUS</v>
      </c>
      <c r="B1146" s="68" t="s">
        <v>1306</v>
      </c>
      <c r="C1146" s="192" t="s">
        <v>2770</v>
      </c>
      <c r="D1146" s="61">
        <v>149804</v>
      </c>
      <c r="E1146" s="62">
        <v>43725</v>
      </c>
      <c r="F1146" s="285"/>
    </row>
    <row r="1147" spans="1:6" ht="14.25" thickTop="1" thickBot="1">
      <c r="A1147" s="267" t="str">
        <f t="shared" si="51"/>
        <v>IGOR JOSE DE LIMA</v>
      </c>
      <c r="B1147" s="68" t="s">
        <v>62</v>
      </c>
      <c r="C1147" s="66" t="s">
        <v>957</v>
      </c>
      <c r="D1147" s="65">
        <v>63922</v>
      </c>
      <c r="E1147" s="62">
        <v>41197</v>
      </c>
      <c r="F1147" s="285"/>
    </row>
    <row r="1148" spans="1:6" ht="14.25" thickTop="1" thickBot="1">
      <c r="A1148" s="267" t="str">
        <f t="shared" si="51"/>
        <v>IGOR SCHMIDT CEZAR</v>
      </c>
      <c r="B1148" s="68" t="s">
        <v>62</v>
      </c>
      <c r="C1148" s="66" t="s">
        <v>1371</v>
      </c>
      <c r="D1148" s="65"/>
      <c r="E1148" s="115">
        <v>40534</v>
      </c>
      <c r="F1148" s="288" t="s">
        <v>1854</v>
      </c>
    </row>
    <row r="1149" spans="1:6" ht="14.25" thickTop="1" thickBot="1">
      <c r="A1149" s="267" t="str">
        <f t="shared" si="51"/>
        <v>ILDEMAR SILVEIRA JUNIOR</v>
      </c>
      <c r="B1149" s="68" t="s">
        <v>62</v>
      </c>
      <c r="C1149" s="66" t="s">
        <v>1606</v>
      </c>
      <c r="D1149" s="67"/>
      <c r="E1149" s="62">
        <v>42920</v>
      </c>
      <c r="F1149" s="285"/>
    </row>
    <row r="1150" spans="1:6" ht="14.25" thickTop="1" thickBot="1">
      <c r="A1150" s="267" t="str">
        <f t="shared" si="51"/>
        <v>ILSON VIANA</v>
      </c>
      <c r="B1150" s="68" t="s">
        <v>62</v>
      </c>
      <c r="C1150" s="66" t="s">
        <v>1031</v>
      </c>
      <c r="D1150" s="61">
        <v>126791</v>
      </c>
      <c r="E1150" s="62">
        <v>42914</v>
      </c>
      <c r="F1150" s="294"/>
    </row>
    <row r="1151" spans="1:6" ht="14.25" thickTop="1" thickBot="1">
      <c r="A1151" s="267" t="str">
        <f t="shared" si="51"/>
        <v>ILTON MAYCON PEREIRA DOS SANTOS</v>
      </c>
      <c r="B1151" s="68" t="s">
        <v>62</v>
      </c>
      <c r="C1151" s="66" t="s">
        <v>2126</v>
      </c>
      <c r="D1151" s="69">
        <v>113282</v>
      </c>
      <c r="E1151" s="70">
        <v>42919</v>
      </c>
      <c r="F1151" s="284"/>
    </row>
    <row r="1152" spans="1:6" ht="12" customHeight="1" thickTop="1" thickBot="1">
      <c r="A1152" s="267" t="str">
        <f t="shared" si="51"/>
        <v>IRINEU APARECIDO HENQUE</v>
      </c>
      <c r="B1152" s="89" t="s">
        <v>62</v>
      </c>
      <c r="C1152" s="66" t="s">
        <v>1701</v>
      </c>
      <c r="D1152" s="61">
        <v>117044</v>
      </c>
      <c r="E1152" s="62">
        <v>40347</v>
      </c>
      <c r="F1152" s="285"/>
    </row>
    <row r="1153" spans="1:256" ht="12" customHeight="1" thickTop="1" thickBot="1">
      <c r="A1153" s="267" t="str">
        <f t="shared" si="51"/>
        <v>IRIOMAR ZAMBILO (Grilo)</v>
      </c>
      <c r="B1153" s="68" t="s">
        <v>62</v>
      </c>
      <c r="C1153" s="66" t="s">
        <v>1599</v>
      </c>
      <c r="D1153" s="65">
        <v>63937</v>
      </c>
      <c r="E1153" s="62">
        <v>42969</v>
      </c>
      <c r="F1153" s="285"/>
    </row>
    <row r="1154" spans="1:256" ht="14.25" thickTop="1" thickBot="1">
      <c r="A1154" s="270" t="s">
        <v>2707</v>
      </c>
      <c r="B1154" s="68" t="s">
        <v>3556</v>
      </c>
      <c r="C1154" s="60" t="s">
        <v>569</v>
      </c>
      <c r="D1154" s="61">
        <v>63226</v>
      </c>
      <c r="E1154" s="62">
        <v>44077</v>
      </c>
      <c r="F1154" s="285"/>
      <c r="G1154" s="408"/>
      <c r="H1154" s="410"/>
      <c r="I1154" s="346"/>
      <c r="J1154" s="84"/>
      <c r="K1154" s="439"/>
      <c r="L1154" s="84"/>
      <c r="M1154" s="439"/>
      <c r="N1154" s="84"/>
      <c r="O1154" s="199"/>
      <c r="P1154" s="199"/>
      <c r="Q1154" s="199"/>
      <c r="R1154" s="199"/>
      <c r="S1154" s="199"/>
      <c r="T1154" s="199"/>
    </row>
    <row r="1155" spans="1:256" s="189" customFormat="1" ht="12" customHeight="1" thickTop="1" thickBot="1">
      <c r="A1155" s="267"/>
      <c r="B1155" s="68" t="s">
        <v>1306</v>
      </c>
      <c r="C1155" s="66" t="s">
        <v>383</v>
      </c>
      <c r="D1155" s="61">
        <v>56786</v>
      </c>
      <c r="E1155" s="62">
        <v>40934</v>
      </c>
      <c r="F1155" s="285"/>
      <c r="G1155" s="37"/>
      <c r="H1155" s="37"/>
      <c r="I1155" s="37"/>
      <c r="J1155" s="37"/>
      <c r="K1155" s="37"/>
      <c r="L1155" s="37"/>
      <c r="M1155" s="37"/>
      <c r="N1155" s="37"/>
      <c r="O1155" s="37"/>
      <c r="P1155" s="37"/>
      <c r="Q1155" s="37"/>
      <c r="R1155" s="37"/>
      <c r="S1155" s="37"/>
      <c r="T1155" s="37"/>
      <c r="U1155" s="37"/>
      <c r="V1155" s="37"/>
      <c r="W1155" s="37"/>
      <c r="X1155" s="37"/>
      <c r="Y1155" s="37"/>
      <c r="Z1155" s="37"/>
      <c r="AA1155" s="37"/>
      <c r="AB1155" s="37"/>
      <c r="AC1155" s="37"/>
      <c r="AD1155" s="37"/>
      <c r="AE1155" s="37"/>
      <c r="AF1155" s="37"/>
      <c r="AG1155" s="37"/>
      <c r="AH1155" s="37"/>
      <c r="AI1155" s="37"/>
      <c r="AJ1155" s="37"/>
      <c r="AK1155" s="37"/>
      <c r="AL1155" s="37"/>
      <c r="AM1155" s="37"/>
      <c r="AN1155" s="37"/>
      <c r="AO1155" s="37"/>
      <c r="AP1155" s="37"/>
      <c r="AQ1155" s="37"/>
      <c r="AR1155" s="37"/>
      <c r="AS1155" s="37"/>
      <c r="AT1155" s="37"/>
      <c r="AU1155" s="37"/>
      <c r="AV1155" s="37"/>
      <c r="AW1155" s="37"/>
      <c r="AX1155" s="37"/>
      <c r="AY1155" s="37"/>
      <c r="AZ1155" s="37"/>
      <c r="BA1155" s="37"/>
      <c r="BB1155" s="37"/>
      <c r="BC1155" s="37"/>
      <c r="BD1155" s="37"/>
      <c r="BE1155" s="37"/>
      <c r="BF1155" s="37"/>
      <c r="BG1155" s="37"/>
      <c r="BH1155" s="37"/>
      <c r="BI1155" s="37"/>
      <c r="BJ1155" s="37"/>
      <c r="BK1155" s="37"/>
      <c r="BL1155" s="37"/>
      <c r="BM1155" s="37"/>
      <c r="BN1155" s="37"/>
      <c r="BO1155" s="37"/>
      <c r="BP1155" s="37"/>
      <c r="BQ1155" s="37"/>
      <c r="BR1155" s="37"/>
      <c r="BS1155" s="37"/>
      <c r="BT1155" s="37"/>
      <c r="BU1155" s="37"/>
      <c r="BV1155" s="37"/>
      <c r="BW1155" s="37"/>
      <c r="BX1155" s="37"/>
      <c r="BY1155" s="37"/>
      <c r="BZ1155" s="37"/>
      <c r="CA1155" s="37"/>
      <c r="CB1155" s="37"/>
      <c r="CC1155" s="37"/>
      <c r="CD1155" s="37"/>
      <c r="CE1155" s="37"/>
      <c r="CF1155" s="37"/>
      <c r="CG1155" s="37"/>
      <c r="CH1155" s="37"/>
      <c r="CI1155" s="37"/>
      <c r="CJ1155" s="37"/>
      <c r="CK1155" s="37"/>
      <c r="CL1155" s="37"/>
      <c r="CM1155" s="37"/>
      <c r="CN1155" s="37"/>
      <c r="CO1155" s="37"/>
      <c r="CP1155" s="37"/>
      <c r="CQ1155" s="37"/>
      <c r="CR1155" s="37"/>
      <c r="CS1155" s="37"/>
      <c r="CT1155" s="37"/>
      <c r="CU1155" s="37"/>
      <c r="CV1155" s="37"/>
      <c r="CW1155" s="37"/>
      <c r="CX1155" s="37"/>
      <c r="CY1155" s="37"/>
      <c r="CZ1155" s="37"/>
      <c r="DA1155" s="37"/>
      <c r="DB1155" s="37"/>
      <c r="DC1155" s="37"/>
      <c r="DD1155" s="37"/>
      <c r="DE1155" s="37"/>
      <c r="DF1155" s="37"/>
      <c r="DG1155" s="37"/>
      <c r="DH1155" s="37"/>
      <c r="DI1155" s="37"/>
      <c r="DJ1155" s="37"/>
      <c r="DK1155" s="37"/>
      <c r="DL1155" s="37"/>
      <c r="DM1155" s="37"/>
      <c r="DN1155" s="37"/>
      <c r="DO1155" s="37"/>
      <c r="DP1155" s="37"/>
      <c r="DQ1155" s="37"/>
      <c r="DR1155" s="37"/>
      <c r="DS1155" s="37"/>
      <c r="DT1155" s="37"/>
      <c r="DU1155" s="37"/>
      <c r="DV1155" s="37"/>
      <c r="DW1155" s="37"/>
      <c r="DX1155" s="37"/>
      <c r="DY1155" s="37"/>
      <c r="DZ1155" s="37"/>
      <c r="EA1155" s="37"/>
      <c r="EB1155" s="37"/>
      <c r="EC1155" s="37"/>
      <c r="ED1155" s="37"/>
      <c r="EE1155" s="37"/>
      <c r="EF1155" s="37"/>
      <c r="EG1155" s="37"/>
      <c r="EH1155" s="37"/>
      <c r="EI1155" s="37"/>
      <c r="EJ1155" s="37"/>
      <c r="EK1155" s="37"/>
      <c r="EL1155" s="37"/>
      <c r="EM1155" s="37"/>
      <c r="EN1155" s="37"/>
      <c r="EO1155" s="37"/>
      <c r="EP1155" s="37"/>
      <c r="EQ1155" s="37"/>
      <c r="ER1155" s="37"/>
      <c r="ES1155" s="37"/>
      <c r="ET1155" s="37"/>
      <c r="EU1155" s="37"/>
      <c r="EV1155" s="37"/>
      <c r="EW1155" s="37"/>
      <c r="EX1155" s="37"/>
      <c r="EY1155" s="37"/>
      <c r="EZ1155" s="37"/>
      <c r="FA1155" s="37"/>
      <c r="FB1155" s="37"/>
      <c r="FC1155" s="37"/>
      <c r="FD1155" s="37"/>
      <c r="FE1155" s="37"/>
      <c r="FF1155" s="37"/>
      <c r="FG1155" s="37"/>
      <c r="FH1155" s="37"/>
      <c r="FI1155" s="37"/>
      <c r="FJ1155" s="37"/>
      <c r="FK1155" s="37"/>
      <c r="FL1155" s="37"/>
      <c r="FM1155" s="37"/>
      <c r="FN1155" s="37"/>
      <c r="FO1155" s="37"/>
      <c r="FP1155" s="37"/>
      <c r="FQ1155" s="37"/>
      <c r="FR1155" s="37"/>
      <c r="FS1155" s="37"/>
      <c r="FT1155" s="37"/>
      <c r="FU1155" s="37"/>
      <c r="FV1155" s="37"/>
      <c r="FW1155" s="37"/>
      <c r="FX1155" s="37"/>
      <c r="FY1155" s="37"/>
      <c r="FZ1155" s="37"/>
      <c r="GA1155" s="37"/>
      <c r="GB1155" s="37"/>
      <c r="GC1155" s="37"/>
      <c r="GD1155" s="37"/>
      <c r="GE1155" s="37"/>
      <c r="GF1155" s="37"/>
      <c r="GG1155" s="37"/>
      <c r="GH1155" s="37"/>
      <c r="GI1155" s="37"/>
      <c r="GJ1155" s="37"/>
      <c r="GK1155" s="37"/>
      <c r="GL1155" s="37"/>
      <c r="GM1155" s="37"/>
      <c r="GN1155" s="37"/>
      <c r="GO1155" s="37"/>
      <c r="GP1155" s="37"/>
      <c r="GQ1155" s="37"/>
      <c r="GR1155" s="37"/>
      <c r="GS1155" s="37"/>
      <c r="GT1155" s="37"/>
      <c r="GU1155" s="37"/>
      <c r="GV1155" s="37"/>
      <c r="GW1155" s="37"/>
      <c r="GX1155" s="37"/>
      <c r="GY1155" s="37"/>
      <c r="GZ1155" s="37"/>
      <c r="HA1155" s="37"/>
      <c r="HB1155" s="37"/>
      <c r="HC1155" s="37"/>
      <c r="HD1155" s="37"/>
      <c r="HE1155" s="37"/>
      <c r="HF1155" s="37"/>
      <c r="HG1155" s="37"/>
      <c r="HH1155" s="37"/>
      <c r="HI1155" s="37"/>
      <c r="HJ1155" s="37"/>
      <c r="HK1155" s="37"/>
      <c r="HL1155" s="37"/>
      <c r="HM1155" s="37"/>
      <c r="HN1155" s="37"/>
      <c r="HO1155" s="37"/>
      <c r="HP1155" s="37"/>
      <c r="HQ1155" s="37"/>
      <c r="HR1155" s="37"/>
      <c r="HS1155" s="37"/>
      <c r="HT1155" s="37"/>
      <c r="HU1155" s="37"/>
      <c r="HV1155" s="37"/>
      <c r="HW1155" s="37"/>
      <c r="HX1155" s="37"/>
      <c r="HY1155" s="37"/>
      <c r="HZ1155" s="37"/>
      <c r="IA1155" s="37"/>
      <c r="IB1155" s="37"/>
      <c r="IC1155" s="37"/>
      <c r="ID1155" s="37"/>
      <c r="IE1155" s="37"/>
      <c r="IF1155" s="37"/>
      <c r="IG1155" s="37"/>
      <c r="IH1155" s="37"/>
      <c r="II1155" s="37"/>
      <c r="IJ1155" s="37"/>
      <c r="IK1155" s="37"/>
      <c r="IL1155" s="37"/>
      <c r="IM1155" s="37"/>
      <c r="IN1155" s="37"/>
      <c r="IO1155" s="37"/>
      <c r="IP1155" s="37"/>
      <c r="IQ1155" s="37"/>
      <c r="IR1155" s="37"/>
      <c r="IS1155" s="37"/>
      <c r="IT1155" s="37"/>
      <c r="IU1155" s="37"/>
      <c r="IV1155" s="37"/>
    </row>
    <row r="1156" spans="1:256" ht="14.25" thickTop="1" thickBot="1">
      <c r="A1156" s="267" t="str">
        <f t="shared" ref="A1156:A1166" si="52">C1157</f>
        <v>ISAAC FERREIRA CAVALHEIRO    (Macaco)</v>
      </c>
      <c r="B1156" s="89" t="s">
        <v>1570</v>
      </c>
      <c r="C1156" s="66" t="s">
        <v>2960</v>
      </c>
      <c r="D1156" s="172">
        <v>133383</v>
      </c>
      <c r="E1156" s="62">
        <v>39624</v>
      </c>
      <c r="F1156" s="285"/>
    </row>
    <row r="1157" spans="1:256" ht="14.25" thickTop="1" thickBot="1">
      <c r="A1157" s="267" t="str">
        <f t="shared" si="52"/>
        <v>ISAEL EDUARDO DOS SANTOS</v>
      </c>
      <c r="B1157" s="68" t="s">
        <v>62</v>
      </c>
      <c r="C1157" s="66" t="s">
        <v>2961</v>
      </c>
      <c r="D1157" s="65">
        <v>7079</v>
      </c>
      <c r="E1157" s="62">
        <v>40029</v>
      </c>
      <c r="F1157" s="285"/>
    </row>
    <row r="1158" spans="1:256" ht="14.25" thickTop="1" thickBot="1">
      <c r="A1158" s="267" t="str">
        <f t="shared" si="52"/>
        <v>ISAEL NUNES DA SILVA     (Cagão)</v>
      </c>
      <c r="B1158" s="177"/>
      <c r="C1158" s="66" t="s">
        <v>781</v>
      </c>
      <c r="D1158" s="178">
        <v>7007</v>
      </c>
      <c r="E1158" s="62">
        <v>40866</v>
      </c>
      <c r="F1158" s="285"/>
    </row>
    <row r="1159" spans="1:256" ht="14.25" thickTop="1" thickBot="1">
      <c r="A1159" s="267" t="str">
        <f t="shared" si="52"/>
        <v>ISAIAS FERREIRA DA COSTA</v>
      </c>
      <c r="B1159" s="68" t="s">
        <v>62</v>
      </c>
      <c r="C1159" s="302" t="s">
        <v>2962</v>
      </c>
      <c r="D1159" s="61">
        <v>27218</v>
      </c>
      <c r="E1159" s="62">
        <v>41646</v>
      </c>
      <c r="F1159" s="285"/>
    </row>
    <row r="1160" spans="1:256" ht="14.25" thickTop="1" thickBot="1">
      <c r="A1160" s="267" t="str">
        <f t="shared" si="52"/>
        <v>ISAIAS GOIS</v>
      </c>
      <c r="B1160" s="68" t="s">
        <v>846</v>
      </c>
      <c r="C1160" s="66" t="s">
        <v>783</v>
      </c>
      <c r="D1160" s="61">
        <v>9317</v>
      </c>
      <c r="E1160" s="62">
        <v>41036</v>
      </c>
      <c r="F1160" s="285"/>
    </row>
    <row r="1161" spans="1:256" ht="19.5" thickTop="1" thickBot="1">
      <c r="A1161" s="267" t="str">
        <f t="shared" si="52"/>
        <v>ISAIAS RIBEIRO</v>
      </c>
      <c r="B1161" s="68" t="s">
        <v>62</v>
      </c>
      <c r="C1161" s="66" t="s">
        <v>1032</v>
      </c>
      <c r="D1161" s="65">
        <v>27107</v>
      </c>
      <c r="E1161" s="62">
        <v>40981</v>
      </c>
      <c r="F1161" s="285"/>
      <c r="G1161" s="189"/>
      <c r="H1161" s="189"/>
      <c r="I1161" s="189"/>
      <c r="J1161" s="189"/>
      <c r="K1161" s="189"/>
      <c r="L1161" s="189"/>
      <c r="M1161" s="189"/>
      <c r="N1161" s="189"/>
      <c r="O1161" s="189"/>
      <c r="P1161" s="189"/>
      <c r="Q1161" s="189"/>
      <c r="R1161" s="189"/>
      <c r="S1161" s="189"/>
      <c r="T1161" s="189"/>
      <c r="U1161" s="189"/>
      <c r="V1161" s="189"/>
      <c r="W1161" s="189"/>
      <c r="X1161" s="189"/>
      <c r="Y1161" s="189"/>
      <c r="Z1161" s="189"/>
      <c r="AA1161" s="189"/>
      <c r="AB1161" s="189"/>
      <c r="AC1161" s="189"/>
      <c r="AD1161" s="189"/>
      <c r="AE1161" s="189"/>
      <c r="AF1161" s="189"/>
      <c r="AG1161" s="189"/>
      <c r="AH1161" s="189"/>
      <c r="AI1161" s="189"/>
      <c r="AJ1161" s="189"/>
      <c r="AK1161" s="189"/>
      <c r="AL1161" s="189"/>
      <c r="AM1161" s="189"/>
      <c r="AN1161" s="189"/>
      <c r="AO1161" s="189"/>
      <c r="AP1161" s="189"/>
      <c r="AQ1161" s="189"/>
      <c r="AR1161" s="189"/>
      <c r="AS1161" s="189"/>
      <c r="AT1161" s="189"/>
      <c r="AU1161" s="189"/>
      <c r="AV1161" s="189"/>
      <c r="AW1161" s="189"/>
      <c r="AX1161" s="189"/>
      <c r="AY1161" s="189"/>
      <c r="AZ1161" s="189"/>
      <c r="BA1161" s="189"/>
      <c r="BB1161" s="189"/>
      <c r="BC1161" s="189"/>
      <c r="BD1161" s="189"/>
      <c r="BE1161" s="189"/>
      <c r="BF1161" s="189"/>
      <c r="BG1161" s="189"/>
      <c r="BH1161" s="189"/>
      <c r="BI1161" s="189"/>
      <c r="BJ1161" s="189"/>
      <c r="BK1161" s="189"/>
      <c r="BL1161" s="189"/>
      <c r="BM1161" s="189"/>
      <c r="BN1161" s="189"/>
      <c r="BO1161" s="189"/>
      <c r="BP1161" s="189"/>
      <c r="BQ1161" s="189"/>
      <c r="BR1161" s="189"/>
      <c r="BS1161" s="189"/>
      <c r="BT1161" s="189"/>
      <c r="BU1161" s="189"/>
      <c r="BV1161" s="189"/>
      <c r="BW1161" s="189"/>
      <c r="BX1161" s="189"/>
      <c r="BY1161" s="189"/>
      <c r="BZ1161" s="189"/>
      <c r="CA1161" s="189"/>
      <c r="CB1161" s="189"/>
      <c r="CC1161" s="189"/>
      <c r="CD1161" s="189"/>
      <c r="CE1161" s="189"/>
      <c r="CF1161" s="189"/>
      <c r="CG1161" s="189"/>
      <c r="CH1161" s="189"/>
      <c r="CI1161" s="189"/>
      <c r="CJ1161" s="189"/>
      <c r="CK1161" s="189"/>
      <c r="CL1161" s="189"/>
      <c r="CM1161" s="189"/>
      <c r="CN1161" s="189"/>
      <c r="CO1161" s="189"/>
      <c r="CP1161" s="189"/>
      <c r="CQ1161" s="189"/>
      <c r="CR1161" s="189"/>
      <c r="CS1161" s="189"/>
      <c r="CT1161" s="189"/>
      <c r="CU1161" s="189"/>
      <c r="CV1161" s="189"/>
      <c r="CW1161" s="189"/>
      <c r="CX1161" s="189"/>
      <c r="CY1161" s="189"/>
      <c r="CZ1161" s="189"/>
      <c r="DA1161" s="189"/>
      <c r="DB1161" s="189"/>
      <c r="DC1161" s="189"/>
      <c r="DD1161" s="189"/>
      <c r="DE1161" s="189"/>
      <c r="DF1161" s="189"/>
      <c r="DG1161" s="189"/>
      <c r="DH1161" s="189"/>
      <c r="DI1161" s="189"/>
      <c r="DJ1161" s="189"/>
      <c r="DK1161" s="189"/>
      <c r="DL1161" s="189"/>
      <c r="DM1161" s="189"/>
      <c r="DN1161" s="189"/>
      <c r="DO1161" s="189"/>
      <c r="DP1161" s="189"/>
      <c r="DQ1161" s="189"/>
      <c r="DR1161" s="189"/>
      <c r="DS1161" s="189"/>
      <c r="DT1161" s="189"/>
      <c r="DU1161" s="189"/>
      <c r="DV1161" s="189"/>
      <c r="DW1161" s="189"/>
      <c r="DX1161" s="189"/>
      <c r="DY1161" s="189"/>
      <c r="DZ1161" s="189"/>
      <c r="EA1161" s="189"/>
      <c r="EB1161" s="189"/>
      <c r="EC1161" s="189"/>
      <c r="ED1161" s="189"/>
      <c r="EE1161" s="189"/>
      <c r="EF1161" s="189"/>
      <c r="EG1161" s="189"/>
      <c r="EH1161" s="189"/>
      <c r="EI1161" s="189"/>
      <c r="EJ1161" s="189"/>
      <c r="EK1161" s="189"/>
      <c r="EL1161" s="189"/>
      <c r="EM1161" s="189"/>
      <c r="EN1161" s="189"/>
      <c r="EO1161" s="189"/>
      <c r="EP1161" s="189"/>
      <c r="EQ1161" s="189"/>
      <c r="ER1161" s="189"/>
      <c r="ES1161" s="189"/>
      <c r="ET1161" s="189"/>
      <c r="EU1161" s="189"/>
      <c r="EV1161" s="189"/>
      <c r="EW1161" s="189"/>
      <c r="EX1161" s="189"/>
      <c r="EY1161" s="189"/>
      <c r="EZ1161" s="189"/>
      <c r="FA1161" s="189"/>
      <c r="FB1161" s="189"/>
      <c r="FC1161" s="189"/>
      <c r="FD1161" s="189"/>
      <c r="FE1161" s="189"/>
      <c r="FF1161" s="189"/>
      <c r="FG1161" s="189"/>
      <c r="FH1161" s="189"/>
      <c r="FI1161" s="189"/>
      <c r="FJ1161" s="189"/>
      <c r="FK1161" s="189"/>
      <c r="FL1161" s="189"/>
      <c r="FM1161" s="189"/>
      <c r="FN1161" s="189"/>
      <c r="FO1161" s="189"/>
      <c r="FP1161" s="189"/>
      <c r="FQ1161" s="189"/>
      <c r="FR1161" s="189"/>
      <c r="FS1161" s="189"/>
      <c r="FT1161" s="189"/>
      <c r="FU1161" s="189"/>
      <c r="FV1161" s="189"/>
      <c r="FW1161" s="189"/>
      <c r="FX1161" s="189"/>
      <c r="FY1161" s="189"/>
      <c r="FZ1161" s="189"/>
      <c r="GA1161" s="189"/>
      <c r="GB1161" s="189"/>
      <c r="GC1161" s="189"/>
      <c r="GD1161" s="189"/>
      <c r="GE1161" s="189"/>
      <c r="GF1161" s="189"/>
      <c r="GG1161" s="189"/>
      <c r="GH1161" s="189"/>
      <c r="GI1161" s="189"/>
      <c r="GJ1161" s="189"/>
      <c r="GK1161" s="189"/>
      <c r="GL1161" s="189"/>
      <c r="GM1161" s="189"/>
      <c r="GN1161" s="189"/>
      <c r="GO1161" s="189"/>
      <c r="GP1161" s="189"/>
      <c r="GQ1161" s="189"/>
      <c r="GR1161" s="189"/>
      <c r="GS1161" s="189"/>
      <c r="GT1161" s="189"/>
      <c r="GU1161" s="189"/>
      <c r="GV1161" s="189"/>
      <c r="GW1161" s="189"/>
      <c r="GX1161" s="189"/>
      <c r="GY1161" s="189"/>
      <c r="GZ1161" s="189"/>
      <c r="HA1161" s="189"/>
      <c r="HB1161" s="189"/>
      <c r="HC1161" s="189"/>
      <c r="HD1161" s="189"/>
      <c r="HE1161" s="189"/>
      <c r="HF1161" s="189"/>
      <c r="HG1161" s="189"/>
      <c r="HH1161" s="189"/>
      <c r="HI1161" s="189"/>
      <c r="HJ1161" s="189"/>
      <c r="HK1161" s="189"/>
      <c r="HL1161" s="189"/>
      <c r="HM1161" s="189"/>
      <c r="HN1161" s="189"/>
      <c r="HO1161" s="189"/>
      <c r="HP1161" s="189"/>
      <c r="HQ1161" s="189"/>
      <c r="HR1161" s="189"/>
      <c r="HS1161" s="189"/>
      <c r="HT1161" s="189"/>
      <c r="HU1161" s="189"/>
      <c r="HV1161" s="189"/>
      <c r="HW1161" s="189"/>
      <c r="HX1161" s="189"/>
      <c r="HY1161" s="189"/>
      <c r="HZ1161" s="189"/>
      <c r="IA1161" s="189"/>
      <c r="IB1161" s="189"/>
      <c r="IC1161" s="189"/>
      <c r="ID1161" s="189"/>
      <c r="IE1161" s="189"/>
      <c r="IF1161" s="189"/>
      <c r="IG1161" s="189"/>
      <c r="IH1161" s="189"/>
      <c r="II1161" s="189"/>
      <c r="IJ1161" s="189"/>
      <c r="IK1161" s="189"/>
      <c r="IL1161" s="189"/>
      <c r="IM1161" s="189"/>
      <c r="IN1161" s="189"/>
      <c r="IO1161" s="189"/>
      <c r="IP1161" s="189"/>
      <c r="IQ1161" s="189"/>
      <c r="IR1161" s="189"/>
      <c r="IS1161" s="189"/>
      <c r="IT1161" s="189"/>
      <c r="IU1161" s="189"/>
      <c r="IV1161" s="189"/>
    </row>
    <row r="1162" spans="1:256" ht="14.25" thickTop="1" thickBot="1">
      <c r="A1162" s="267" t="str">
        <f t="shared" si="52"/>
        <v>ISMAEL SAMPIETRO DE OLIVEIRA</v>
      </c>
      <c r="B1162" s="68" t="s">
        <v>62</v>
      </c>
      <c r="C1162" s="66" t="s">
        <v>601</v>
      </c>
      <c r="D1162" s="67"/>
      <c r="E1162" s="62">
        <v>40077</v>
      </c>
      <c r="F1162" s="285"/>
    </row>
    <row r="1163" spans="1:256" ht="14.25" thickTop="1" thickBot="1">
      <c r="A1163" s="267" t="str">
        <f t="shared" si="52"/>
        <v>ISRAEL DOS SANTOS</v>
      </c>
      <c r="B1163" s="68" t="s">
        <v>62</v>
      </c>
      <c r="C1163" s="66" t="s">
        <v>1058</v>
      </c>
      <c r="D1163" s="65">
        <v>41283</v>
      </c>
      <c r="E1163" s="70">
        <v>43363</v>
      </c>
      <c r="F1163" s="291"/>
    </row>
    <row r="1164" spans="1:256" ht="14.25" thickTop="1" thickBot="1">
      <c r="A1164" s="267" t="str">
        <f t="shared" si="52"/>
        <v xml:space="preserve">ISRAEL FERREIRA LOBO        </v>
      </c>
      <c r="B1164" s="68" t="s">
        <v>1306</v>
      </c>
      <c r="C1164" s="66" t="s">
        <v>1950</v>
      </c>
      <c r="D1164" s="61">
        <v>101751</v>
      </c>
      <c r="E1164" s="62">
        <v>40016</v>
      </c>
      <c r="F1164" s="285"/>
    </row>
    <row r="1165" spans="1:256" ht="14.25" thickTop="1" thickBot="1">
      <c r="A1165" s="267" t="str">
        <f t="shared" si="52"/>
        <v>ISRAEL SOUTO</v>
      </c>
      <c r="B1165" s="68" t="s">
        <v>62</v>
      </c>
      <c r="C1165" s="66" t="s">
        <v>1061</v>
      </c>
      <c r="D1165" s="65">
        <v>56997</v>
      </c>
      <c r="E1165" s="62">
        <v>41417</v>
      </c>
      <c r="F1165" s="285"/>
    </row>
    <row r="1166" spans="1:256" ht="14.25" thickTop="1" thickBot="1">
      <c r="A1166" s="267" t="str">
        <f t="shared" si="52"/>
        <v>ITAMAR GONÇALVES AZEVEDO</v>
      </c>
      <c r="B1166" s="68" t="s">
        <v>1298</v>
      </c>
      <c r="C1166" s="66" t="s">
        <v>328</v>
      </c>
      <c r="D1166" s="65">
        <v>90426</v>
      </c>
      <c r="E1166" s="62">
        <v>43390</v>
      </c>
      <c r="F1166" s="285"/>
    </row>
    <row r="1167" spans="1:256" ht="14.25" thickTop="1" thickBot="1">
      <c r="A1167" s="267"/>
      <c r="B1167" s="68" t="s">
        <v>62</v>
      </c>
      <c r="C1167" s="66" t="s">
        <v>2350</v>
      </c>
      <c r="D1167" s="65">
        <v>3897</v>
      </c>
      <c r="E1167" s="62">
        <v>40029</v>
      </c>
      <c r="F1167" s="285"/>
    </row>
    <row r="1168" spans="1:256" ht="14.25" thickTop="1" thickBot="1">
      <c r="A1168" s="267" t="str">
        <f t="shared" ref="A1168:A1175" si="53">C1169</f>
        <v>IVAN ANCELMO PIJANOWSKI</v>
      </c>
      <c r="B1168" s="68" t="s">
        <v>1812</v>
      </c>
      <c r="C1168" s="77" t="s">
        <v>2694</v>
      </c>
      <c r="D1168" s="61">
        <v>156601</v>
      </c>
      <c r="E1168" s="70">
        <v>43769</v>
      </c>
      <c r="F1168" s="287"/>
    </row>
    <row r="1169" spans="1:6" ht="14.25" thickTop="1" thickBot="1">
      <c r="A1169" s="267" t="str">
        <f t="shared" si="53"/>
        <v>IVAN DANILO RIBEIRO DA ROCHA</v>
      </c>
      <c r="B1169" s="68" t="s">
        <v>62</v>
      </c>
      <c r="C1169" s="66" t="s">
        <v>962</v>
      </c>
      <c r="D1169" s="65">
        <v>63992</v>
      </c>
      <c r="E1169" s="62">
        <v>40016</v>
      </c>
      <c r="F1169" s="285"/>
    </row>
    <row r="1170" spans="1:6" ht="14.25" thickTop="1" thickBot="1">
      <c r="A1170" s="267" t="str">
        <f t="shared" si="53"/>
        <v>IVAN MARTINS DE OLIVEIRA</v>
      </c>
      <c r="B1170" s="67" t="s">
        <v>1522</v>
      </c>
      <c r="C1170" s="66" t="s">
        <v>184</v>
      </c>
      <c r="D1170" s="65">
        <v>27087</v>
      </c>
      <c r="E1170" s="62">
        <v>42207</v>
      </c>
      <c r="F1170" s="285"/>
    </row>
    <row r="1171" spans="1:6" ht="14.25" thickTop="1" thickBot="1">
      <c r="A1171" s="267" t="str">
        <f t="shared" si="53"/>
        <v>IVAN ROBERSON MEREHT</v>
      </c>
      <c r="B1171" s="68" t="s">
        <v>62</v>
      </c>
      <c r="C1171" s="66" t="s">
        <v>1194</v>
      </c>
      <c r="D1171" s="65">
        <v>48716</v>
      </c>
      <c r="E1171" s="62">
        <v>40414</v>
      </c>
      <c r="F1171" s="285"/>
    </row>
    <row r="1172" spans="1:6" ht="14.25" thickTop="1" thickBot="1">
      <c r="A1172" s="267" t="str">
        <f t="shared" si="53"/>
        <v xml:space="preserve">IVANDRO FERREIRA CORREA     </v>
      </c>
      <c r="B1172" s="68" t="s">
        <v>62</v>
      </c>
      <c r="C1172" s="66" t="s">
        <v>307</v>
      </c>
      <c r="D1172" s="65">
        <v>63801</v>
      </c>
      <c r="E1172" s="62">
        <v>41255</v>
      </c>
      <c r="F1172" s="285"/>
    </row>
    <row r="1173" spans="1:6" ht="14.25" thickTop="1" thickBot="1">
      <c r="A1173" s="267" t="str">
        <f t="shared" si="53"/>
        <v>IVANEREI DIAS</v>
      </c>
      <c r="B1173" s="68" t="s">
        <v>62</v>
      </c>
      <c r="C1173" s="66" t="s">
        <v>309</v>
      </c>
      <c r="D1173" s="67"/>
      <c r="E1173" s="70">
        <v>42488</v>
      </c>
      <c r="F1173" s="284"/>
    </row>
    <row r="1174" spans="1:6" ht="14.25" thickTop="1" thickBot="1">
      <c r="A1174" s="267" t="str">
        <f t="shared" si="53"/>
        <v>IVANILDO DE JESUS</v>
      </c>
      <c r="B1174" s="68" t="s">
        <v>1306</v>
      </c>
      <c r="C1174" s="66" t="s">
        <v>979</v>
      </c>
      <c r="D1174" s="67"/>
      <c r="E1174" s="62">
        <v>41991</v>
      </c>
      <c r="F1174" s="285"/>
    </row>
    <row r="1175" spans="1:6" ht="14.25" thickTop="1" thickBot="1">
      <c r="A1175" s="267" t="str">
        <f t="shared" si="53"/>
        <v>IVANIR DOS ANJOS FERREIRA</v>
      </c>
      <c r="B1175" s="68" t="s">
        <v>62</v>
      </c>
      <c r="C1175" s="64" t="s">
        <v>310</v>
      </c>
      <c r="D1175" s="67"/>
      <c r="E1175" s="62">
        <v>40378</v>
      </c>
      <c r="F1175" s="285"/>
    </row>
    <row r="1176" spans="1:6" ht="14.25" thickTop="1" thickBot="1">
      <c r="A1176" s="267" t="s">
        <v>2400</v>
      </c>
      <c r="B1176" s="68" t="s">
        <v>62</v>
      </c>
      <c r="C1176" s="64" t="s">
        <v>755</v>
      </c>
      <c r="D1176" s="61">
        <v>45616</v>
      </c>
      <c r="E1176" s="62">
        <v>42240</v>
      </c>
      <c r="F1176" s="285"/>
    </row>
    <row r="1177" spans="1:6" ht="14.25" thickTop="1" thickBot="1">
      <c r="A1177" s="267" t="str">
        <f>C1178</f>
        <v>IVERSON REGO DE FARIAS       (Carioca)</v>
      </c>
      <c r="B1177" s="61"/>
      <c r="C1177" s="66" t="s">
        <v>16</v>
      </c>
      <c r="D1177" s="65">
        <v>63871</v>
      </c>
      <c r="E1177" s="62">
        <v>43398</v>
      </c>
      <c r="F1177" s="285"/>
    </row>
    <row r="1178" spans="1:6" ht="14.25" thickTop="1" thickBot="1">
      <c r="A1178" s="267" t="str">
        <f>C1179</f>
        <v>IVO SUTIL DE ALMEIDA</v>
      </c>
      <c r="B1178" s="68" t="s">
        <v>62</v>
      </c>
      <c r="C1178" s="60" t="s">
        <v>2972</v>
      </c>
      <c r="D1178" s="61">
        <v>148931</v>
      </c>
      <c r="E1178" s="62"/>
      <c r="F1178" s="285"/>
    </row>
    <row r="1179" spans="1:6" ht="14.25" thickTop="1" thickBot="1">
      <c r="A1179" s="267" t="str">
        <f>C1180</f>
        <v>IVO TAVARES</v>
      </c>
      <c r="B1179" s="68" t="s">
        <v>62</v>
      </c>
      <c r="C1179" s="66" t="s">
        <v>156</v>
      </c>
      <c r="D1179" s="65">
        <v>63784</v>
      </c>
      <c r="E1179" s="62">
        <v>40324</v>
      </c>
      <c r="F1179" s="285"/>
    </row>
    <row r="1180" spans="1:6" ht="14.25" thickTop="1" thickBot="1">
      <c r="A1180" s="267" t="str">
        <f>C1181</f>
        <v>IVONEI CLARO DOS SANTOS</v>
      </c>
      <c r="B1180" s="68" t="s">
        <v>62</v>
      </c>
      <c r="C1180" s="66" t="s">
        <v>1533</v>
      </c>
      <c r="D1180" s="61">
        <v>63513</v>
      </c>
      <c r="E1180" s="62">
        <v>40745</v>
      </c>
      <c r="F1180" s="285"/>
    </row>
    <row r="1181" spans="1:6" ht="14.25" thickTop="1" thickBot="1">
      <c r="A1181" s="267" t="str">
        <f>C1182</f>
        <v>IZAEL MARTINS DE ALMEIDA</v>
      </c>
      <c r="B1181" s="68" t="s">
        <v>62</v>
      </c>
      <c r="C1181" s="66" t="s">
        <v>961</v>
      </c>
      <c r="D1181" s="61">
        <v>27152</v>
      </c>
      <c r="E1181" s="62">
        <v>39960</v>
      </c>
      <c r="F1181" s="285"/>
    </row>
    <row r="1182" spans="1:6" ht="14.25" thickTop="1" thickBot="1">
      <c r="A1182" s="267"/>
      <c r="B1182" s="68" t="s">
        <v>62</v>
      </c>
      <c r="C1182" s="66" t="s">
        <v>572</v>
      </c>
      <c r="D1182" s="65">
        <v>63730</v>
      </c>
      <c r="E1182" s="62">
        <v>41982</v>
      </c>
      <c r="F1182" s="285"/>
    </row>
    <row r="1183" spans="1:6" ht="14.25" thickTop="1" thickBot="1">
      <c r="A1183" s="267"/>
      <c r="B1183" s="68" t="s">
        <v>2413</v>
      </c>
      <c r="C1183" s="78" t="s">
        <v>3386</v>
      </c>
      <c r="D1183" s="61">
        <v>124990</v>
      </c>
      <c r="E1183" s="62">
        <v>43859</v>
      </c>
      <c r="F1183" s="285"/>
    </row>
    <row r="1184" spans="1:6" ht="14.25" thickTop="1" thickBot="1">
      <c r="A1184" s="267"/>
      <c r="B1184" s="68" t="s">
        <v>2413</v>
      </c>
      <c r="C1184" s="60" t="s">
        <v>2461</v>
      </c>
      <c r="D1184" s="61">
        <v>117460</v>
      </c>
      <c r="E1184" s="62">
        <v>44062</v>
      </c>
      <c r="F1184" s="285"/>
    </row>
    <row r="1185" spans="1:6" ht="14.25" thickTop="1" thickBot="1">
      <c r="A1185" s="267" t="str">
        <f>C1186</f>
        <v>IZAQUEL SANTOS DE SOUZA</v>
      </c>
      <c r="B1185" s="68" t="s">
        <v>1665</v>
      </c>
      <c r="C1185" s="64" t="s">
        <v>1430</v>
      </c>
      <c r="D1185" s="61">
        <v>63151</v>
      </c>
      <c r="E1185" s="70">
        <v>42492</v>
      </c>
      <c r="F1185" s="284"/>
    </row>
    <row r="1186" spans="1:6" ht="14.25" thickTop="1" thickBot="1">
      <c r="A1186" s="267" t="str">
        <f>C1187</f>
        <v>IZIDIO CARLOS</v>
      </c>
      <c r="B1186" s="68" t="s">
        <v>2347</v>
      </c>
      <c r="C1186" s="66" t="s">
        <v>60</v>
      </c>
      <c r="D1186" s="65">
        <v>63536</v>
      </c>
      <c r="E1186" s="62">
        <v>43346</v>
      </c>
      <c r="F1186" s="285"/>
    </row>
    <row r="1187" spans="1:6" ht="14.25" thickTop="1" thickBot="1">
      <c r="A1187" s="267" t="str">
        <f>C1188</f>
        <v>IZIDIO CARLOS</v>
      </c>
      <c r="B1187" s="67" t="s">
        <v>1522</v>
      </c>
      <c r="C1187" s="66" t="s">
        <v>606</v>
      </c>
      <c r="D1187" s="61">
        <v>63536</v>
      </c>
      <c r="E1187" s="62">
        <v>42228</v>
      </c>
      <c r="F1187" s="285"/>
    </row>
    <row r="1188" spans="1:6" ht="14.25" thickTop="1" thickBot="1">
      <c r="A1188" s="267" t="str">
        <f>C1189</f>
        <v>JACIMIR RIBAS DOS SANTOS</v>
      </c>
      <c r="B1188" s="68" t="s">
        <v>62</v>
      </c>
      <c r="C1188" s="64" t="s">
        <v>606</v>
      </c>
      <c r="D1188" s="65">
        <v>63317</v>
      </c>
      <c r="E1188" s="62">
        <v>40956</v>
      </c>
      <c r="F1188" s="285"/>
    </row>
    <row r="1189" spans="1:6" ht="14.25" thickTop="1" thickBot="1">
      <c r="A1189" s="267" t="str">
        <f>C1190</f>
        <v>JACIR PRUDENCIO          (Titanic)</v>
      </c>
      <c r="B1189" s="68" t="s">
        <v>2413</v>
      </c>
      <c r="C1189" s="64" t="s">
        <v>2094</v>
      </c>
      <c r="D1189" s="65">
        <v>137475</v>
      </c>
      <c r="E1189" s="70">
        <v>43720</v>
      </c>
      <c r="F1189" s="287"/>
    </row>
    <row r="1190" spans="1:6" ht="14.25" thickTop="1" thickBot="1">
      <c r="A1190" s="267" t="str">
        <f>C1193</f>
        <v>JACKSON EDUARDO BARBOSA</v>
      </c>
      <c r="B1190" s="68" t="s">
        <v>62</v>
      </c>
      <c r="C1190" s="66" t="s">
        <v>2973</v>
      </c>
      <c r="D1190" s="61">
        <v>63747</v>
      </c>
      <c r="E1190" s="62">
        <v>41240</v>
      </c>
      <c r="F1190" s="285"/>
    </row>
    <row r="1191" spans="1:6" ht="14.25" thickTop="1" thickBot="1">
      <c r="A1191" s="267"/>
      <c r="B1191" s="68" t="s">
        <v>2413</v>
      </c>
      <c r="C1191" s="60" t="s">
        <v>2490</v>
      </c>
      <c r="D1191" s="61">
        <v>144819</v>
      </c>
      <c r="E1191" s="62">
        <v>44062</v>
      </c>
      <c r="F1191" s="285"/>
    </row>
    <row r="1192" spans="1:6" ht="14.25" thickTop="1" thickBot="1">
      <c r="A1192" s="271"/>
      <c r="B1192" s="68" t="s">
        <v>2812</v>
      </c>
      <c r="C1192" s="66" t="s">
        <v>3433</v>
      </c>
      <c r="D1192" s="61">
        <v>115874</v>
      </c>
      <c r="E1192" s="62">
        <v>43935</v>
      </c>
      <c r="F1192" s="285"/>
    </row>
    <row r="1193" spans="1:6" ht="14.25" thickTop="1" thickBot="1">
      <c r="A1193" s="267" t="str">
        <f>C1194</f>
        <v>JACKSON FERREIRA DE OLIVEIRA</v>
      </c>
      <c r="B1193" s="68" t="s">
        <v>62</v>
      </c>
      <c r="C1193" s="66" t="s">
        <v>1467</v>
      </c>
      <c r="D1193" s="67"/>
      <c r="E1193" s="62">
        <v>39631</v>
      </c>
      <c r="F1193" s="285"/>
    </row>
    <row r="1194" spans="1:6" ht="14.25" thickTop="1" thickBot="1">
      <c r="A1194" s="267" t="str">
        <f>C1196</f>
        <v>JACKSON LUIS RODRIGUES DE LIMA</v>
      </c>
      <c r="B1194" s="68" t="s">
        <v>62</v>
      </c>
      <c r="C1194" s="66" t="s">
        <v>633</v>
      </c>
      <c r="D1194" s="61">
        <v>63492</v>
      </c>
      <c r="E1194" s="62">
        <v>41625</v>
      </c>
      <c r="F1194" s="285"/>
    </row>
    <row r="1195" spans="1:6" ht="14.25" thickTop="1" thickBot="1">
      <c r="A1195" s="267" t="str">
        <f>C1197</f>
        <v>JACKSON LUIZ DOS SANTOS</v>
      </c>
      <c r="B1195" s="68" t="s">
        <v>62</v>
      </c>
      <c r="C1195" s="66" t="s">
        <v>446</v>
      </c>
      <c r="D1195" s="61">
        <v>68212</v>
      </c>
      <c r="E1195" s="62">
        <v>39503</v>
      </c>
      <c r="F1195" s="285"/>
    </row>
    <row r="1196" spans="1:6" ht="14.25" thickTop="1" thickBot="1">
      <c r="A1196" s="267" t="s">
        <v>2291</v>
      </c>
      <c r="B1196" s="68" t="s">
        <v>62</v>
      </c>
      <c r="C1196" s="66" t="s">
        <v>148</v>
      </c>
      <c r="D1196" s="61">
        <v>102974</v>
      </c>
      <c r="E1196" s="62">
        <v>41969</v>
      </c>
      <c r="F1196" s="285"/>
    </row>
    <row r="1197" spans="1:6" ht="14.25" thickTop="1" thickBot="1">
      <c r="A1197" s="267" t="str">
        <f>C1198</f>
        <v>JACKSON LUIZ SILVA BASSAI</v>
      </c>
      <c r="B1197" s="68" t="s">
        <v>1812</v>
      </c>
      <c r="C1197" s="66" t="s">
        <v>2291</v>
      </c>
      <c r="D1197" s="61">
        <v>102790</v>
      </c>
      <c r="E1197" s="62">
        <v>43791</v>
      </c>
      <c r="F1197" s="285"/>
    </row>
    <row r="1198" spans="1:6" ht="14.25" thickTop="1" thickBot="1">
      <c r="A1198" s="269" t="s">
        <v>1625</v>
      </c>
      <c r="B1198" s="68" t="s">
        <v>62</v>
      </c>
      <c r="C1198" s="66" t="s">
        <v>1625</v>
      </c>
      <c r="D1198" s="61" t="s">
        <v>620</v>
      </c>
      <c r="E1198" s="62">
        <v>41710</v>
      </c>
      <c r="F1198" s="285"/>
    </row>
    <row r="1199" spans="1:6" ht="14.25" thickTop="1" thickBot="1">
      <c r="A1199" s="267" t="str">
        <f t="shared" ref="A1199:A1204" si="54">C1200</f>
        <v>JACKSON MACIEL DOS SANTOS</v>
      </c>
      <c r="B1199" s="68" t="s">
        <v>2413</v>
      </c>
      <c r="C1199" s="66" t="s">
        <v>1625</v>
      </c>
      <c r="D1199" s="61">
        <v>102974</v>
      </c>
      <c r="E1199" s="70">
        <v>43818</v>
      </c>
      <c r="F1199" s="287"/>
    </row>
    <row r="1200" spans="1:6" ht="14.25" thickTop="1" thickBot="1">
      <c r="A1200" s="267" t="str">
        <f t="shared" si="54"/>
        <v>JACKSON MOREIRA FREITAS    (Tiozinho)</v>
      </c>
      <c r="B1200" s="68" t="s">
        <v>62</v>
      </c>
      <c r="C1200" s="66" t="s">
        <v>208</v>
      </c>
      <c r="D1200" s="61">
        <v>63940</v>
      </c>
      <c r="E1200" s="62">
        <v>40414</v>
      </c>
      <c r="F1200" s="285"/>
    </row>
    <row r="1201" spans="1:6" ht="14.25" thickTop="1" thickBot="1">
      <c r="A1201" s="267" t="str">
        <f t="shared" si="54"/>
        <v xml:space="preserve">JACKSON RANTHUM     </v>
      </c>
      <c r="B1201" s="68" t="s">
        <v>62</v>
      </c>
      <c r="C1201" s="66" t="s">
        <v>2963</v>
      </c>
      <c r="D1201" s="61"/>
      <c r="E1201" s="115">
        <v>39477</v>
      </c>
      <c r="F1201" s="288" t="s">
        <v>77</v>
      </c>
    </row>
    <row r="1202" spans="1:6" ht="14.25" thickTop="1" thickBot="1">
      <c r="A1202" s="267" t="str">
        <f t="shared" si="54"/>
        <v>JACKSON RICARDO ENES DOS SANTOS</v>
      </c>
      <c r="B1202" s="68" t="s">
        <v>62</v>
      </c>
      <c r="C1202" s="64" t="s">
        <v>326</v>
      </c>
      <c r="D1202" s="61">
        <v>63859</v>
      </c>
      <c r="E1202" s="62">
        <v>39262</v>
      </c>
      <c r="F1202" s="285"/>
    </row>
    <row r="1203" spans="1:6" ht="14.25" thickTop="1" thickBot="1">
      <c r="A1203" s="267" t="str">
        <f t="shared" si="54"/>
        <v>JACOB MARCIANO KOZAN</v>
      </c>
      <c r="B1203" s="68" t="s">
        <v>603</v>
      </c>
      <c r="C1203" s="66" t="s">
        <v>857</v>
      </c>
      <c r="D1203" s="67"/>
      <c r="E1203" s="70">
        <v>42319</v>
      </c>
      <c r="F1203" s="284"/>
    </row>
    <row r="1204" spans="1:6" ht="14.25" thickTop="1" thickBot="1">
      <c r="A1204" s="267" t="str">
        <f t="shared" si="54"/>
        <v>JACQUES ANTUNES FERREIRA</v>
      </c>
      <c r="B1204" s="68" t="s">
        <v>62</v>
      </c>
      <c r="C1204" s="64" t="s">
        <v>668</v>
      </c>
      <c r="D1204" s="65">
        <v>63807</v>
      </c>
      <c r="E1204" s="62">
        <v>41757</v>
      </c>
      <c r="F1204" s="285"/>
    </row>
    <row r="1205" spans="1:6" ht="14.25" thickTop="1" thickBot="1">
      <c r="A1205" s="267"/>
      <c r="B1205" s="68" t="s">
        <v>2413</v>
      </c>
      <c r="C1205" s="77" t="s">
        <v>2422</v>
      </c>
      <c r="D1205" s="61">
        <v>145968</v>
      </c>
      <c r="E1205" s="62">
        <v>43983</v>
      </c>
      <c r="F1205" s="285"/>
    </row>
    <row r="1206" spans="1:6" ht="14.25" thickTop="1" thickBot="1">
      <c r="A1206" s="267" t="str">
        <f>C1207</f>
        <v>JAILTON OLIVIO BRONOSKI</v>
      </c>
      <c r="B1206" s="68" t="s">
        <v>62</v>
      </c>
      <c r="C1206" s="66" t="s">
        <v>1423</v>
      </c>
      <c r="D1206" s="65">
        <v>84524</v>
      </c>
      <c r="E1206" s="62">
        <v>39959</v>
      </c>
      <c r="F1206" s="285"/>
    </row>
    <row r="1207" spans="1:6" ht="14.25" thickTop="1" thickBot="1">
      <c r="A1207" s="267" t="str">
        <f>C1208</f>
        <v>JAIME DA FONSECA</v>
      </c>
      <c r="B1207" s="68" t="s">
        <v>62</v>
      </c>
      <c r="C1207" s="66" t="s">
        <v>277</v>
      </c>
      <c r="D1207" s="65">
        <v>63933</v>
      </c>
      <c r="E1207" s="62">
        <v>39356</v>
      </c>
      <c r="F1207" s="285"/>
    </row>
    <row r="1208" spans="1:6" ht="14.25" thickTop="1" thickBot="1">
      <c r="A1208" s="267" t="str">
        <f>C1209</f>
        <v>JAIME DIAS</v>
      </c>
      <c r="B1208" s="68" t="s">
        <v>62</v>
      </c>
      <c r="C1208" s="66" t="s">
        <v>485</v>
      </c>
      <c r="D1208" s="177"/>
      <c r="E1208" s="62">
        <v>40245</v>
      </c>
      <c r="F1208" s="285"/>
    </row>
    <row r="1209" spans="1:6" ht="14.25" thickTop="1" thickBot="1">
      <c r="A1209" s="267" t="str">
        <f>C1210</f>
        <v>JAIME MADUREIRA FILHO</v>
      </c>
      <c r="B1209" s="68" t="s">
        <v>62</v>
      </c>
      <c r="C1209" s="66" t="s">
        <v>669</v>
      </c>
      <c r="D1209" s="67"/>
      <c r="E1209" s="62">
        <v>43077</v>
      </c>
      <c r="F1209" s="285"/>
    </row>
    <row r="1210" spans="1:6" ht="14.25" thickTop="1" thickBot="1">
      <c r="A1210" s="267"/>
      <c r="B1210" s="68" t="s">
        <v>62</v>
      </c>
      <c r="C1210" s="66" t="s">
        <v>2224</v>
      </c>
      <c r="D1210" s="65">
        <v>136327</v>
      </c>
      <c r="E1210" s="62">
        <v>40725</v>
      </c>
      <c r="F1210" s="285"/>
    </row>
    <row r="1211" spans="1:6" ht="14.25" thickTop="1" thickBot="1">
      <c r="A1211" s="267" t="str">
        <f>C1212</f>
        <v>JAIR DE LIMA</v>
      </c>
      <c r="B1211" s="68" t="s">
        <v>1306</v>
      </c>
      <c r="C1211" s="66" t="s">
        <v>670</v>
      </c>
      <c r="D1211" s="61">
        <v>8743</v>
      </c>
      <c r="E1211" s="62">
        <v>41177</v>
      </c>
      <c r="F1211" s="285"/>
    </row>
    <row r="1212" spans="1:6" ht="14.25" thickTop="1" thickBot="1">
      <c r="A1212" s="267" t="str">
        <f>C1213</f>
        <v>JAIR DE PAULA SALDANHA</v>
      </c>
      <c r="B1212" s="68" t="s">
        <v>1033</v>
      </c>
      <c r="C1212" s="66" t="s">
        <v>425</v>
      </c>
      <c r="D1212" s="65">
        <v>63911</v>
      </c>
      <c r="E1212" s="62">
        <v>42191</v>
      </c>
      <c r="F1212" s="285"/>
    </row>
    <row r="1213" spans="1:6" ht="14.25" thickTop="1" thickBot="1">
      <c r="A1213" s="267" t="str">
        <f>C1214</f>
        <v>JAIR FIGUEROA FILHO</v>
      </c>
      <c r="B1213" s="68" t="s">
        <v>2347</v>
      </c>
      <c r="C1213" s="66" t="s">
        <v>1182</v>
      </c>
      <c r="D1213" s="67"/>
      <c r="E1213" s="62">
        <v>43346</v>
      </c>
      <c r="F1213" s="285"/>
    </row>
    <row r="1214" spans="1:6" ht="14.25" thickTop="1" thickBot="1">
      <c r="A1214" s="267" t="str">
        <f>C1215</f>
        <v>JAIR GOMES CARDOSO</v>
      </c>
      <c r="B1214" s="68" t="s">
        <v>62</v>
      </c>
      <c r="C1214" s="60" t="s">
        <v>2237</v>
      </c>
      <c r="D1214" s="61">
        <v>10864</v>
      </c>
      <c r="E1214" s="62">
        <v>40763</v>
      </c>
      <c r="F1214" s="285"/>
    </row>
    <row r="1215" spans="1:6" ht="14.25" thickTop="1" thickBot="1">
      <c r="A1215" s="267" t="str">
        <f>C1225</f>
        <v>JAMES IGOR MADUREIRA       (Mico)</v>
      </c>
      <c r="B1215" s="68" t="s">
        <v>2406</v>
      </c>
      <c r="C1215" s="77" t="s">
        <v>1386</v>
      </c>
      <c r="D1215" s="61">
        <v>63327</v>
      </c>
      <c r="E1215" s="62">
        <v>43969</v>
      </c>
      <c r="F1215" s="285"/>
    </row>
    <row r="1216" spans="1:6" ht="14.25" thickTop="1" thickBot="1">
      <c r="A1216" s="267" t="str">
        <f>C1217</f>
        <v>JAIR GOMES DA SILVA</v>
      </c>
      <c r="B1216" s="68" t="s">
        <v>546</v>
      </c>
      <c r="C1216" s="66" t="s">
        <v>1386</v>
      </c>
      <c r="D1216" s="67"/>
      <c r="E1216" s="62">
        <v>41208</v>
      </c>
      <c r="F1216" s="285"/>
    </row>
    <row r="1217" spans="1:6" ht="14.25" thickTop="1" thickBot="1">
      <c r="A1217" s="267" t="str">
        <f>C1218</f>
        <v>JAIR GREGORIO DOS REIS</v>
      </c>
      <c r="B1217" s="68" t="s">
        <v>62</v>
      </c>
      <c r="C1217" s="66" t="s">
        <v>1387</v>
      </c>
      <c r="D1217" s="65">
        <v>63169</v>
      </c>
      <c r="E1217" s="62">
        <v>42704</v>
      </c>
      <c r="F1217" s="285"/>
    </row>
    <row r="1218" spans="1:6" ht="14.25" thickTop="1" thickBot="1">
      <c r="A1218" s="267" t="s">
        <v>2639</v>
      </c>
      <c r="B1218" s="68" t="s">
        <v>62</v>
      </c>
      <c r="C1218" s="64" t="s">
        <v>1434</v>
      </c>
      <c r="D1218" s="65">
        <v>11424</v>
      </c>
      <c r="E1218" s="62"/>
      <c r="F1218" s="285"/>
    </row>
    <row r="1219" spans="1:6" ht="14.25" thickTop="1" thickBot="1">
      <c r="A1219" s="267" t="str">
        <f>C1220</f>
        <v>JAIR JOSÉ ORGE</v>
      </c>
      <c r="B1219" s="68" t="s">
        <v>2413</v>
      </c>
      <c r="C1219" s="66" t="s">
        <v>1365</v>
      </c>
      <c r="D1219" s="61">
        <v>63895</v>
      </c>
      <c r="E1219" s="62"/>
      <c r="F1219" s="285"/>
    </row>
    <row r="1220" spans="1:6" ht="14.25" thickTop="1" thickBot="1">
      <c r="A1220" s="267" t="str">
        <f>C1221</f>
        <v>JAIR RIBEIRO DE OLIVEIRA</v>
      </c>
      <c r="B1220" s="68" t="s">
        <v>62</v>
      </c>
      <c r="C1220" s="64" t="s">
        <v>2639</v>
      </c>
      <c r="D1220" s="65">
        <v>123597</v>
      </c>
      <c r="E1220" s="62">
        <v>42327</v>
      </c>
      <c r="F1220" s="285"/>
    </row>
    <row r="1221" spans="1:6" ht="14.25" thickTop="1" thickBot="1">
      <c r="A1221" s="270"/>
      <c r="B1221" s="68" t="s">
        <v>62</v>
      </c>
      <c r="C1221" s="66" t="s">
        <v>192</v>
      </c>
      <c r="D1221" s="65">
        <v>102259</v>
      </c>
      <c r="E1221" s="62">
        <v>40893</v>
      </c>
      <c r="F1221" s="285"/>
    </row>
    <row r="1222" spans="1:6" ht="14.25" thickTop="1" thickBot="1">
      <c r="A1222" s="267"/>
      <c r="B1222" s="68" t="s">
        <v>25</v>
      </c>
      <c r="C1222" s="66" t="s">
        <v>1238</v>
      </c>
      <c r="D1222" s="65">
        <v>7034</v>
      </c>
      <c r="E1222" s="62">
        <v>41019</v>
      </c>
      <c r="F1222" s="285"/>
    </row>
    <row r="1223" spans="1:6" ht="14.25" thickTop="1" thickBot="1">
      <c r="A1223" s="267"/>
      <c r="B1223" s="68" t="s">
        <v>1522</v>
      </c>
      <c r="C1223" s="77" t="s">
        <v>2862</v>
      </c>
      <c r="D1223" s="61">
        <v>115874</v>
      </c>
      <c r="E1223" s="62">
        <v>43935</v>
      </c>
      <c r="F1223" s="285"/>
    </row>
    <row r="1224" spans="1:6" ht="14.25" thickTop="1" thickBot="1">
      <c r="A1224" s="267" t="s">
        <v>3388</v>
      </c>
      <c r="B1224" s="68" t="s">
        <v>2406</v>
      </c>
      <c r="C1224" s="91" t="s">
        <v>3388</v>
      </c>
      <c r="D1224" s="61">
        <v>7034</v>
      </c>
      <c r="E1224" s="70">
        <v>44144</v>
      </c>
      <c r="F1224" s="287"/>
    </row>
    <row r="1225" spans="1:6" ht="14.25" thickTop="1" thickBot="1">
      <c r="A1225" s="267" t="str">
        <f>C1226</f>
        <v>JAMIL REVELINO</v>
      </c>
      <c r="B1225" s="163" t="s">
        <v>62</v>
      </c>
      <c r="C1225" s="64" t="s">
        <v>2974</v>
      </c>
      <c r="D1225" s="65">
        <v>50698</v>
      </c>
      <c r="E1225" s="204">
        <v>43360</v>
      </c>
      <c r="F1225" s="284"/>
    </row>
    <row r="1226" spans="1:6" ht="14.25" thickTop="1" thickBot="1">
      <c r="A1226" s="267" t="str">
        <f>C1227</f>
        <v xml:space="preserve">JANDER ISAC DOS SANTOS    (Febem / M.P.)                </v>
      </c>
      <c r="B1226" s="68" t="s">
        <v>2146</v>
      </c>
      <c r="C1226" s="66" t="s">
        <v>923</v>
      </c>
      <c r="D1226" s="61">
        <v>45961</v>
      </c>
      <c r="E1226" s="62">
        <v>43418</v>
      </c>
      <c r="F1226" s="285"/>
    </row>
    <row r="1227" spans="1:6" ht="14.25" thickTop="1" thickBot="1">
      <c r="A1227" s="267" t="str">
        <f>C1228</f>
        <v>JANDERSON M. RODRIGUES</v>
      </c>
      <c r="B1227" s="68"/>
      <c r="C1227" s="66" t="s">
        <v>2964</v>
      </c>
      <c r="D1227" s="61">
        <v>81423</v>
      </c>
      <c r="E1227" s="62">
        <v>42957</v>
      </c>
      <c r="F1227" s="285"/>
    </row>
    <row r="1228" spans="1:6" ht="14.25" thickTop="1" thickBot="1">
      <c r="A1228" s="267"/>
      <c r="B1228" s="68" t="s">
        <v>2413</v>
      </c>
      <c r="C1228" s="192" t="s">
        <v>3542</v>
      </c>
      <c r="D1228" s="61">
        <v>50698</v>
      </c>
      <c r="E1228" s="62">
        <v>44062</v>
      </c>
      <c r="F1228" s="285"/>
    </row>
    <row r="1229" spans="1:6" ht="14.25" thickTop="1" thickBot="1">
      <c r="A1229" s="267" t="str">
        <f>C1230</f>
        <v>JAQUESON GOMES FERREIRA</v>
      </c>
      <c r="B1229" s="68" t="s">
        <v>62</v>
      </c>
      <c r="C1229" s="66" t="s">
        <v>1470</v>
      </c>
      <c r="D1229" s="61">
        <v>101662</v>
      </c>
      <c r="E1229" s="62">
        <v>43364</v>
      </c>
      <c r="F1229" s="285"/>
    </row>
    <row r="1230" spans="1:6" ht="14.25" thickTop="1" thickBot="1">
      <c r="A1230" s="267" t="str">
        <f>C1231</f>
        <v>JAQUESON LUIZ ALBUQUERQUE</v>
      </c>
      <c r="B1230" s="68" t="s">
        <v>1812</v>
      </c>
      <c r="C1230" s="195" t="s">
        <v>2160</v>
      </c>
      <c r="D1230" s="61">
        <v>142464</v>
      </c>
      <c r="E1230" s="70">
        <v>42373</v>
      </c>
      <c r="F1230" s="284"/>
    </row>
    <row r="1231" spans="1:6" ht="14.25" thickTop="1" thickBot="1">
      <c r="A1231" s="267" t="str">
        <f>C1232</f>
        <v xml:space="preserve">JAURI PUL </v>
      </c>
      <c r="B1231" s="68" t="s">
        <v>62</v>
      </c>
      <c r="C1231" s="64" t="s">
        <v>1936</v>
      </c>
      <c r="D1231" s="68"/>
      <c r="E1231" s="62">
        <v>40268</v>
      </c>
      <c r="F1231" s="285"/>
    </row>
    <row r="1232" spans="1:6" ht="14.25" thickTop="1" thickBot="1">
      <c r="A1232" s="267" t="str">
        <f>C1233</f>
        <v>JEAN ADALBERTO LOPES</v>
      </c>
      <c r="B1232" s="68" t="s">
        <v>62</v>
      </c>
      <c r="C1232" s="66" t="s">
        <v>327</v>
      </c>
      <c r="D1232" s="61">
        <v>101615</v>
      </c>
      <c r="E1232" s="62">
        <v>42956</v>
      </c>
      <c r="F1232" s="285"/>
    </row>
    <row r="1233" spans="1:6" ht="14.25" thickTop="1" thickBot="1">
      <c r="A1233" s="267" t="s">
        <v>2634</v>
      </c>
      <c r="B1233" s="68" t="s">
        <v>15</v>
      </c>
      <c r="C1233" s="64" t="s">
        <v>557</v>
      </c>
      <c r="D1233" s="61">
        <v>141029</v>
      </c>
      <c r="E1233" s="70">
        <v>42718</v>
      </c>
      <c r="F1233" s="287"/>
    </row>
    <row r="1234" spans="1:6" ht="14.25" thickTop="1" thickBot="1">
      <c r="A1234" s="267" t="str">
        <f>C1235</f>
        <v>JEAN ALMEIDA GALVAO</v>
      </c>
      <c r="B1234" s="68" t="s">
        <v>2413</v>
      </c>
      <c r="C1234" s="114" t="s">
        <v>2055</v>
      </c>
      <c r="D1234" s="65">
        <v>63437</v>
      </c>
      <c r="E1234" s="62"/>
      <c r="F1234" s="285"/>
    </row>
    <row r="1235" spans="1:6" ht="14.25" thickTop="1" thickBot="1">
      <c r="A1235" s="267" t="str">
        <f>C1236</f>
        <v>JEAN CARLOS CASTRO DOS SANTOS</v>
      </c>
      <c r="B1235" s="68" t="s">
        <v>62</v>
      </c>
      <c r="C1235" s="64" t="s">
        <v>2634</v>
      </c>
      <c r="D1235" s="65">
        <v>102849</v>
      </c>
      <c r="E1235" s="62">
        <v>41019</v>
      </c>
      <c r="F1235" s="285"/>
    </row>
    <row r="1236" spans="1:6" ht="14.25" thickTop="1" thickBot="1">
      <c r="A1236" s="267" t="str">
        <f>C1237</f>
        <v>JEAN CARLOS DA LUZ</v>
      </c>
      <c r="B1236" s="68" t="s">
        <v>62</v>
      </c>
      <c r="C1236" s="64" t="s">
        <v>329</v>
      </c>
      <c r="D1236" s="61">
        <v>27176</v>
      </c>
      <c r="E1236" s="62">
        <v>40990</v>
      </c>
      <c r="F1236" s="285"/>
    </row>
    <row r="1237" spans="1:6" ht="14.25" thickTop="1" thickBot="1">
      <c r="A1237" s="305" t="s">
        <v>3422</v>
      </c>
      <c r="B1237" s="68" t="s">
        <v>2406</v>
      </c>
      <c r="C1237" s="66" t="s">
        <v>2815</v>
      </c>
      <c r="D1237" s="61">
        <v>125726</v>
      </c>
      <c r="E1237" s="62">
        <v>43987</v>
      </c>
      <c r="F1237" s="285"/>
    </row>
    <row r="1238" spans="1:6" ht="14.25" thickTop="1" thickBot="1">
      <c r="A1238" s="267"/>
      <c r="B1238" s="68" t="s">
        <v>62</v>
      </c>
      <c r="C1238" s="66" t="s">
        <v>626</v>
      </c>
      <c r="D1238" s="65">
        <v>63734</v>
      </c>
      <c r="E1238" s="70">
        <v>42919</v>
      </c>
      <c r="F1238" s="284"/>
    </row>
    <row r="1239" spans="1:6" ht="14.25" thickTop="1" thickBot="1">
      <c r="A1239" s="276" t="s">
        <v>1465</v>
      </c>
      <c r="B1239" s="68" t="s">
        <v>2406</v>
      </c>
      <c r="C1239" s="66" t="s">
        <v>626</v>
      </c>
      <c r="D1239" s="69">
        <v>161721</v>
      </c>
      <c r="E1239" s="62">
        <v>43727</v>
      </c>
      <c r="F1239" s="285"/>
    </row>
    <row r="1240" spans="1:6" ht="14.25" thickTop="1" thickBot="1">
      <c r="A1240" s="267" t="str">
        <f>C1241</f>
        <v>JEAN CARLOS MARQUES</v>
      </c>
      <c r="B1240" s="68" t="s">
        <v>2593</v>
      </c>
      <c r="C1240" s="66" t="s">
        <v>1465</v>
      </c>
      <c r="D1240" s="61">
        <v>101302</v>
      </c>
      <c r="E1240" s="62">
        <v>43524</v>
      </c>
      <c r="F1240" s="285"/>
    </row>
    <row r="1241" spans="1:6" ht="14.25" thickTop="1" thickBot="1">
      <c r="A1241" s="267"/>
      <c r="B1241" s="89" t="s">
        <v>62</v>
      </c>
      <c r="C1241" s="192" t="s">
        <v>1465</v>
      </c>
      <c r="D1241" s="61">
        <v>63734</v>
      </c>
      <c r="E1241" s="62">
        <v>40763</v>
      </c>
      <c r="F1241" s="285"/>
    </row>
    <row r="1242" spans="1:6" ht="14.25" thickTop="1" thickBot="1">
      <c r="A1242" s="267" t="str">
        <f>C1243</f>
        <v>JEAN CARLOS OLIVEIRA PINTO</v>
      </c>
      <c r="B1242" s="68" t="s">
        <v>62</v>
      </c>
      <c r="C1242" s="66" t="s">
        <v>1195</v>
      </c>
      <c r="D1242" s="312">
        <v>64839</v>
      </c>
      <c r="E1242" s="70">
        <v>43363</v>
      </c>
      <c r="F1242" s="291"/>
    </row>
    <row r="1243" spans="1:6" ht="14.25" thickTop="1" thickBot="1">
      <c r="A1243" s="267" t="str">
        <f>C1244</f>
        <v>JEAN CARLOS PALHANO MILEKE</v>
      </c>
      <c r="B1243" s="68" t="s">
        <v>3363</v>
      </c>
      <c r="C1243" s="77" t="s">
        <v>139</v>
      </c>
      <c r="D1243" s="61">
        <v>27340</v>
      </c>
      <c r="E1243" s="62">
        <v>42156</v>
      </c>
      <c r="F1243" s="285"/>
    </row>
    <row r="1244" spans="1:6" ht="14.25" thickTop="1" thickBot="1">
      <c r="A1244" s="267"/>
      <c r="B1244" s="68"/>
      <c r="C1244" s="77" t="s">
        <v>2388</v>
      </c>
      <c r="D1244" s="61">
        <v>158120</v>
      </c>
      <c r="E1244" s="62"/>
      <c r="F1244" s="285"/>
    </row>
    <row r="1245" spans="1:6" ht="14.25" thickTop="1" thickBot="1">
      <c r="A1245" s="267" t="str">
        <f>C1246</f>
        <v>JEAN CARLOS RIBEIRO BETIM</v>
      </c>
      <c r="B1245" s="68" t="s">
        <v>1983</v>
      </c>
      <c r="C1245" s="66" t="s">
        <v>1225</v>
      </c>
      <c r="D1245" s="61">
        <v>113653</v>
      </c>
      <c r="E1245" s="62">
        <v>41575</v>
      </c>
      <c r="F1245" s="285"/>
    </row>
    <row r="1246" spans="1:6" ht="14.25" thickTop="1" thickBot="1">
      <c r="A1246" s="267" t="str">
        <f>C1247</f>
        <v>JEAN CARLOS RODRIGUES DOS SANTOS</v>
      </c>
      <c r="B1246" s="68" t="s">
        <v>62</v>
      </c>
      <c r="C1246" s="66" t="s">
        <v>1905</v>
      </c>
      <c r="D1246" s="69">
        <v>27160</v>
      </c>
      <c r="E1246" s="70">
        <v>42206</v>
      </c>
      <c r="F1246" s="284"/>
    </row>
    <row r="1247" spans="1:6" ht="14.25" thickTop="1" thickBot="1">
      <c r="A1247" s="267" t="str">
        <f>C1248</f>
        <v>JEAN DE OLIVEIRA RAMOS</v>
      </c>
      <c r="B1247" s="67" t="s">
        <v>1522</v>
      </c>
      <c r="C1247" s="66" t="s">
        <v>705</v>
      </c>
      <c r="D1247" s="65">
        <v>27128</v>
      </c>
      <c r="E1247" s="62">
        <v>41192</v>
      </c>
      <c r="F1247" s="285"/>
    </row>
    <row r="1248" spans="1:6" ht="14.25" thickTop="1" thickBot="1">
      <c r="A1248" s="267" t="s">
        <v>2582</v>
      </c>
      <c r="B1248" s="68" t="s">
        <v>1812</v>
      </c>
      <c r="C1248" s="60" t="s">
        <v>2566</v>
      </c>
      <c r="D1248" s="61">
        <v>104180</v>
      </c>
      <c r="E1248" s="62">
        <v>43998</v>
      </c>
      <c r="F1248" s="285"/>
    </row>
    <row r="1249" spans="1:6" ht="14.25" thickTop="1" thickBot="1">
      <c r="A1249" s="267" t="str">
        <f t="shared" ref="A1249:A1254" si="55">C1250</f>
        <v>JEAN FERNANDO KOSAKE</v>
      </c>
      <c r="B1249" s="68" t="s">
        <v>62</v>
      </c>
      <c r="C1249" s="66" t="s">
        <v>1491</v>
      </c>
      <c r="D1249" s="65">
        <v>27231</v>
      </c>
      <c r="E1249" s="62">
        <v>43173</v>
      </c>
      <c r="F1249" s="290"/>
    </row>
    <row r="1250" spans="1:6" ht="14.25" thickTop="1" thickBot="1">
      <c r="A1250" s="267" t="str">
        <f t="shared" si="55"/>
        <v>JEAN GONÇALVES NERY</v>
      </c>
      <c r="B1250" s="68" t="s">
        <v>62</v>
      </c>
      <c r="C1250" s="66" t="s">
        <v>2154</v>
      </c>
      <c r="D1250" s="61">
        <v>101657</v>
      </c>
      <c r="E1250" s="70">
        <v>42326</v>
      </c>
      <c r="F1250" s="284"/>
    </row>
    <row r="1251" spans="1:6" ht="14.25" thickTop="1" thickBot="1">
      <c r="A1251" s="267" t="str">
        <f t="shared" si="55"/>
        <v>JEAN MARCEL DIAS     (José)</v>
      </c>
      <c r="B1251" s="68" t="s">
        <v>25</v>
      </c>
      <c r="C1251" s="66" t="s">
        <v>1263</v>
      </c>
      <c r="D1251" s="65">
        <v>60865</v>
      </c>
      <c r="E1251" s="62">
        <v>41379</v>
      </c>
      <c r="F1251" s="285"/>
    </row>
    <row r="1252" spans="1:6" ht="14.25" thickTop="1" thickBot="1">
      <c r="A1252" s="267" t="str">
        <f t="shared" si="55"/>
        <v>JEAN MARCELO BARBOSA</v>
      </c>
      <c r="B1252" s="68" t="s">
        <v>62</v>
      </c>
      <c r="C1252" s="64" t="s">
        <v>2965</v>
      </c>
      <c r="D1252" s="65">
        <v>11449</v>
      </c>
      <c r="E1252" s="62">
        <v>42156</v>
      </c>
      <c r="F1252" s="285"/>
    </row>
    <row r="1253" spans="1:6" ht="14.25" thickTop="1" thickBot="1">
      <c r="A1253" s="267" t="str">
        <f t="shared" si="55"/>
        <v>JEAN RICARDO MIARA</v>
      </c>
      <c r="B1253" s="68" t="s">
        <v>62</v>
      </c>
      <c r="C1253" s="64" t="s">
        <v>291</v>
      </c>
      <c r="D1253" s="65">
        <v>63622</v>
      </c>
      <c r="E1253" s="62">
        <v>40079</v>
      </c>
      <c r="F1253" s="285"/>
    </row>
    <row r="1254" spans="1:6" ht="14.25" thickTop="1" thickBot="1">
      <c r="A1254" s="267" t="str">
        <f t="shared" si="55"/>
        <v>JEAN RICARDO MIARA</v>
      </c>
      <c r="B1254" s="68" t="s">
        <v>62</v>
      </c>
      <c r="C1254" s="66" t="s">
        <v>330</v>
      </c>
      <c r="D1254" s="61">
        <v>101333</v>
      </c>
      <c r="E1254" s="62">
        <v>42914</v>
      </c>
      <c r="F1254" s="285"/>
    </row>
    <row r="1255" spans="1:6" ht="14.25" thickTop="1" thickBot="1">
      <c r="A1255" s="267"/>
      <c r="B1255" s="61" t="s">
        <v>1812</v>
      </c>
      <c r="C1255" s="77" t="s">
        <v>330</v>
      </c>
      <c r="D1255" s="65">
        <v>63622</v>
      </c>
      <c r="E1255" s="70">
        <v>44026</v>
      </c>
      <c r="F1255" s="284"/>
    </row>
    <row r="1256" spans="1:6" ht="14.25" thickTop="1" thickBot="1">
      <c r="A1256" s="267" t="str">
        <f>C1257</f>
        <v>JEAN WENDERSON GREGORIO</v>
      </c>
      <c r="B1256" s="68" t="s">
        <v>62</v>
      </c>
      <c r="C1256" s="66" t="s">
        <v>1081</v>
      </c>
      <c r="D1256" s="61">
        <v>63905</v>
      </c>
      <c r="E1256" s="62">
        <v>40059</v>
      </c>
      <c r="F1256" s="285"/>
    </row>
    <row r="1257" spans="1:6" ht="14.25" thickTop="1" thickBot="1">
      <c r="A1257" s="267"/>
      <c r="B1257" s="61" t="s">
        <v>1812</v>
      </c>
      <c r="C1257" s="263" t="s">
        <v>3422</v>
      </c>
      <c r="D1257" s="88">
        <v>169934</v>
      </c>
      <c r="E1257" s="70">
        <v>43918</v>
      </c>
      <c r="F1257" s="284"/>
    </row>
    <row r="1258" spans="1:6" ht="14.25" thickTop="1" thickBot="1">
      <c r="A1258" s="267" t="str">
        <f>C1259</f>
        <v>JEFERSON DA CRUZ DE OLIVEIRA    (Tirço)</v>
      </c>
      <c r="B1258" s="68" t="s">
        <v>62</v>
      </c>
      <c r="C1258" s="64" t="s">
        <v>2966</v>
      </c>
      <c r="D1258" s="61">
        <v>7041</v>
      </c>
      <c r="E1258" s="62">
        <v>42327</v>
      </c>
      <c r="F1258" s="285"/>
    </row>
    <row r="1259" spans="1:6" ht="14.25" thickTop="1" thickBot="1">
      <c r="A1259" s="267" t="str">
        <f>C1260</f>
        <v>JEFERSON DA SILVA</v>
      </c>
      <c r="B1259" s="68" t="s">
        <v>62</v>
      </c>
      <c r="C1259" s="66" t="s">
        <v>2967</v>
      </c>
      <c r="D1259" s="65">
        <v>27035</v>
      </c>
      <c r="E1259" s="62">
        <v>39239</v>
      </c>
      <c r="F1259" s="285"/>
    </row>
    <row r="1260" spans="1:6" ht="14.25" thickTop="1" thickBot="1">
      <c r="A1260" s="267" t="str">
        <f>C1261</f>
        <v>JEFERSON DE CARVALHO</v>
      </c>
      <c r="B1260" s="68" t="s">
        <v>62</v>
      </c>
      <c r="C1260" s="66" t="s">
        <v>1128</v>
      </c>
      <c r="D1260" s="65">
        <v>63673</v>
      </c>
      <c r="E1260" s="70">
        <v>42838</v>
      </c>
      <c r="F1260" s="284"/>
    </row>
    <row r="1261" spans="1:6" ht="14.25" thickTop="1" thickBot="1">
      <c r="A1261" s="267" t="str">
        <f>C1262</f>
        <v xml:space="preserve">JEFERSON DE PAULA </v>
      </c>
      <c r="B1261" s="68" t="s">
        <v>62</v>
      </c>
      <c r="C1261" s="66" t="s">
        <v>331</v>
      </c>
      <c r="D1261" s="69">
        <v>63482</v>
      </c>
      <c r="E1261" s="115">
        <v>40269</v>
      </c>
      <c r="F1261" s="288" t="s">
        <v>77</v>
      </c>
    </row>
    <row r="1262" spans="1:6" ht="14.25" thickTop="1" thickBot="1">
      <c r="A1262" s="267" t="s">
        <v>3662</v>
      </c>
      <c r="B1262" s="68" t="s">
        <v>2406</v>
      </c>
      <c r="C1262" s="91" t="s">
        <v>3662</v>
      </c>
      <c r="D1262" s="61">
        <v>108858</v>
      </c>
      <c r="E1262" s="70">
        <v>44144</v>
      </c>
      <c r="F1262" s="287"/>
    </row>
    <row r="1263" spans="1:6" ht="14.25" thickTop="1" thickBot="1">
      <c r="A1263" s="267" t="str">
        <f>C1264</f>
        <v>JEFERSON GILBERTO DE OLIVEIRA</v>
      </c>
      <c r="B1263" s="68" t="s">
        <v>62</v>
      </c>
      <c r="C1263" s="66" t="s">
        <v>332</v>
      </c>
      <c r="D1263" s="65">
        <v>101535</v>
      </c>
      <c r="E1263" s="62">
        <v>41733</v>
      </c>
      <c r="F1263" s="285"/>
    </row>
    <row r="1264" spans="1:6" ht="14.25" thickTop="1" thickBot="1">
      <c r="A1264" s="267" t="str">
        <f>C1265</f>
        <v>JEFERSON GUARACI GONÇALO</v>
      </c>
      <c r="B1264" s="68" t="s">
        <v>62</v>
      </c>
      <c r="C1264" s="66" t="s">
        <v>131</v>
      </c>
      <c r="D1264" s="61">
        <v>63222</v>
      </c>
      <c r="E1264" s="62"/>
      <c r="F1264" s="285"/>
    </row>
    <row r="1265" spans="1:6" ht="14.25" thickTop="1" thickBot="1">
      <c r="A1265" s="267"/>
      <c r="B1265" s="68" t="s">
        <v>603</v>
      </c>
      <c r="C1265" s="64" t="s">
        <v>3590</v>
      </c>
      <c r="D1265" s="65">
        <v>63222</v>
      </c>
      <c r="E1265" s="70">
        <v>44099</v>
      </c>
      <c r="F1265" s="287"/>
    </row>
    <row r="1266" spans="1:6" ht="14.25" thickTop="1" thickBot="1">
      <c r="A1266" s="267" t="str">
        <f t="shared" ref="A1266:A1274" si="56">C1267</f>
        <v>JEFERSON LEANDRO FENILI</v>
      </c>
      <c r="B1266" s="68" t="s">
        <v>62</v>
      </c>
      <c r="C1266" s="66" t="s">
        <v>2968</v>
      </c>
      <c r="D1266" s="67"/>
      <c r="E1266" s="62">
        <v>41207</v>
      </c>
      <c r="F1266" s="296"/>
    </row>
    <row r="1267" spans="1:6" ht="14.25" thickTop="1" thickBot="1">
      <c r="A1267" s="267" t="str">
        <f t="shared" si="56"/>
        <v>JEFERSON LEANDRO RODRIGUES</v>
      </c>
      <c r="B1267" s="68" t="s">
        <v>62</v>
      </c>
      <c r="C1267" s="66" t="s">
        <v>1393</v>
      </c>
      <c r="D1267" s="61">
        <v>21870</v>
      </c>
      <c r="E1267" s="62">
        <v>39478</v>
      </c>
      <c r="F1267" s="285"/>
    </row>
    <row r="1268" spans="1:6" ht="14.25" thickTop="1" thickBot="1">
      <c r="A1268" s="267" t="str">
        <f t="shared" si="56"/>
        <v>JEFERSON LOURENÇO FOGAÇA DE ALMEIDA</v>
      </c>
      <c r="B1268" s="68" t="s">
        <v>62</v>
      </c>
      <c r="C1268" s="114" t="s">
        <v>1877</v>
      </c>
      <c r="D1268" s="178">
        <v>29015</v>
      </c>
      <c r="E1268" s="62">
        <v>41885</v>
      </c>
      <c r="F1268" s="285"/>
    </row>
    <row r="1269" spans="1:6" ht="14.25" thickTop="1" thickBot="1">
      <c r="A1269" s="267" t="str">
        <f t="shared" si="56"/>
        <v>JEFERSON LUIZ DA ROSA MACIEL</v>
      </c>
      <c r="B1269" s="68" t="s">
        <v>62</v>
      </c>
      <c r="C1269" s="66" t="s">
        <v>801</v>
      </c>
      <c r="D1269" s="65">
        <v>63906</v>
      </c>
      <c r="E1269" s="62">
        <v>42836</v>
      </c>
      <c r="F1269" s="285"/>
    </row>
    <row r="1270" spans="1:6" ht="14.25" thickTop="1" thickBot="1">
      <c r="A1270" s="267" t="str">
        <f t="shared" si="56"/>
        <v>JEFERSON LUIZ DE OLIVEIRA</v>
      </c>
      <c r="B1270" s="68" t="s">
        <v>62</v>
      </c>
      <c r="C1270" s="66" t="s">
        <v>648</v>
      </c>
      <c r="D1270" s="61">
        <v>27316</v>
      </c>
      <c r="E1270" s="62">
        <v>42986</v>
      </c>
      <c r="F1270" s="285"/>
    </row>
    <row r="1271" spans="1:6" ht="14.25" thickTop="1" thickBot="1">
      <c r="A1271" s="267" t="str">
        <f t="shared" si="56"/>
        <v>JEFERSON LUIZ NUNES DA SILVA</v>
      </c>
      <c r="B1271" s="68" t="s">
        <v>516</v>
      </c>
      <c r="C1271" s="66" t="s">
        <v>149</v>
      </c>
      <c r="D1271" s="61">
        <v>63591</v>
      </c>
      <c r="E1271" s="62">
        <v>42703</v>
      </c>
      <c r="F1271" s="285"/>
    </row>
    <row r="1272" spans="1:6" ht="14.25" thickTop="1" thickBot="1">
      <c r="A1272" s="267" t="str">
        <f t="shared" si="56"/>
        <v>JEFERSON LUIZ NUNES DA SILVA</v>
      </c>
      <c r="B1272" s="68" t="s">
        <v>2203</v>
      </c>
      <c r="C1272" s="66" t="s">
        <v>333</v>
      </c>
      <c r="D1272" s="61">
        <v>27212</v>
      </c>
      <c r="E1272" s="62">
        <v>39937</v>
      </c>
      <c r="F1272" s="285"/>
    </row>
    <row r="1273" spans="1:6" ht="14.25" thickTop="1" thickBot="1">
      <c r="A1273" s="267" t="str">
        <f t="shared" si="56"/>
        <v>JEFERSON LUIZ RIBEIRO    (Tibinha)</v>
      </c>
      <c r="B1273" s="68" t="s">
        <v>62</v>
      </c>
      <c r="C1273" s="66" t="s">
        <v>333</v>
      </c>
      <c r="D1273" s="67"/>
      <c r="E1273" s="62">
        <v>39741</v>
      </c>
      <c r="F1273" s="285"/>
    </row>
    <row r="1274" spans="1:6" ht="14.25" thickTop="1" thickBot="1">
      <c r="A1274" s="267" t="str">
        <f t="shared" si="56"/>
        <v>JEFERSON MAURICIO CAMARGO</v>
      </c>
      <c r="B1274" s="68" t="s">
        <v>62</v>
      </c>
      <c r="C1274" s="66" t="s">
        <v>2969</v>
      </c>
      <c r="D1274" s="67"/>
      <c r="E1274" s="62">
        <v>41712</v>
      </c>
      <c r="F1274" s="285"/>
    </row>
    <row r="1275" spans="1:6" ht="14.25" thickTop="1" thickBot="1">
      <c r="A1275" s="267"/>
      <c r="B1275" s="68" t="s">
        <v>62</v>
      </c>
      <c r="C1275" s="66" t="s">
        <v>1394</v>
      </c>
      <c r="D1275" s="65">
        <v>21876</v>
      </c>
      <c r="E1275" s="62">
        <v>41207</v>
      </c>
      <c r="F1275" s="296"/>
    </row>
    <row r="1276" spans="1:6" ht="14.25" thickTop="1" thickBot="1">
      <c r="A1276" s="267"/>
      <c r="B1276" s="68" t="s">
        <v>62</v>
      </c>
      <c r="C1276" s="64" t="s">
        <v>1119</v>
      </c>
      <c r="D1276" s="67"/>
      <c r="E1276" s="62">
        <v>41955</v>
      </c>
      <c r="F1276" s="285"/>
    </row>
    <row r="1277" spans="1:6" ht="14.25" thickTop="1" thickBot="1">
      <c r="A1277" s="267"/>
      <c r="B1277" s="68" t="s">
        <v>3400</v>
      </c>
      <c r="C1277" s="60" t="s">
        <v>2493</v>
      </c>
      <c r="D1277" s="61">
        <v>128246</v>
      </c>
      <c r="E1277" s="62">
        <v>43882</v>
      </c>
      <c r="F1277" s="285"/>
    </row>
    <row r="1278" spans="1:6" ht="14.25" thickTop="1" thickBot="1">
      <c r="A1278" s="267" t="str">
        <f>C1279</f>
        <v>JEFERSON RAMOS</v>
      </c>
      <c r="B1278" s="68" t="s">
        <v>1812</v>
      </c>
      <c r="C1278" s="66" t="s">
        <v>334</v>
      </c>
      <c r="D1278" s="65"/>
      <c r="E1278" s="62">
        <v>42150</v>
      </c>
      <c r="F1278" s="285"/>
    </row>
    <row r="1279" spans="1:6" ht="14.25" thickTop="1" thickBot="1">
      <c r="A1279" s="267"/>
      <c r="B1279" s="68" t="s">
        <v>2347</v>
      </c>
      <c r="C1279" s="66" t="s">
        <v>1886</v>
      </c>
      <c r="D1279" s="67"/>
      <c r="E1279" s="62">
        <v>43346</v>
      </c>
      <c r="F1279" s="285"/>
    </row>
    <row r="1280" spans="1:6" ht="14.25" thickTop="1" thickBot="1">
      <c r="A1280" s="267" t="str">
        <f>C1281</f>
        <v>JEFERSON SILVA NASCIMENTO</v>
      </c>
      <c r="B1280" s="68" t="s">
        <v>62</v>
      </c>
      <c r="C1280" s="192" t="s">
        <v>2323</v>
      </c>
      <c r="D1280" s="61">
        <v>121863</v>
      </c>
      <c r="E1280" s="62">
        <v>40532</v>
      </c>
      <c r="F1280" s="285"/>
    </row>
    <row r="1281" spans="1:6" ht="14.25" thickTop="1" thickBot="1">
      <c r="A1281" s="267" t="str">
        <f>C1282</f>
        <v>JEFERSON SILVESTRE FERREIRA    (Véio)</v>
      </c>
      <c r="B1281" s="68" t="s">
        <v>516</v>
      </c>
      <c r="C1281" s="64" t="s">
        <v>1396</v>
      </c>
      <c r="D1281" s="61">
        <v>29585</v>
      </c>
      <c r="E1281" s="62">
        <v>42705</v>
      </c>
      <c r="F1281" s="285"/>
    </row>
    <row r="1282" spans="1:6" ht="14.25" thickTop="1" thickBot="1">
      <c r="A1282" s="267" t="str">
        <f>C1283</f>
        <v>JEFERSON SOARES DA SILVA    (Madimbu)</v>
      </c>
      <c r="B1282" s="68" t="s">
        <v>2347</v>
      </c>
      <c r="C1282" s="66" t="s">
        <v>2970</v>
      </c>
      <c r="D1282" s="67"/>
      <c r="E1282" s="62">
        <v>43346</v>
      </c>
      <c r="F1282" s="285"/>
    </row>
    <row r="1283" spans="1:6" ht="14.25" thickTop="1" thickBot="1">
      <c r="A1283" s="267"/>
      <c r="B1283" s="68" t="s">
        <v>62</v>
      </c>
      <c r="C1283" s="66" t="s">
        <v>2971</v>
      </c>
      <c r="D1283" s="61">
        <v>142478</v>
      </c>
      <c r="E1283" s="62">
        <v>40744</v>
      </c>
      <c r="F1283" s="285"/>
    </row>
    <row r="1284" spans="1:6" ht="14.25" thickTop="1" thickBot="1">
      <c r="A1284" s="267" t="s">
        <v>2596</v>
      </c>
      <c r="B1284" s="89" t="s">
        <v>62</v>
      </c>
      <c r="C1284" s="66" t="s">
        <v>1397</v>
      </c>
      <c r="D1284" s="69">
        <v>27220</v>
      </c>
      <c r="E1284" s="70"/>
      <c r="F1284" s="284"/>
    </row>
    <row r="1285" spans="1:6" ht="14.25" thickTop="1" thickBot="1">
      <c r="A1285" s="267"/>
      <c r="B1285" s="68" t="s">
        <v>2413</v>
      </c>
      <c r="C1285" s="66" t="s">
        <v>2975</v>
      </c>
      <c r="D1285" s="61">
        <v>101639</v>
      </c>
      <c r="E1285" s="62">
        <v>43529</v>
      </c>
      <c r="F1285" s="285"/>
    </row>
    <row r="1286" spans="1:6" ht="14.25" thickTop="1" thickBot="1">
      <c r="A1286" s="267" t="str">
        <f t="shared" ref="A1286:A1296" si="57">C1287</f>
        <v>JEFFERSON GUARACI GONÇALO</v>
      </c>
      <c r="B1286" s="68" t="s">
        <v>2413</v>
      </c>
      <c r="C1286" s="194" t="s">
        <v>2976</v>
      </c>
      <c r="D1286" s="61">
        <v>115880</v>
      </c>
      <c r="E1286" s="62">
        <v>43749</v>
      </c>
      <c r="F1286" s="285"/>
    </row>
    <row r="1287" spans="1:6" ht="14.25" thickTop="1" thickBot="1">
      <c r="A1287" s="267" t="str">
        <f t="shared" si="57"/>
        <v>JEIMESON PINHEIRO DE SOUZA</v>
      </c>
      <c r="B1287" s="68" t="s">
        <v>62</v>
      </c>
      <c r="C1287" s="66" t="s">
        <v>2596</v>
      </c>
      <c r="D1287" s="61">
        <v>63222</v>
      </c>
      <c r="E1287" s="62">
        <v>42494</v>
      </c>
      <c r="F1287" s="285"/>
    </row>
    <row r="1288" spans="1:6" ht="14.25" thickTop="1" thickBot="1">
      <c r="A1288" s="267" t="str">
        <f t="shared" si="57"/>
        <v>JELSON BORGES CORDEIRO</v>
      </c>
      <c r="B1288" s="68" t="s">
        <v>351</v>
      </c>
      <c r="C1288" s="66" t="s">
        <v>1375</v>
      </c>
      <c r="D1288" s="61">
        <v>49716</v>
      </c>
      <c r="E1288" s="62">
        <v>42705</v>
      </c>
      <c r="F1288" s="285"/>
    </row>
    <row r="1289" spans="1:6" ht="14.25" thickTop="1" thickBot="1">
      <c r="A1289" s="267" t="str">
        <f t="shared" si="57"/>
        <v>JEOVA NERES DOS SANTOS</v>
      </c>
      <c r="B1289" s="68" t="s">
        <v>98</v>
      </c>
      <c r="C1289" s="66" t="s">
        <v>386</v>
      </c>
      <c r="D1289" s="61">
        <v>101093</v>
      </c>
      <c r="E1289" s="62">
        <v>42412</v>
      </c>
      <c r="F1289" s="287"/>
    </row>
    <row r="1290" spans="1:6" ht="14.25" thickTop="1" thickBot="1">
      <c r="A1290" s="267" t="str">
        <f t="shared" si="57"/>
        <v>JESIEL NASCIMENTO</v>
      </c>
      <c r="B1290" s="68" t="s">
        <v>1812</v>
      </c>
      <c r="C1290" s="66" t="s">
        <v>1496</v>
      </c>
      <c r="D1290" s="65"/>
      <c r="E1290" s="62">
        <v>41773</v>
      </c>
      <c r="F1290" s="285"/>
    </row>
    <row r="1291" spans="1:6" ht="14.25" thickTop="1" thickBot="1">
      <c r="A1291" s="267" t="str">
        <f t="shared" si="57"/>
        <v>JESIEL NUNES SZELETSKI</v>
      </c>
      <c r="B1291" s="68" t="s">
        <v>62</v>
      </c>
      <c r="C1291" s="64" t="s">
        <v>1062</v>
      </c>
      <c r="D1291" s="65">
        <v>63987</v>
      </c>
      <c r="E1291" s="62">
        <v>40605</v>
      </c>
      <c r="F1291" s="285"/>
    </row>
    <row r="1292" spans="1:6" ht="14.25" thickTop="1" thickBot="1">
      <c r="A1292" s="267" t="str">
        <f t="shared" si="57"/>
        <v>JESSE DE CAMPOS</v>
      </c>
      <c r="B1292" s="68" t="s">
        <v>1838</v>
      </c>
      <c r="C1292" s="66" t="s">
        <v>502</v>
      </c>
      <c r="D1292" s="65">
        <v>108494</v>
      </c>
      <c r="E1292" s="62">
        <v>40032</v>
      </c>
      <c r="F1292" s="285"/>
    </row>
    <row r="1293" spans="1:6" ht="14.25" thickTop="1" thickBot="1">
      <c r="A1293" s="267" t="str">
        <f t="shared" si="57"/>
        <v>JESUEL RAMOS DOS SANTOS</v>
      </c>
      <c r="B1293" s="68" t="s">
        <v>1812</v>
      </c>
      <c r="C1293" s="66" t="s">
        <v>1799</v>
      </c>
      <c r="D1293" s="65"/>
      <c r="E1293" s="62">
        <v>42475</v>
      </c>
      <c r="F1293" s="287"/>
    </row>
    <row r="1294" spans="1:6" ht="14.25" thickTop="1" thickBot="1">
      <c r="A1294" s="267" t="str">
        <f t="shared" si="57"/>
        <v>JESUS NAZARE FERNANDES SOARES    (Tato)</v>
      </c>
      <c r="B1294" s="68" t="s">
        <v>62</v>
      </c>
      <c r="C1294" s="64" t="s">
        <v>260</v>
      </c>
      <c r="D1294" s="61">
        <v>63839</v>
      </c>
      <c r="E1294" s="62">
        <v>39959</v>
      </c>
      <c r="F1294" s="285"/>
    </row>
    <row r="1295" spans="1:6" ht="14.25" thickTop="1" thickBot="1">
      <c r="A1295" s="267" t="str">
        <f t="shared" si="57"/>
        <v>JEVERSON ALEXANDRE DA SILVA</v>
      </c>
      <c r="B1295" s="68" t="s">
        <v>62</v>
      </c>
      <c r="C1295" s="66" t="s">
        <v>2977</v>
      </c>
      <c r="D1295" s="65">
        <v>63564</v>
      </c>
      <c r="E1295" s="62">
        <v>42914</v>
      </c>
      <c r="F1295" s="285"/>
    </row>
    <row r="1296" spans="1:6" ht="14.25" thickTop="1" thickBot="1">
      <c r="A1296" s="267" t="str">
        <f t="shared" si="57"/>
        <v>JHON LENON GONÇALVES</v>
      </c>
      <c r="B1296" s="68" t="s">
        <v>2347</v>
      </c>
      <c r="C1296" s="66" t="s">
        <v>335</v>
      </c>
      <c r="D1296" s="61">
        <v>108726</v>
      </c>
      <c r="E1296" s="62">
        <v>43346</v>
      </c>
      <c r="F1296" s="285"/>
    </row>
    <row r="1297" spans="1:6" ht="14.25" thickTop="1" thickBot="1">
      <c r="A1297" s="267"/>
      <c r="B1297" s="68" t="s">
        <v>1812</v>
      </c>
      <c r="C1297" s="66" t="s">
        <v>2709</v>
      </c>
      <c r="D1297" s="61">
        <v>124937</v>
      </c>
      <c r="E1297" s="62">
        <v>43960</v>
      </c>
      <c r="F1297" s="285"/>
    </row>
    <row r="1298" spans="1:6" ht="14.25" thickTop="1" thickBot="1">
      <c r="A1298" s="267" t="str">
        <f>C1299</f>
        <v>JHON MAICON DOS SANTOS CASTRO</v>
      </c>
      <c r="B1298" s="68" t="s">
        <v>1812</v>
      </c>
      <c r="C1298" s="60" t="s">
        <v>2978</v>
      </c>
      <c r="D1298" s="61">
        <v>139635</v>
      </c>
      <c r="E1298" s="62">
        <v>43579</v>
      </c>
      <c r="F1298" s="285"/>
    </row>
    <row r="1299" spans="1:6" ht="14.25" thickTop="1" thickBot="1">
      <c r="A1299" s="267" t="str">
        <f>C1300</f>
        <v>JHONATAN ALEX ROCHA</v>
      </c>
      <c r="B1299" s="67" t="s">
        <v>62</v>
      </c>
      <c r="C1299" s="60" t="s">
        <v>2494</v>
      </c>
      <c r="D1299" s="61">
        <v>161877</v>
      </c>
      <c r="E1299" s="70">
        <v>43077</v>
      </c>
      <c r="F1299" s="284"/>
    </row>
    <row r="1300" spans="1:6" ht="14.25" thickTop="1" thickBot="1">
      <c r="A1300" s="267" t="str">
        <f>C1301</f>
        <v>JHONATAN FRANTIESCO BASTOS</v>
      </c>
      <c r="B1300" s="68" t="s">
        <v>62</v>
      </c>
      <c r="C1300" s="66" t="s">
        <v>2117</v>
      </c>
      <c r="D1300" s="61">
        <v>121240</v>
      </c>
      <c r="E1300" s="62">
        <v>41738</v>
      </c>
      <c r="F1300" s="285"/>
    </row>
    <row r="1301" spans="1:6" ht="14.25" thickTop="1" thickBot="1">
      <c r="A1301" s="267"/>
      <c r="B1301" s="68" t="s">
        <v>415</v>
      </c>
      <c r="C1301" s="66" t="s">
        <v>2111</v>
      </c>
      <c r="D1301" s="61">
        <v>3047</v>
      </c>
      <c r="E1301" s="62">
        <v>42459</v>
      </c>
      <c r="F1301" s="285"/>
    </row>
    <row r="1302" spans="1:6" ht="14.25" thickTop="1" thickBot="1">
      <c r="A1302" s="267" t="str">
        <f>C1303</f>
        <v>JHONNY RIBEIRO DE FREITAS    (Caveirinha)</v>
      </c>
      <c r="B1302" s="68" t="s">
        <v>62</v>
      </c>
      <c r="C1302" s="66" t="s">
        <v>1721</v>
      </c>
      <c r="D1302" s="65">
        <v>63109</v>
      </c>
      <c r="E1302" s="62">
        <v>42986</v>
      </c>
      <c r="F1302" s="285"/>
    </row>
    <row r="1303" spans="1:6" ht="14.25" thickTop="1" thickBot="1">
      <c r="A1303" s="267"/>
      <c r="B1303" s="68" t="s">
        <v>2203</v>
      </c>
      <c r="C1303" s="66" t="s">
        <v>2979</v>
      </c>
      <c r="D1303" s="61">
        <v>125586</v>
      </c>
      <c r="E1303" s="62">
        <v>41773</v>
      </c>
      <c r="F1303" s="285"/>
    </row>
    <row r="1304" spans="1:6" ht="14.25" thickTop="1" thickBot="1">
      <c r="A1304" s="267"/>
      <c r="B1304" s="68" t="s">
        <v>2406</v>
      </c>
      <c r="C1304" s="64" t="s">
        <v>2848</v>
      </c>
      <c r="D1304" s="61">
        <v>146729</v>
      </c>
      <c r="E1304" s="62">
        <v>43791</v>
      </c>
      <c r="F1304" s="285"/>
    </row>
    <row r="1305" spans="1:6" ht="14.25" thickTop="1" thickBot="1">
      <c r="A1305" s="267" t="str">
        <f>C1306</f>
        <v>JHOSEFF DE JESUS ARAÚJO VANDOSKI    (L.A.)</v>
      </c>
      <c r="B1305" s="61" t="s">
        <v>2406</v>
      </c>
      <c r="C1305" s="66" t="s">
        <v>2205</v>
      </c>
      <c r="D1305" s="65">
        <v>63887</v>
      </c>
      <c r="E1305" s="62">
        <v>43416</v>
      </c>
      <c r="F1305" s="284"/>
    </row>
    <row r="1306" spans="1:6" ht="14.25" thickTop="1" thickBot="1">
      <c r="A1306" s="267" t="str">
        <f>C1307</f>
        <v>JO ALVES</v>
      </c>
      <c r="B1306" s="68" t="s">
        <v>62</v>
      </c>
      <c r="C1306" s="66" t="s">
        <v>2980</v>
      </c>
      <c r="D1306" s="61">
        <v>125586</v>
      </c>
      <c r="E1306" s="62">
        <v>39966</v>
      </c>
      <c r="F1306" s="285"/>
    </row>
    <row r="1307" spans="1:6" ht="14.25" thickTop="1" thickBot="1">
      <c r="A1307" s="267" t="str">
        <f>C1308</f>
        <v>JOAILTON SILVIO VAZ</v>
      </c>
      <c r="B1307" s="68" t="s">
        <v>62</v>
      </c>
      <c r="C1307" s="66" t="s">
        <v>120</v>
      </c>
      <c r="D1307" s="65">
        <v>63037</v>
      </c>
      <c r="E1307" s="62">
        <v>43203</v>
      </c>
      <c r="F1307" s="285"/>
    </row>
    <row r="1308" spans="1:6" ht="14.25" thickTop="1" thickBot="1">
      <c r="A1308" s="267" t="str">
        <f>C1309</f>
        <v>JOANDERSON WERICKISON DA ROCHA</v>
      </c>
      <c r="B1308" s="68" t="s">
        <v>62</v>
      </c>
      <c r="C1308" s="66" t="s">
        <v>2225</v>
      </c>
      <c r="D1308" s="61">
        <v>147664</v>
      </c>
      <c r="E1308" s="62"/>
      <c r="F1308" s="285"/>
    </row>
    <row r="1309" spans="1:6" ht="14.25" thickTop="1" thickBot="1">
      <c r="A1309" s="267" t="s">
        <v>2357</v>
      </c>
      <c r="B1309" s="68" t="s">
        <v>1812</v>
      </c>
      <c r="C1309" s="66" t="s">
        <v>2582</v>
      </c>
      <c r="D1309" s="65">
        <v>129472</v>
      </c>
      <c r="E1309" s="62">
        <v>44106</v>
      </c>
      <c r="F1309" s="285"/>
    </row>
    <row r="1310" spans="1:6" ht="14.25" thickTop="1" thickBot="1">
      <c r="A1310" s="272" t="str">
        <f t="shared" ref="A1310:A1320" si="58">C1311</f>
        <v>JOÃO ADEMIR MATIAS    ( Talento / Tripa )</v>
      </c>
      <c r="B1310" s="68" t="s">
        <v>2347</v>
      </c>
      <c r="C1310" s="64" t="s">
        <v>672</v>
      </c>
      <c r="D1310" s="61">
        <v>27250</v>
      </c>
      <c r="E1310" s="62">
        <v>43346</v>
      </c>
      <c r="F1310" s="285"/>
    </row>
    <row r="1311" spans="1:6" ht="14.25" thickTop="1" thickBot="1">
      <c r="A1311" s="267" t="str">
        <f t="shared" si="58"/>
        <v>JOAO AGEU MARTINS DOS SANTOS</v>
      </c>
      <c r="B1311" s="68" t="s">
        <v>62</v>
      </c>
      <c r="C1311" s="60" t="s">
        <v>2981</v>
      </c>
      <c r="D1311" s="61">
        <v>90936</v>
      </c>
      <c r="E1311" s="115"/>
      <c r="F1311" s="288" t="s">
        <v>77</v>
      </c>
    </row>
    <row r="1312" spans="1:6" ht="14.25" thickTop="1" thickBot="1">
      <c r="A1312" s="267" t="str">
        <f t="shared" si="58"/>
        <v>JOAO ALBERTO CASTILHO</v>
      </c>
      <c r="B1312" s="68" t="s">
        <v>62</v>
      </c>
      <c r="C1312" s="66" t="s">
        <v>206</v>
      </c>
      <c r="D1312" s="67"/>
      <c r="E1312" s="62">
        <v>42608</v>
      </c>
      <c r="F1312" s="285"/>
    </row>
    <row r="1313" spans="1:6" ht="14.25" thickTop="1" thickBot="1">
      <c r="A1313" s="267" t="str">
        <f t="shared" si="58"/>
        <v>JOÃO ALFREDO GONÇALVES</v>
      </c>
      <c r="B1313" s="68" t="s">
        <v>415</v>
      </c>
      <c r="C1313" s="66" t="s">
        <v>1445</v>
      </c>
      <c r="D1313" s="61">
        <v>61287</v>
      </c>
      <c r="E1313" s="62">
        <v>41757</v>
      </c>
      <c r="F1313" s="285"/>
    </row>
    <row r="1314" spans="1:6" ht="14.25" thickTop="1" thickBot="1">
      <c r="A1314" s="267" t="str">
        <f t="shared" si="58"/>
        <v>JOAO ANGELO RIBEIRO</v>
      </c>
      <c r="B1314" s="68" t="s">
        <v>62</v>
      </c>
      <c r="C1314" s="66" t="s">
        <v>433</v>
      </c>
      <c r="D1314" s="61">
        <v>101618</v>
      </c>
      <c r="E1314" s="62">
        <v>42048</v>
      </c>
      <c r="F1314" s="285"/>
    </row>
    <row r="1315" spans="1:6" ht="14.25" thickTop="1" thickBot="1">
      <c r="A1315" s="267" t="str">
        <f t="shared" si="58"/>
        <v>JOAO ANTONIO RIBEIRO DA SILVA    (João da Égua)</v>
      </c>
      <c r="B1315" s="68" t="s">
        <v>62</v>
      </c>
      <c r="C1315" s="66" t="s">
        <v>1086</v>
      </c>
      <c r="D1315" s="69">
        <v>67281</v>
      </c>
      <c r="E1315" s="62">
        <v>40323</v>
      </c>
      <c r="F1315" s="285"/>
    </row>
    <row r="1316" spans="1:6" ht="14.25" thickTop="1" thickBot="1">
      <c r="A1316" s="267" t="str">
        <f t="shared" si="58"/>
        <v>JOAO ARILDO GUEDES DE CARVALHO</v>
      </c>
      <c r="B1316" s="68" t="s">
        <v>62</v>
      </c>
      <c r="C1316" s="66" t="s">
        <v>2982</v>
      </c>
      <c r="D1316" s="67"/>
      <c r="E1316" s="62">
        <v>42703</v>
      </c>
      <c r="F1316" s="285"/>
    </row>
    <row r="1317" spans="1:6" ht="14.25" thickTop="1" thickBot="1">
      <c r="A1317" s="267" t="str">
        <f t="shared" si="58"/>
        <v>JOAO BATISTA DE MELO</v>
      </c>
      <c r="B1317" s="68" t="s">
        <v>62</v>
      </c>
      <c r="C1317" s="66" t="s">
        <v>689</v>
      </c>
      <c r="D1317" s="67"/>
      <c r="E1317" s="62">
        <v>40315</v>
      </c>
      <c r="F1317" s="285"/>
    </row>
    <row r="1318" spans="1:6" ht="14.25" thickTop="1" thickBot="1">
      <c r="A1318" s="267" t="str">
        <f t="shared" si="58"/>
        <v>JOÃO CARLOS BATISTA FRANCO</v>
      </c>
      <c r="B1318" s="68" t="s">
        <v>1306</v>
      </c>
      <c r="C1318" s="64" t="s">
        <v>605</v>
      </c>
      <c r="D1318" s="178">
        <v>69173</v>
      </c>
      <c r="E1318" s="62">
        <v>39575</v>
      </c>
      <c r="F1318" s="285"/>
    </row>
    <row r="1319" spans="1:6" ht="14.25" thickTop="1" thickBot="1">
      <c r="A1319" s="267" t="str">
        <f t="shared" si="58"/>
        <v>JOAO CARLOS CAMARGO</v>
      </c>
      <c r="B1319" s="68" t="s">
        <v>62</v>
      </c>
      <c r="C1319" s="66" t="s">
        <v>500</v>
      </c>
      <c r="D1319" s="61">
        <v>27305</v>
      </c>
      <c r="E1319" s="62">
        <v>41873</v>
      </c>
      <c r="F1319" s="285"/>
    </row>
    <row r="1320" spans="1:6" ht="14.25" thickTop="1" thickBot="1">
      <c r="A1320" s="267" t="str">
        <f t="shared" si="58"/>
        <v>JOAO CARLOS CARVALHO</v>
      </c>
      <c r="B1320" s="68" t="s">
        <v>1033</v>
      </c>
      <c r="C1320" s="66" t="s">
        <v>992</v>
      </c>
      <c r="D1320" s="65">
        <v>38791</v>
      </c>
      <c r="E1320" s="62">
        <v>39363</v>
      </c>
      <c r="F1320" s="285"/>
    </row>
    <row r="1321" spans="1:6" ht="14.25" thickTop="1" thickBot="1">
      <c r="A1321" s="268"/>
      <c r="B1321" s="68" t="s">
        <v>351</v>
      </c>
      <c r="C1321" s="66" t="s">
        <v>986</v>
      </c>
      <c r="D1321" s="61">
        <v>27240</v>
      </c>
      <c r="E1321" s="62">
        <v>42921</v>
      </c>
      <c r="F1321" s="285"/>
    </row>
    <row r="1322" spans="1:6" ht="14.25" thickTop="1" thickBot="1">
      <c r="A1322" s="267" t="str">
        <f>C1323</f>
        <v>JOAO CARLOS DE ASSIS DA COSTA</v>
      </c>
      <c r="B1322" s="89" t="s">
        <v>2413</v>
      </c>
      <c r="C1322" s="77" t="s">
        <v>986</v>
      </c>
      <c r="D1322" s="61">
        <v>38791</v>
      </c>
      <c r="E1322" s="70">
        <v>43670</v>
      </c>
      <c r="F1322" s="284"/>
    </row>
    <row r="1323" spans="1:6" ht="14.25" thickTop="1" thickBot="1">
      <c r="A1323" s="267" t="str">
        <f>C1324</f>
        <v>JOAO CARLOS DOS SANTOS</v>
      </c>
      <c r="B1323" s="68" t="s">
        <v>62</v>
      </c>
      <c r="C1323" s="66" t="s">
        <v>982</v>
      </c>
      <c r="D1323" s="61">
        <v>107230</v>
      </c>
      <c r="E1323" s="62">
        <v>42836</v>
      </c>
      <c r="F1323" s="285"/>
    </row>
    <row r="1324" spans="1:6" ht="14.25" thickTop="1" thickBot="1">
      <c r="A1324" s="267" t="str">
        <f>C1325</f>
        <v>JOÃO CARLOS DOS SANTOS</v>
      </c>
      <c r="B1324" s="67" t="s">
        <v>1522</v>
      </c>
      <c r="C1324" s="66" t="s">
        <v>1800</v>
      </c>
      <c r="D1324" s="65">
        <v>63804</v>
      </c>
      <c r="E1324" s="62">
        <v>39398</v>
      </c>
      <c r="F1324" s="285"/>
    </row>
    <row r="1325" spans="1:6" ht="14.25" thickTop="1" thickBot="1">
      <c r="A1325" s="268"/>
      <c r="B1325" s="68" t="s">
        <v>1812</v>
      </c>
      <c r="C1325" s="64" t="s">
        <v>1164</v>
      </c>
      <c r="D1325" s="65"/>
      <c r="E1325" s="62">
        <v>39402</v>
      </c>
      <c r="F1325" s="285"/>
    </row>
    <row r="1326" spans="1:6" ht="14.25" thickTop="1" thickBot="1">
      <c r="A1326" s="275" t="s">
        <v>2686</v>
      </c>
      <c r="B1326" s="61" t="s">
        <v>2406</v>
      </c>
      <c r="C1326" s="66" t="s">
        <v>1692</v>
      </c>
      <c r="D1326" s="312">
        <v>63930</v>
      </c>
      <c r="E1326" s="70">
        <v>43504</v>
      </c>
      <c r="F1326" s="284"/>
    </row>
    <row r="1327" spans="1:6" ht="14.25" thickTop="1" thickBot="1">
      <c r="A1327" s="267" t="s">
        <v>2345</v>
      </c>
      <c r="B1327" s="68" t="s">
        <v>2406</v>
      </c>
      <c r="C1327" s="230" t="s">
        <v>1692</v>
      </c>
      <c r="D1327" s="61">
        <v>108926</v>
      </c>
      <c r="E1327" s="70">
        <v>43557</v>
      </c>
      <c r="F1327" s="285"/>
    </row>
    <row r="1328" spans="1:6" ht="14.25" thickTop="1" thickBot="1">
      <c r="A1328" s="267" t="str">
        <f t="shared" ref="A1328:A1335" si="59">C1329</f>
        <v>JOAO CARLOS OLIVEIRA</v>
      </c>
      <c r="B1328" s="68" t="s">
        <v>2413</v>
      </c>
      <c r="C1328" s="66" t="s">
        <v>2983</v>
      </c>
      <c r="D1328" s="61">
        <v>113218</v>
      </c>
      <c r="E1328" s="62">
        <v>43529</v>
      </c>
      <c r="F1328" s="285"/>
    </row>
    <row r="1329" spans="1:6" ht="14.25" thickTop="1" thickBot="1">
      <c r="A1329" s="267" t="str">
        <f t="shared" si="59"/>
        <v>JOÃO CARLOS SINTRA</v>
      </c>
      <c r="B1329" s="68" t="s">
        <v>3</v>
      </c>
      <c r="C1329" s="66" t="s">
        <v>2345</v>
      </c>
      <c r="D1329" s="61">
        <v>108263</v>
      </c>
      <c r="E1329" s="62">
        <v>40329</v>
      </c>
      <c r="F1329" s="285"/>
    </row>
    <row r="1330" spans="1:6" ht="14.25" thickTop="1" thickBot="1">
      <c r="A1330" s="267" t="str">
        <f t="shared" si="59"/>
        <v>JOAO CLAUDEMIR DA SILVA</v>
      </c>
      <c r="B1330" s="68" t="s">
        <v>62</v>
      </c>
      <c r="C1330" s="66" t="s">
        <v>843</v>
      </c>
      <c r="D1330" s="67"/>
      <c r="E1330" s="70">
        <v>42915</v>
      </c>
      <c r="F1330" s="284"/>
    </row>
    <row r="1331" spans="1:6" ht="14.25" thickTop="1" thickBot="1">
      <c r="A1331" s="267" t="str">
        <f t="shared" si="59"/>
        <v>JOAO CLAUDIO BUENO DA SILVA    (Nego / Paulista)</v>
      </c>
      <c r="B1331" s="68" t="s">
        <v>62</v>
      </c>
      <c r="C1331" s="66" t="s">
        <v>1398</v>
      </c>
      <c r="D1331" s="61">
        <v>52565</v>
      </c>
      <c r="E1331" s="62">
        <v>40060</v>
      </c>
      <c r="F1331" s="285"/>
    </row>
    <row r="1332" spans="1:6" ht="14.25" thickTop="1" thickBot="1">
      <c r="A1332" s="267" t="str">
        <f t="shared" si="59"/>
        <v>JOAO DA ROCHA</v>
      </c>
      <c r="B1332" s="68" t="s">
        <v>62</v>
      </c>
      <c r="C1332" s="114" t="s">
        <v>2984</v>
      </c>
      <c r="D1332" s="67"/>
      <c r="E1332" s="62">
        <v>41207</v>
      </c>
      <c r="F1332" s="296"/>
    </row>
    <row r="1333" spans="1:6" ht="14.25" thickTop="1" thickBot="1">
      <c r="A1333" s="267" t="str">
        <f t="shared" si="59"/>
        <v>JOAO DANIEL LOPES FRAGOSO    (Abóbora)</v>
      </c>
      <c r="B1333" s="68" t="s">
        <v>62</v>
      </c>
      <c r="C1333" s="66" t="s">
        <v>1399</v>
      </c>
      <c r="D1333" s="61">
        <v>107291</v>
      </c>
      <c r="E1333" s="62">
        <v>39563</v>
      </c>
      <c r="F1333" s="285"/>
    </row>
    <row r="1334" spans="1:6" ht="14.25" thickTop="1" thickBot="1">
      <c r="A1334" s="267" t="str">
        <f t="shared" si="59"/>
        <v>JOAO DE JESUS DO ROSARIO</v>
      </c>
      <c r="B1334" s="68" t="s">
        <v>62</v>
      </c>
      <c r="C1334" s="66" t="s">
        <v>2985</v>
      </c>
      <c r="D1334" s="67"/>
      <c r="E1334" s="62">
        <v>41732</v>
      </c>
      <c r="F1334" s="285"/>
    </row>
    <row r="1335" spans="1:6" ht="14.25" thickTop="1" thickBot="1">
      <c r="A1335" s="267" t="str">
        <f t="shared" si="59"/>
        <v>JOAO DE MATOS</v>
      </c>
      <c r="B1335" s="68" t="s">
        <v>62</v>
      </c>
      <c r="C1335" s="66" t="s">
        <v>1400</v>
      </c>
      <c r="D1335" s="67"/>
      <c r="E1335" s="62">
        <v>42914</v>
      </c>
      <c r="F1335" s="285"/>
    </row>
    <row r="1336" spans="1:6" ht="14.25" thickTop="1" thickBot="1">
      <c r="A1336" s="267"/>
      <c r="B1336" s="68" t="s">
        <v>62</v>
      </c>
      <c r="C1336" s="66" t="s">
        <v>1401</v>
      </c>
      <c r="D1336" s="65">
        <v>63773</v>
      </c>
      <c r="E1336" s="62">
        <v>41788</v>
      </c>
      <c r="F1336" s="285"/>
    </row>
    <row r="1337" spans="1:6" ht="14.25" thickTop="1" thickBot="1">
      <c r="A1337" s="267" t="str">
        <f>C1338</f>
        <v>JOÃO DRAZIEL DUARTE    (Antena)</v>
      </c>
      <c r="B1337" s="68" t="s">
        <v>62</v>
      </c>
      <c r="C1337" s="64" t="s">
        <v>1000</v>
      </c>
      <c r="D1337" s="65">
        <v>63415</v>
      </c>
      <c r="E1337" s="70">
        <v>42909</v>
      </c>
      <c r="F1337" s="284"/>
    </row>
    <row r="1338" spans="1:6" ht="14.25" thickTop="1" thickBot="1">
      <c r="A1338" s="267" t="str">
        <f>C1339</f>
        <v>JOAO EDENILSON FREITAS DOS SANTOS</v>
      </c>
      <c r="B1338" s="68" t="s">
        <v>62</v>
      </c>
      <c r="C1338" s="66" t="s">
        <v>2986</v>
      </c>
      <c r="D1338" s="67"/>
      <c r="E1338" s="62">
        <v>41996</v>
      </c>
      <c r="F1338" s="285"/>
    </row>
    <row r="1339" spans="1:6" ht="14.25" thickTop="1" thickBot="1">
      <c r="A1339" s="267" t="str">
        <f>C1340</f>
        <v>JOAO EDUARDO FABIAN</v>
      </c>
      <c r="B1339" s="68" t="s">
        <v>62</v>
      </c>
      <c r="C1339" s="66" t="s">
        <v>1402</v>
      </c>
      <c r="D1339" s="67"/>
      <c r="E1339" s="62">
        <v>39402</v>
      </c>
      <c r="F1339" s="285"/>
    </row>
    <row r="1340" spans="1:6" ht="14.25" thickTop="1" thickBot="1">
      <c r="A1340" s="267"/>
      <c r="B1340" s="68" t="s">
        <v>62</v>
      </c>
      <c r="C1340" s="66" t="s">
        <v>756</v>
      </c>
      <c r="D1340" s="69">
        <v>63491</v>
      </c>
      <c r="E1340" s="70">
        <v>42909</v>
      </c>
      <c r="F1340" s="284"/>
    </row>
    <row r="1341" spans="1:6" ht="14.25" thickTop="1" thickBot="1">
      <c r="A1341" s="267"/>
      <c r="B1341" s="68" t="s">
        <v>2406</v>
      </c>
      <c r="C1341" s="66" t="s">
        <v>2322</v>
      </c>
      <c r="D1341" s="61">
        <v>113273</v>
      </c>
      <c r="E1341" s="62">
        <v>43749</v>
      </c>
      <c r="F1341" s="285"/>
    </row>
    <row r="1342" spans="1:6" ht="14.25" thickTop="1" thickBot="1">
      <c r="A1342" s="270" t="s">
        <v>1861</v>
      </c>
      <c r="B1342" s="68" t="s">
        <v>1306</v>
      </c>
      <c r="C1342" s="66" t="s">
        <v>336</v>
      </c>
      <c r="D1342" s="67"/>
      <c r="E1342" s="70">
        <v>42919</v>
      </c>
      <c r="F1342" s="284"/>
    </row>
    <row r="1343" spans="1:6" ht="14.25" thickTop="1" thickBot="1">
      <c r="A1343" s="267" t="str">
        <f>C1344</f>
        <v>JOAO JACIR BUENO</v>
      </c>
      <c r="B1343" s="68" t="s">
        <v>2593</v>
      </c>
      <c r="C1343" s="66" t="s">
        <v>1403</v>
      </c>
      <c r="D1343" s="61">
        <v>27283</v>
      </c>
      <c r="E1343" s="62">
        <v>43524</v>
      </c>
      <c r="F1343" s="285"/>
    </row>
    <row r="1344" spans="1:6" ht="14.25" thickTop="1" thickBot="1">
      <c r="A1344" s="267" t="str">
        <f>C1345</f>
        <v>JOAO JACIR BUENO</v>
      </c>
      <c r="B1344" s="89" t="s">
        <v>62</v>
      </c>
      <c r="C1344" s="77" t="s">
        <v>1861</v>
      </c>
      <c r="D1344" s="61">
        <v>109797</v>
      </c>
      <c r="E1344" s="62">
        <v>42433</v>
      </c>
      <c r="F1344" s="285"/>
    </row>
    <row r="1345" spans="1:6" ht="14.25" thickTop="1" thickBot="1">
      <c r="A1345" s="267"/>
      <c r="B1345" s="68" t="s">
        <v>1812</v>
      </c>
      <c r="C1345" s="60" t="s">
        <v>1861</v>
      </c>
      <c r="D1345" s="61">
        <v>109797</v>
      </c>
      <c r="E1345" s="62">
        <v>43927</v>
      </c>
      <c r="F1345" s="285"/>
    </row>
    <row r="1346" spans="1:6" ht="14.25" thickTop="1" thickBot="1">
      <c r="A1346" s="267" t="str">
        <f>C1348</f>
        <v>JOAO KUHN</v>
      </c>
      <c r="B1346" s="68" t="s">
        <v>62</v>
      </c>
      <c r="C1346" s="66" t="s">
        <v>1485</v>
      </c>
      <c r="D1346" s="65">
        <v>11427</v>
      </c>
      <c r="E1346" s="62">
        <v>41057</v>
      </c>
      <c r="F1346" s="285"/>
    </row>
    <row r="1347" spans="1:6" ht="14.25" thickTop="1" thickBot="1">
      <c r="A1347" s="267" t="str">
        <f>C1348</f>
        <v>JOAO KUHN</v>
      </c>
      <c r="B1347" s="68" t="s">
        <v>62</v>
      </c>
      <c r="C1347" s="64" t="s">
        <v>1114</v>
      </c>
      <c r="D1347" s="61">
        <v>63884</v>
      </c>
      <c r="E1347" s="62"/>
      <c r="F1347" s="285"/>
    </row>
    <row r="1348" spans="1:6" ht="14.25" thickTop="1" thickBot="1">
      <c r="A1348" s="267"/>
      <c r="B1348" s="68" t="s">
        <v>1866</v>
      </c>
      <c r="C1348" s="66" t="s">
        <v>349</v>
      </c>
      <c r="D1348" s="61">
        <v>117336</v>
      </c>
      <c r="E1348" s="62">
        <v>43138</v>
      </c>
      <c r="F1348" s="290"/>
    </row>
    <row r="1349" spans="1:6" ht="14.25" thickTop="1" thickBot="1">
      <c r="A1349" s="267" t="str">
        <f t="shared" ref="A1349:A1361" si="60">C1350</f>
        <v>JOAO LUCAS PEREIRA    (J.L.)</v>
      </c>
      <c r="B1349" s="68" t="s">
        <v>1812</v>
      </c>
      <c r="C1349" s="60" t="s">
        <v>2800</v>
      </c>
      <c r="D1349" s="61">
        <v>154603</v>
      </c>
      <c r="E1349" s="70">
        <v>43769</v>
      </c>
      <c r="F1349" s="287"/>
    </row>
    <row r="1350" spans="1:6" ht="14.25" thickTop="1" thickBot="1">
      <c r="A1350" s="267" t="str">
        <f t="shared" si="60"/>
        <v>JOAO LUCAS RAMOS DA SILVA</v>
      </c>
      <c r="B1350" s="68" t="s">
        <v>62</v>
      </c>
      <c r="C1350" s="66" t="s">
        <v>2987</v>
      </c>
      <c r="D1350" s="61">
        <v>74777</v>
      </c>
      <c r="E1350" s="62">
        <v>42844</v>
      </c>
      <c r="F1350" s="285"/>
    </row>
    <row r="1351" spans="1:6" ht="14.25" thickTop="1" thickBot="1">
      <c r="A1351" s="267" t="str">
        <f t="shared" si="60"/>
        <v>JOAO LUIS  DE CARVALHO</v>
      </c>
      <c r="B1351" s="68" t="s">
        <v>546</v>
      </c>
      <c r="C1351" s="77" t="s">
        <v>2583</v>
      </c>
      <c r="D1351" s="198">
        <v>15491</v>
      </c>
      <c r="E1351" s="70">
        <v>43650</v>
      </c>
      <c r="F1351" s="287"/>
    </row>
    <row r="1352" spans="1:6" ht="14.25" thickTop="1" thickBot="1">
      <c r="A1352" s="267" t="str">
        <f t="shared" si="60"/>
        <v>JOÃO LUIS GONÇALVES DA ROSA</v>
      </c>
      <c r="B1352" s="68" t="s">
        <v>62</v>
      </c>
      <c r="C1352" s="66" t="s">
        <v>2045</v>
      </c>
      <c r="D1352" s="65">
        <v>3074</v>
      </c>
      <c r="E1352" s="62">
        <v>42719</v>
      </c>
      <c r="F1352" s="287"/>
    </row>
    <row r="1353" spans="1:6" ht="14.25" thickTop="1" thickBot="1">
      <c r="A1353" s="267" t="str">
        <f t="shared" si="60"/>
        <v>JOAO LUIS ROCHA</v>
      </c>
      <c r="B1353" s="68" t="s">
        <v>62</v>
      </c>
      <c r="C1353" s="66" t="s">
        <v>839</v>
      </c>
      <c r="D1353" s="67"/>
      <c r="E1353" s="62">
        <v>39458</v>
      </c>
      <c r="F1353" s="285"/>
    </row>
    <row r="1354" spans="1:6" ht="14.25" thickTop="1" thickBot="1">
      <c r="A1354" s="267" t="str">
        <f t="shared" si="60"/>
        <v>JOAO LUIZ DE QUADROS</v>
      </c>
      <c r="B1354" s="68" t="s">
        <v>62</v>
      </c>
      <c r="C1354" s="66" t="s">
        <v>1404</v>
      </c>
      <c r="D1354" s="61">
        <v>120268</v>
      </c>
      <c r="E1354" s="62">
        <v>40836</v>
      </c>
      <c r="F1354" s="285"/>
    </row>
    <row r="1355" spans="1:6" ht="14.25" thickTop="1" thickBot="1">
      <c r="A1355" s="267" t="str">
        <f t="shared" si="60"/>
        <v>JOÃO LUIZ GONÇALVES DA ROSA</v>
      </c>
      <c r="B1355" s="68" t="s">
        <v>62</v>
      </c>
      <c r="C1355" s="66" t="s">
        <v>1680</v>
      </c>
      <c r="D1355" s="65">
        <v>3074</v>
      </c>
      <c r="E1355" s="62">
        <v>42156</v>
      </c>
      <c r="F1355" s="285"/>
    </row>
    <row r="1356" spans="1:6" ht="14.25" thickTop="1" thickBot="1">
      <c r="A1356" s="267" t="str">
        <f t="shared" si="60"/>
        <v>JOÃO MACEDO FERREIRA</v>
      </c>
      <c r="B1356" s="68" t="s">
        <v>62</v>
      </c>
      <c r="C1356" s="64" t="s">
        <v>1770</v>
      </c>
      <c r="D1356" s="65"/>
      <c r="E1356" s="62">
        <v>42327</v>
      </c>
      <c r="F1356" s="285"/>
    </row>
    <row r="1357" spans="1:6" ht="14.25" thickTop="1" thickBot="1">
      <c r="A1357" s="267" t="str">
        <f t="shared" si="60"/>
        <v>JOAO MALETZ      (Lagarto)</v>
      </c>
      <c r="B1357" s="68" t="s">
        <v>62</v>
      </c>
      <c r="C1357" s="66" t="s">
        <v>1459</v>
      </c>
      <c r="D1357" s="65">
        <v>63978</v>
      </c>
      <c r="E1357" s="62">
        <v>43243</v>
      </c>
      <c r="F1357" s="285"/>
    </row>
    <row r="1358" spans="1:6" ht="14.25" thickTop="1" thickBot="1">
      <c r="A1358" s="267" t="str">
        <f t="shared" si="60"/>
        <v>JOAO MARCIANO ALVES</v>
      </c>
      <c r="B1358" s="67" t="s">
        <v>1145</v>
      </c>
      <c r="C1358" s="66" t="s">
        <v>2988</v>
      </c>
      <c r="D1358" s="61">
        <v>113286</v>
      </c>
      <c r="E1358" s="115">
        <v>41026</v>
      </c>
      <c r="F1358" s="288" t="s">
        <v>274</v>
      </c>
    </row>
    <row r="1359" spans="1:6" ht="14.25" thickTop="1" thickBot="1">
      <c r="A1359" s="267" t="str">
        <f t="shared" si="60"/>
        <v>JOAO MARCOS DA SILVA TELES</v>
      </c>
      <c r="B1359" s="68" t="s">
        <v>62</v>
      </c>
      <c r="C1359" s="64" t="s">
        <v>168</v>
      </c>
      <c r="D1359" s="65">
        <v>115609</v>
      </c>
      <c r="E1359" s="62">
        <v>42203</v>
      </c>
      <c r="F1359" s="285"/>
    </row>
    <row r="1360" spans="1:6" ht="14.25" thickTop="1" thickBot="1">
      <c r="A1360" s="267" t="str">
        <f t="shared" si="60"/>
        <v>JOAO MARCOS JUSTINO DA SILVA</v>
      </c>
      <c r="B1360" s="68" t="s">
        <v>62</v>
      </c>
      <c r="C1360" s="66" t="s">
        <v>2031</v>
      </c>
      <c r="D1360" s="61"/>
      <c r="E1360" s="62">
        <v>43090</v>
      </c>
      <c r="F1360" s="284"/>
    </row>
    <row r="1361" spans="1:6" ht="14.25" thickTop="1" thickBot="1">
      <c r="A1361" s="267" t="str">
        <f t="shared" si="60"/>
        <v>JOAO MARIA DOMINGUES</v>
      </c>
      <c r="B1361" s="68" t="s">
        <v>1812</v>
      </c>
      <c r="C1361" s="66" t="s">
        <v>2153</v>
      </c>
      <c r="D1361" s="68">
        <v>142278</v>
      </c>
      <c r="E1361" s="62">
        <v>42038</v>
      </c>
      <c r="F1361" s="285"/>
    </row>
    <row r="1362" spans="1:6" ht="14.25" thickTop="1" thickBot="1">
      <c r="A1362" s="267"/>
      <c r="B1362" s="68" t="s">
        <v>62</v>
      </c>
      <c r="C1362" s="66" t="s">
        <v>1887</v>
      </c>
      <c r="D1362" s="67"/>
      <c r="E1362" s="115">
        <v>40231</v>
      </c>
      <c r="F1362" s="288" t="s">
        <v>274</v>
      </c>
    </row>
    <row r="1363" spans="1:6" ht="14.25" thickTop="1" thickBot="1">
      <c r="A1363" s="267" t="str">
        <f>C1364</f>
        <v>JOAO MARIA MELO DE QUADROS     (Saci)</v>
      </c>
      <c r="B1363" s="68" t="s">
        <v>2413</v>
      </c>
      <c r="C1363" s="64" t="s">
        <v>1668</v>
      </c>
      <c r="D1363" s="65">
        <v>119347</v>
      </c>
      <c r="E1363" s="70">
        <v>43693</v>
      </c>
      <c r="F1363" s="287"/>
    </row>
    <row r="1364" spans="1:6" ht="14.25" thickTop="1" thickBot="1">
      <c r="A1364" s="270" t="s">
        <v>989</v>
      </c>
      <c r="B1364" s="67" t="s">
        <v>1522</v>
      </c>
      <c r="C1364" s="66" t="s">
        <v>2989</v>
      </c>
      <c r="D1364" s="65">
        <v>63345</v>
      </c>
      <c r="E1364" s="62">
        <v>40956</v>
      </c>
      <c r="F1364" s="285"/>
    </row>
    <row r="1365" spans="1:6" ht="14.25" thickTop="1" thickBot="1">
      <c r="A1365" s="267" t="str">
        <f>C1367</f>
        <v>JOÃO MARIA RODRIGUES DAS NEVES</v>
      </c>
      <c r="B1365" s="68" t="s">
        <v>2406</v>
      </c>
      <c r="C1365" s="66" t="s">
        <v>337</v>
      </c>
      <c r="D1365" s="65">
        <v>63238</v>
      </c>
      <c r="E1365" s="62">
        <v>40763</v>
      </c>
      <c r="F1365" s="285"/>
    </row>
    <row r="1366" spans="1:6" ht="14.25" thickTop="1" thickBot="1">
      <c r="A1366" s="267" t="str">
        <f>C1368</f>
        <v>JOAO MARIA VICENTE BARBOSA</v>
      </c>
      <c r="B1366" s="68" t="s">
        <v>62</v>
      </c>
      <c r="C1366" s="77" t="s">
        <v>989</v>
      </c>
      <c r="D1366" s="61">
        <v>11435</v>
      </c>
      <c r="E1366" s="62">
        <v>42156</v>
      </c>
      <c r="F1366" s="285"/>
    </row>
    <row r="1367" spans="1:6" ht="14.25" thickTop="1" thickBot="1">
      <c r="A1367" s="267" t="str">
        <f>C1369</f>
        <v>JOAO MARINO RODRIGUES FILHO</v>
      </c>
      <c r="B1367" s="67" t="s">
        <v>1522</v>
      </c>
      <c r="C1367" s="66" t="s">
        <v>993</v>
      </c>
      <c r="D1367" s="61">
        <v>27338</v>
      </c>
      <c r="E1367" s="62">
        <v>37587</v>
      </c>
      <c r="F1367" s="285"/>
    </row>
    <row r="1368" spans="1:6" ht="14.25" thickTop="1" thickBot="1">
      <c r="A1368" s="267" t="str">
        <f>C1370</f>
        <v>JOAO MARIO FREITAS DOS SANTOS</v>
      </c>
      <c r="B1368" s="61" t="s">
        <v>351</v>
      </c>
      <c r="C1368" s="66" t="s">
        <v>990</v>
      </c>
      <c r="D1368" s="177">
        <v>49525</v>
      </c>
      <c r="E1368" s="62">
        <v>43383</v>
      </c>
      <c r="F1368" s="284"/>
    </row>
    <row r="1369" spans="1:6" ht="14.25" thickTop="1" thickBot="1">
      <c r="A1369" s="267" t="str">
        <f>C1379</f>
        <v>JOÃO ROBERTO ANTUNES LEMES        (Alemão)</v>
      </c>
      <c r="B1369" s="68" t="s">
        <v>1812</v>
      </c>
      <c r="C1369" s="66" t="s">
        <v>2801</v>
      </c>
      <c r="D1369" s="61">
        <v>166619</v>
      </c>
      <c r="E1369" s="62">
        <v>44008</v>
      </c>
      <c r="F1369" s="285"/>
    </row>
    <row r="1370" spans="1:6" ht="14.25" thickTop="1" thickBot="1">
      <c r="A1370" s="267" t="str">
        <f>C1373</f>
        <v>JOAO PAULO GARCIA</v>
      </c>
      <c r="B1370" s="68" t="s">
        <v>62</v>
      </c>
      <c r="C1370" s="66" t="s">
        <v>616</v>
      </c>
      <c r="D1370" s="61">
        <v>101368</v>
      </c>
      <c r="E1370" s="62">
        <v>43173</v>
      </c>
      <c r="F1370" s="290"/>
    </row>
    <row r="1371" spans="1:6" ht="14.25" thickTop="1" thickBot="1">
      <c r="A1371" s="267"/>
      <c r="B1371" s="68" t="s">
        <v>62</v>
      </c>
      <c r="C1371" s="192" t="s">
        <v>1087</v>
      </c>
      <c r="D1371" s="61">
        <v>102250</v>
      </c>
      <c r="E1371" s="62">
        <v>42108</v>
      </c>
      <c r="F1371" s="285"/>
    </row>
    <row r="1372" spans="1:6" ht="14.25" thickTop="1" thickBot="1">
      <c r="A1372" s="267" t="str">
        <f>C1375</f>
        <v>JOÃO PAULO PINHEIRO       (Boneco)</v>
      </c>
      <c r="B1372" s="68" t="s">
        <v>1812</v>
      </c>
      <c r="C1372" s="77" t="s">
        <v>1890</v>
      </c>
      <c r="D1372" s="61">
        <v>127055</v>
      </c>
      <c r="E1372" s="62">
        <v>43923</v>
      </c>
      <c r="F1372" s="285"/>
    </row>
    <row r="1373" spans="1:6" ht="14.25" thickTop="1" thickBot="1">
      <c r="A1373" s="267" t="str">
        <f>C1375</f>
        <v>JOÃO PAULO PINHEIRO       (Boneco)</v>
      </c>
      <c r="B1373" s="68" t="s">
        <v>15</v>
      </c>
      <c r="C1373" s="66" t="s">
        <v>785</v>
      </c>
      <c r="D1373" s="61">
        <v>27239</v>
      </c>
      <c r="E1373" s="62">
        <v>40532</v>
      </c>
      <c r="F1373" s="285"/>
    </row>
    <row r="1374" spans="1:6" ht="14.25" thickTop="1" thickBot="1">
      <c r="A1374" s="267"/>
      <c r="B1374" s="68" t="s">
        <v>546</v>
      </c>
      <c r="C1374" s="66" t="s">
        <v>1243</v>
      </c>
      <c r="D1374" s="65">
        <v>101672</v>
      </c>
      <c r="E1374" s="62">
        <v>41953</v>
      </c>
      <c r="F1374" s="285"/>
    </row>
    <row r="1375" spans="1:6" ht="14.25" thickTop="1" thickBot="1">
      <c r="A1375" s="267" t="str">
        <f>C1377</f>
        <v>JOÃO RENATO DE MATOS</v>
      </c>
      <c r="B1375" s="68" t="s">
        <v>62</v>
      </c>
      <c r="C1375" s="66" t="s">
        <v>2990</v>
      </c>
      <c r="D1375" s="178">
        <v>63409</v>
      </c>
      <c r="E1375" s="62">
        <v>40651</v>
      </c>
      <c r="F1375" s="285"/>
    </row>
    <row r="1376" spans="1:6" ht="14.25" thickTop="1" thickBot="1">
      <c r="A1376" s="267" t="str">
        <f>C1378</f>
        <v>JOÃO RICARDO DOS SANTOS</v>
      </c>
      <c r="B1376" s="68" t="s">
        <v>25</v>
      </c>
      <c r="C1376" s="66" t="s">
        <v>1143</v>
      </c>
      <c r="D1376" s="69">
        <v>63943</v>
      </c>
      <c r="E1376" s="70">
        <v>42320</v>
      </c>
      <c r="F1376" s="284"/>
    </row>
    <row r="1377" spans="1:6" ht="14.25" thickTop="1" thickBot="1">
      <c r="A1377" s="272"/>
      <c r="B1377" s="68" t="s">
        <v>2406</v>
      </c>
      <c r="C1377" s="66" t="s">
        <v>3489</v>
      </c>
      <c r="D1377" s="61">
        <v>122768</v>
      </c>
      <c r="E1377" s="62">
        <v>43987</v>
      </c>
      <c r="F1377" s="285"/>
    </row>
    <row r="1378" spans="1:6" ht="14.25" thickTop="1" thickBot="1">
      <c r="A1378" s="267" t="str">
        <f>C1380</f>
        <v>JOAO RODRIGO MAIA DA SILVA       (Lagrima / Japones)</v>
      </c>
      <c r="B1378" s="68" t="s">
        <v>62</v>
      </c>
      <c r="C1378" s="66" t="s">
        <v>618</v>
      </c>
      <c r="D1378" s="65">
        <v>63615</v>
      </c>
      <c r="E1378" s="62">
        <v>40128</v>
      </c>
      <c r="F1378" s="285"/>
    </row>
    <row r="1379" spans="1:6" ht="14.25" thickTop="1" thickBot="1">
      <c r="A1379" s="267" t="str">
        <f>C1384</f>
        <v>JOAO SANTOS DE JESUS</v>
      </c>
      <c r="B1379" s="68" t="s">
        <v>62</v>
      </c>
      <c r="C1379" s="66" t="s">
        <v>2991</v>
      </c>
      <c r="D1379" s="67"/>
      <c r="E1379" s="62">
        <v>41901</v>
      </c>
      <c r="F1379" s="285"/>
    </row>
    <row r="1380" spans="1:6" ht="14.25" thickTop="1" thickBot="1">
      <c r="A1380" s="267" t="str">
        <f>C1385</f>
        <v>JOAO SCHEIFFER NETO</v>
      </c>
      <c r="B1380" s="68" t="s">
        <v>62</v>
      </c>
      <c r="C1380" s="66" t="s">
        <v>2992</v>
      </c>
      <c r="D1380" s="61">
        <v>63633</v>
      </c>
      <c r="E1380" s="62">
        <v>41242</v>
      </c>
      <c r="F1380" s="285"/>
    </row>
    <row r="1381" spans="1:6" ht="14.25" thickTop="1" thickBot="1">
      <c r="A1381" s="267" t="str">
        <f>C1383</f>
        <v>JOÃO SALVADOR DE LEMOS</v>
      </c>
      <c r="B1381" s="68" t="s">
        <v>62</v>
      </c>
      <c r="C1381" s="66" t="s">
        <v>338</v>
      </c>
      <c r="D1381" s="61">
        <v>102257</v>
      </c>
      <c r="E1381" s="62">
        <v>40631</v>
      </c>
      <c r="F1381" s="285"/>
    </row>
    <row r="1382" spans="1:6" ht="14.25" thickTop="1" thickBot="1">
      <c r="A1382" s="267" t="str">
        <f>C1385</f>
        <v>JOAO SCHEIFFER NETO</v>
      </c>
      <c r="B1382" s="68" t="s">
        <v>799</v>
      </c>
      <c r="C1382" s="66" t="s">
        <v>1241</v>
      </c>
      <c r="D1382" s="65">
        <v>63684</v>
      </c>
      <c r="E1382" s="62">
        <v>41271</v>
      </c>
      <c r="F1382" s="285"/>
    </row>
    <row r="1383" spans="1:6" ht="14.25" thickTop="1" thickBot="1">
      <c r="A1383" s="267" t="str">
        <f>C1386</f>
        <v>JOAO SILVERIO DA SILVA JUNIOR</v>
      </c>
      <c r="B1383" s="68" t="s">
        <v>62</v>
      </c>
      <c r="C1383" s="66" t="s">
        <v>71</v>
      </c>
      <c r="D1383" s="65">
        <v>27275</v>
      </c>
      <c r="E1383" s="70">
        <v>42919</v>
      </c>
      <c r="F1383" s="284"/>
    </row>
    <row r="1384" spans="1:6" ht="14.25" thickTop="1" thickBot="1">
      <c r="A1384" s="267"/>
      <c r="B1384" s="68" t="s">
        <v>1812</v>
      </c>
      <c r="C1384" s="77" t="s">
        <v>1978</v>
      </c>
      <c r="D1384" s="61">
        <v>123595</v>
      </c>
      <c r="E1384" s="70">
        <v>43923</v>
      </c>
      <c r="F1384" s="284"/>
    </row>
    <row r="1385" spans="1:6" ht="14.25" thickTop="1" thickBot="1">
      <c r="A1385" s="267" t="str">
        <f>C1387</f>
        <v>JOAO VALDERI DA SILVA SILVEIRA</v>
      </c>
      <c r="B1385" s="89" t="s">
        <v>62</v>
      </c>
      <c r="C1385" s="66" t="s">
        <v>638</v>
      </c>
      <c r="D1385" s="67"/>
      <c r="E1385" s="70">
        <v>42199</v>
      </c>
      <c r="F1385" s="284"/>
    </row>
    <row r="1386" spans="1:6" ht="14.25" thickTop="1" thickBot="1">
      <c r="A1386" s="267" t="str">
        <f>C1388</f>
        <v>JOAO VITOR FERREIRA DE PAULA</v>
      </c>
      <c r="B1386" s="68" t="s">
        <v>62</v>
      </c>
      <c r="C1386" s="64" t="s">
        <v>339</v>
      </c>
      <c r="D1386" s="61">
        <v>63778</v>
      </c>
      <c r="E1386" s="62">
        <v>41960</v>
      </c>
      <c r="F1386" s="285"/>
    </row>
    <row r="1387" spans="1:6" ht="14.25" thickTop="1" thickBot="1">
      <c r="A1387" s="267"/>
      <c r="B1387" s="68" t="s">
        <v>62</v>
      </c>
      <c r="C1387" s="66" t="s">
        <v>2019</v>
      </c>
      <c r="D1387" s="65">
        <v>49291</v>
      </c>
      <c r="E1387" s="70">
        <v>42199</v>
      </c>
      <c r="F1387" s="284"/>
    </row>
    <row r="1388" spans="1:6" ht="14.25" thickTop="1" thickBot="1">
      <c r="A1388" s="267" t="str">
        <f>C1390</f>
        <v>JOARES OLIGARSKI PALAMAR</v>
      </c>
      <c r="B1388" s="68"/>
      <c r="C1388" s="192" t="s">
        <v>2344</v>
      </c>
      <c r="D1388" s="61">
        <v>124850</v>
      </c>
      <c r="E1388" s="70">
        <v>43768</v>
      </c>
      <c r="F1388" s="284"/>
    </row>
    <row r="1389" spans="1:6" ht="14.25" thickTop="1" thickBot="1">
      <c r="A1389" s="267" t="str">
        <f>C1391</f>
        <v>JOAREZ APARECIDO DA CRUZ</v>
      </c>
      <c r="B1389" s="68" t="s">
        <v>62</v>
      </c>
      <c r="C1389" s="66" t="s">
        <v>167</v>
      </c>
      <c r="D1389" s="65">
        <v>27124</v>
      </c>
      <c r="E1389" s="62">
        <v>40415</v>
      </c>
      <c r="F1389" s="285"/>
    </row>
    <row r="1390" spans="1:6" ht="14.25" thickTop="1" thickBot="1">
      <c r="A1390" s="267" t="str">
        <f>C1392</f>
        <v>JOBEL LUIZ GONÇALVES VIEIRA</v>
      </c>
      <c r="B1390" s="68"/>
      <c r="C1390" s="66" t="s">
        <v>305</v>
      </c>
      <c r="D1390" s="65">
        <v>27090</v>
      </c>
      <c r="E1390" s="62">
        <v>42703</v>
      </c>
      <c r="F1390" s="285"/>
    </row>
    <row r="1391" spans="1:6" ht="14.25" thickTop="1" thickBot="1">
      <c r="A1391" s="267" t="str">
        <f>C1393</f>
        <v>JOCELIANO NOCERA BUENO     (Moicano)</v>
      </c>
      <c r="B1391" s="68" t="s">
        <v>3363</v>
      </c>
      <c r="C1391" s="64" t="s">
        <v>1471</v>
      </c>
      <c r="D1391" s="65">
        <v>27221</v>
      </c>
      <c r="E1391" s="70">
        <v>42297</v>
      </c>
      <c r="F1391" s="284"/>
    </row>
    <row r="1392" spans="1:6" ht="14.25" thickTop="1" thickBot="1">
      <c r="A1392" s="267"/>
      <c r="B1392" s="68" t="s">
        <v>62</v>
      </c>
      <c r="C1392" s="66" t="s">
        <v>1376</v>
      </c>
      <c r="D1392" s="65">
        <v>63767</v>
      </c>
      <c r="E1392" s="70">
        <v>42837</v>
      </c>
      <c r="F1392" s="284"/>
    </row>
    <row r="1393" spans="1:6" ht="14.25" thickTop="1" thickBot="1">
      <c r="A1393" s="267" t="s">
        <v>1731</v>
      </c>
      <c r="B1393" s="68" t="s">
        <v>62</v>
      </c>
      <c r="C1393" s="66" t="s">
        <v>2993</v>
      </c>
      <c r="D1393" s="61">
        <v>205950</v>
      </c>
      <c r="E1393" s="70">
        <v>42909</v>
      </c>
      <c r="F1393" s="284"/>
    </row>
    <row r="1394" spans="1:6" ht="14.25" thickTop="1" thickBot="1">
      <c r="A1394" s="267"/>
      <c r="B1394" s="68" t="s">
        <v>2413</v>
      </c>
      <c r="C1394" s="66" t="s">
        <v>2063</v>
      </c>
      <c r="D1394" s="61">
        <v>101747</v>
      </c>
      <c r="E1394" s="62">
        <v>43529</v>
      </c>
      <c r="F1394" s="285"/>
    </row>
    <row r="1395" spans="1:6" ht="14.25" thickTop="1" thickBot="1">
      <c r="A1395" s="267" t="str">
        <f>C1395</f>
        <v>JOCEMAR MICHAEL DOS SANTOS                     (lado D)</v>
      </c>
      <c r="B1395" s="68" t="s">
        <v>1812</v>
      </c>
      <c r="C1395" s="77" t="s">
        <v>3661</v>
      </c>
      <c r="D1395" s="61">
        <v>117839</v>
      </c>
      <c r="E1395" s="62">
        <v>40494</v>
      </c>
      <c r="F1395" s="285"/>
    </row>
    <row r="1396" spans="1:6" ht="14.25" thickTop="1" thickBot="1">
      <c r="A1396" s="267" t="str">
        <f t="shared" ref="A1396:A1401" si="61">C1398</f>
        <v>JOCIMAR ELIAS DE OLIVEIRA</v>
      </c>
      <c r="B1396" s="68" t="s">
        <v>1812</v>
      </c>
      <c r="C1396" s="66" t="s">
        <v>1019</v>
      </c>
      <c r="D1396" s="65">
        <v>27075</v>
      </c>
      <c r="E1396" s="81">
        <v>43550</v>
      </c>
      <c r="F1396" s="285"/>
    </row>
    <row r="1397" spans="1:6" ht="14.25" thickTop="1" thickBot="1">
      <c r="A1397" s="267" t="str">
        <f t="shared" si="61"/>
        <v>JOCIMAR RAMOS     (Passarinho)</v>
      </c>
      <c r="B1397" s="68" t="s">
        <v>62</v>
      </c>
      <c r="C1397" s="66" t="s">
        <v>1731</v>
      </c>
      <c r="D1397" s="61">
        <v>123257</v>
      </c>
      <c r="E1397" s="62"/>
      <c r="F1397" s="285"/>
    </row>
    <row r="1398" spans="1:6" ht="14.25" thickTop="1" thickBot="1">
      <c r="A1398" s="267" t="str">
        <f t="shared" si="61"/>
        <v>JOCINEI VIDAL</v>
      </c>
      <c r="B1398" s="68" t="s">
        <v>62</v>
      </c>
      <c r="C1398" s="77" t="s">
        <v>2327</v>
      </c>
      <c r="D1398" s="61">
        <v>156035</v>
      </c>
      <c r="E1398" s="62">
        <v>42880</v>
      </c>
      <c r="F1398" s="285"/>
    </row>
    <row r="1399" spans="1:6" ht="14.25" thickTop="1" thickBot="1">
      <c r="A1399" s="267" t="str">
        <f t="shared" si="61"/>
        <v>JOEL DAMAZIO</v>
      </c>
      <c r="B1399" s="68" t="s">
        <v>62</v>
      </c>
      <c r="C1399" s="66" t="s">
        <v>2994</v>
      </c>
      <c r="D1399" s="61">
        <v>27248</v>
      </c>
      <c r="E1399" s="62">
        <v>41844</v>
      </c>
      <c r="F1399" s="285"/>
    </row>
    <row r="1400" spans="1:6" ht="14.25" thickTop="1" thickBot="1">
      <c r="A1400" s="267" t="str">
        <f t="shared" si="61"/>
        <v>JOEL DOS SANTOS FARIAS</v>
      </c>
      <c r="B1400" s="68" t="s">
        <v>62</v>
      </c>
      <c r="C1400" s="64" t="s">
        <v>1377</v>
      </c>
      <c r="D1400" s="61">
        <v>63970</v>
      </c>
      <c r="E1400" s="62">
        <v>42240</v>
      </c>
      <c r="F1400" s="285"/>
    </row>
    <row r="1401" spans="1:6" ht="14.25" thickTop="1" thickBot="1">
      <c r="A1401" s="267" t="str">
        <f t="shared" si="61"/>
        <v>JOEL LIMA DA SILVA</v>
      </c>
      <c r="B1401" s="68" t="s">
        <v>1812</v>
      </c>
      <c r="C1401" s="66" t="s">
        <v>1508</v>
      </c>
      <c r="D1401" s="65">
        <v>63808</v>
      </c>
      <c r="E1401" s="70">
        <v>42691</v>
      </c>
      <c r="F1401" s="284"/>
    </row>
    <row r="1402" spans="1:6" ht="14.25" thickTop="1" thickBot="1">
      <c r="A1402" s="267"/>
      <c r="B1402" s="68" t="s">
        <v>62</v>
      </c>
      <c r="C1402" s="64" t="s">
        <v>1513</v>
      </c>
      <c r="D1402" s="65"/>
      <c r="E1402" s="70">
        <v>42809</v>
      </c>
      <c r="F1402" s="291"/>
    </row>
    <row r="1403" spans="1:6" ht="14.25" thickTop="1" thickBot="1">
      <c r="A1403" s="267"/>
      <c r="B1403" s="68" t="s">
        <v>2413</v>
      </c>
      <c r="C1403" s="60" t="s">
        <v>2216</v>
      </c>
      <c r="D1403" s="61">
        <v>112866</v>
      </c>
      <c r="E1403" s="62">
        <v>43984</v>
      </c>
      <c r="F1403" s="285"/>
    </row>
    <row r="1404" spans="1:6" ht="14.25" thickTop="1" thickBot="1">
      <c r="A1404" s="267" t="str">
        <f t="shared" ref="A1404:A1412" si="62">C1406</f>
        <v>JOELCIO JACOB LIMA</v>
      </c>
      <c r="B1404" s="89"/>
      <c r="C1404" s="66" t="s">
        <v>1016</v>
      </c>
      <c r="D1404" s="67"/>
      <c r="E1404" s="62">
        <v>39262</v>
      </c>
      <c r="F1404" s="285"/>
    </row>
    <row r="1405" spans="1:6" ht="14.25" thickTop="1" thickBot="1">
      <c r="A1405" s="267" t="str">
        <f t="shared" si="62"/>
        <v>JOELSON DE CARVALHO</v>
      </c>
      <c r="B1405" s="89" t="s">
        <v>62</v>
      </c>
      <c r="C1405" s="66" t="s">
        <v>736</v>
      </c>
      <c r="D1405" s="61">
        <v>70444</v>
      </c>
      <c r="E1405" s="62">
        <v>39624</v>
      </c>
      <c r="F1405" s="285"/>
    </row>
    <row r="1406" spans="1:6" ht="14.25" thickTop="1" thickBot="1">
      <c r="A1406" s="267" t="str">
        <f t="shared" si="62"/>
        <v>JOELSON DE OLIVEIRA</v>
      </c>
      <c r="B1406" s="68" t="s">
        <v>62</v>
      </c>
      <c r="C1406" s="385" t="s">
        <v>1057</v>
      </c>
      <c r="D1406" s="344">
        <v>10994</v>
      </c>
      <c r="E1406" s="62">
        <v>42192</v>
      </c>
      <c r="F1406" s="285"/>
    </row>
    <row r="1407" spans="1:6" ht="14.25" thickTop="1" thickBot="1">
      <c r="A1407" s="267" t="str">
        <f t="shared" si="62"/>
        <v>JOHN LENNON FOGAÇA RODRIGUES</v>
      </c>
      <c r="B1407" s="68" t="s">
        <v>62</v>
      </c>
      <c r="C1407" s="66" t="s">
        <v>1592</v>
      </c>
      <c r="D1407" s="61">
        <v>11393</v>
      </c>
      <c r="E1407" s="62">
        <v>41834</v>
      </c>
      <c r="F1407" s="285"/>
    </row>
    <row r="1408" spans="1:6" ht="14.25" thickTop="1" thickBot="1">
      <c r="A1408" s="267" t="str">
        <f t="shared" si="62"/>
        <v>JOHN LENON GARCIAS FERREIRA</v>
      </c>
      <c r="B1408" s="68" t="s">
        <v>62</v>
      </c>
      <c r="C1408" s="114" t="s">
        <v>1826</v>
      </c>
      <c r="D1408" s="61">
        <v>3081</v>
      </c>
      <c r="E1408" s="62">
        <v>41961</v>
      </c>
      <c r="F1408" s="285"/>
    </row>
    <row r="1409" spans="1:6" ht="14.25" thickTop="1" thickBot="1">
      <c r="A1409" s="267" t="str">
        <f t="shared" si="62"/>
        <v>JOHN LENON MACHADO DOS PASSOS</v>
      </c>
      <c r="B1409" s="68" t="s">
        <v>62</v>
      </c>
      <c r="C1409" s="66" t="s">
        <v>1991</v>
      </c>
      <c r="D1409" s="61">
        <v>27251</v>
      </c>
      <c r="E1409" s="62">
        <v>42471</v>
      </c>
      <c r="F1409" s="285"/>
    </row>
    <row r="1410" spans="1:6" ht="14.25" thickTop="1" thickBot="1">
      <c r="A1410" s="267" t="str">
        <f t="shared" si="62"/>
        <v>JOHN LENON PALMAS</v>
      </c>
      <c r="B1410" s="68" t="s">
        <v>1665</v>
      </c>
      <c r="C1410" s="66" t="s">
        <v>2062</v>
      </c>
      <c r="D1410" s="65">
        <v>101218</v>
      </c>
      <c r="E1410" s="62">
        <v>42920</v>
      </c>
      <c r="F1410" s="285"/>
    </row>
    <row r="1411" spans="1:6" ht="14.25" thickTop="1" thickBot="1">
      <c r="A1411" s="267" t="str">
        <f t="shared" si="62"/>
        <v>JOHN LENON PEREIRA DA SILVA</v>
      </c>
      <c r="B1411" s="68" t="s">
        <v>62</v>
      </c>
      <c r="C1411" s="64" t="s">
        <v>1117</v>
      </c>
      <c r="D1411" s="61">
        <v>27153</v>
      </c>
      <c r="E1411" s="62">
        <v>42705</v>
      </c>
      <c r="F1411" s="285"/>
    </row>
    <row r="1412" spans="1:6" ht="14.25" thickTop="1" thickBot="1">
      <c r="A1412" s="267" t="str">
        <f t="shared" si="62"/>
        <v>JOHN LENON RODRIGUES DE FREITAS</v>
      </c>
      <c r="B1412" s="68" t="s">
        <v>62</v>
      </c>
      <c r="C1412" s="66" t="s">
        <v>584</v>
      </c>
      <c r="D1412" s="61">
        <v>68978</v>
      </c>
      <c r="E1412" s="62">
        <v>42705</v>
      </c>
      <c r="F1412" s="285"/>
    </row>
    <row r="1413" spans="1:6" ht="14.25" thickTop="1" thickBot="1">
      <c r="A1413" s="267" t="s">
        <v>3631</v>
      </c>
      <c r="B1413" s="61" t="s">
        <v>1812</v>
      </c>
      <c r="C1413" s="66" t="s">
        <v>2654</v>
      </c>
      <c r="D1413" s="61">
        <v>104710</v>
      </c>
      <c r="E1413" s="62">
        <v>44020</v>
      </c>
      <c r="F1413" s="284"/>
    </row>
    <row r="1414" spans="1:6" ht="14.25" thickTop="1" thickBot="1">
      <c r="A1414" s="267"/>
      <c r="B1414" s="68" t="s">
        <v>1918</v>
      </c>
      <c r="C1414" s="66" t="s">
        <v>2123</v>
      </c>
      <c r="D1414" s="67"/>
      <c r="E1414" s="70">
        <v>42492</v>
      </c>
      <c r="F1414" s="284"/>
    </row>
    <row r="1415" spans="1:6" ht="14.25" thickTop="1" thickBot="1">
      <c r="A1415" s="267" t="str">
        <f>C1418</f>
        <v>JOHNNY RIBEIRO DA LUZ</v>
      </c>
      <c r="B1415" s="68" t="s">
        <v>1306</v>
      </c>
      <c r="C1415" s="66" t="s">
        <v>2123</v>
      </c>
      <c r="D1415" s="65">
        <v>68978</v>
      </c>
      <c r="E1415" s="62">
        <v>43815</v>
      </c>
      <c r="F1415" s="285"/>
    </row>
    <row r="1416" spans="1:6" ht="14.25" thickTop="1" thickBot="1">
      <c r="A1416" s="267"/>
      <c r="B1416" s="89" t="s">
        <v>1812</v>
      </c>
      <c r="C1416" s="66" t="s">
        <v>3414</v>
      </c>
      <c r="D1416" s="61">
        <v>161877</v>
      </c>
      <c r="E1416" s="70">
        <v>44148</v>
      </c>
      <c r="F1416" s="284"/>
    </row>
    <row r="1417" spans="1:6" ht="14.25" thickTop="1" thickBot="1">
      <c r="A1417" s="267" t="s">
        <v>2292</v>
      </c>
      <c r="B1417" s="68" t="s">
        <v>62</v>
      </c>
      <c r="C1417" s="64" t="s">
        <v>340</v>
      </c>
      <c r="D1417" s="61">
        <v>117106</v>
      </c>
      <c r="E1417" s="62">
        <v>41057</v>
      </c>
      <c r="F1417" s="285"/>
    </row>
    <row r="1418" spans="1:6" ht="14.25" thickTop="1" thickBot="1">
      <c r="A1418" s="267"/>
      <c r="B1418" s="68" t="s">
        <v>62</v>
      </c>
      <c r="C1418" s="193" t="s">
        <v>2292</v>
      </c>
      <c r="D1418" s="61">
        <v>27089</v>
      </c>
      <c r="E1418" s="62">
        <v>43845</v>
      </c>
      <c r="F1418" s="285"/>
    </row>
    <row r="1419" spans="1:6" ht="14.25" thickTop="1" thickBot="1">
      <c r="A1419" s="267" t="str">
        <f>C1421</f>
        <v>JONAS LINS</v>
      </c>
      <c r="B1419" s="68" t="s">
        <v>546</v>
      </c>
      <c r="C1419" s="64" t="s">
        <v>1835</v>
      </c>
      <c r="D1419" s="67"/>
      <c r="E1419" s="62">
        <v>42704</v>
      </c>
      <c r="F1419" s="285"/>
    </row>
    <row r="1420" spans="1:6" ht="14.25" thickTop="1" thickBot="1">
      <c r="A1420" s="267"/>
      <c r="B1420" s="68" t="s">
        <v>62</v>
      </c>
      <c r="C1420" s="66" t="s">
        <v>1405</v>
      </c>
      <c r="D1420" s="67"/>
      <c r="E1420" s="62">
        <v>43243</v>
      </c>
      <c r="F1420" s="285"/>
    </row>
    <row r="1421" spans="1:6" ht="14.25" thickTop="1" thickBot="1">
      <c r="A1421" s="267" t="str">
        <f>C1423</f>
        <v>JONAS RIBEIRO</v>
      </c>
      <c r="B1421" s="68" t="s">
        <v>2413</v>
      </c>
      <c r="C1421" s="192" t="s">
        <v>2463</v>
      </c>
      <c r="D1421" s="61">
        <v>117465</v>
      </c>
      <c r="E1421" s="62">
        <v>44062</v>
      </c>
      <c r="F1421" s="285"/>
    </row>
    <row r="1422" spans="1:6" ht="14.25" thickTop="1" thickBot="1">
      <c r="A1422" s="268"/>
      <c r="B1422" s="67" t="s">
        <v>1522</v>
      </c>
      <c r="C1422" s="66" t="s">
        <v>341</v>
      </c>
      <c r="D1422" s="61">
        <v>102053</v>
      </c>
      <c r="E1422" s="70">
        <v>42331</v>
      </c>
      <c r="F1422" s="284"/>
    </row>
    <row r="1423" spans="1:6" ht="14.25" thickTop="1" thickBot="1">
      <c r="A1423" s="267" t="str">
        <f>C1425</f>
        <v>JONATAN WILLIAN SANTOS RIBAS</v>
      </c>
      <c r="B1423" s="89" t="s">
        <v>2413</v>
      </c>
      <c r="C1423" s="77" t="s">
        <v>2134</v>
      </c>
      <c r="D1423" s="198">
        <v>121939</v>
      </c>
      <c r="E1423" s="70">
        <v>43670</v>
      </c>
      <c r="F1423" s="284"/>
    </row>
    <row r="1424" spans="1:6" ht="14.25" thickTop="1" thickBot="1">
      <c r="A1424" s="267" t="str">
        <f>C1426</f>
        <v>JONATHAN AILTON VIEIRA</v>
      </c>
      <c r="B1424" s="68" t="s">
        <v>62</v>
      </c>
      <c r="C1424" s="66" t="s">
        <v>2232</v>
      </c>
      <c r="D1424" s="61">
        <v>79104</v>
      </c>
      <c r="E1424" s="62">
        <v>42836</v>
      </c>
      <c r="F1424" s="285"/>
    </row>
    <row r="1425" spans="1:6" ht="14.25" thickTop="1" thickBot="1">
      <c r="A1425" s="267" t="str">
        <f>C1427</f>
        <v>JONATHAN ALFREDO BARROS</v>
      </c>
      <c r="B1425" s="67" t="s">
        <v>126</v>
      </c>
      <c r="C1425" s="66" t="s">
        <v>2369</v>
      </c>
      <c r="D1425" s="191">
        <v>127986</v>
      </c>
      <c r="E1425" s="62">
        <v>43656</v>
      </c>
      <c r="F1425" s="285"/>
    </row>
    <row r="1426" spans="1:6" ht="14.25" thickTop="1" thickBot="1">
      <c r="A1426" s="267" t="s">
        <v>1562</v>
      </c>
      <c r="B1426" s="68" t="s">
        <v>2347</v>
      </c>
      <c r="C1426" s="66" t="s">
        <v>1038</v>
      </c>
      <c r="D1426" s="65">
        <v>27166</v>
      </c>
      <c r="E1426" s="62">
        <v>43346</v>
      </c>
      <c r="F1426" s="285"/>
    </row>
    <row r="1427" spans="1:6" ht="14.25" thickTop="1" thickBot="1">
      <c r="A1427" s="267" t="str">
        <f>C1429</f>
        <v>JONATHAN DE PAULA       (Latro)</v>
      </c>
      <c r="B1427" s="68" t="s">
        <v>2347</v>
      </c>
      <c r="C1427" s="64" t="s">
        <v>777</v>
      </c>
      <c r="D1427" s="65">
        <v>27175</v>
      </c>
      <c r="E1427" s="62">
        <v>43346</v>
      </c>
      <c r="F1427" s="285"/>
    </row>
    <row r="1428" spans="1:6" ht="14.25" thickTop="1" thickBot="1">
      <c r="A1428" s="267" t="str">
        <f>C1430</f>
        <v>JONATHAN DOS ANJOS      (Faisca)</v>
      </c>
      <c r="B1428" s="68" t="s">
        <v>1812</v>
      </c>
      <c r="C1428" s="60" t="s">
        <v>777</v>
      </c>
      <c r="D1428" s="191">
        <v>27166</v>
      </c>
      <c r="E1428" s="62">
        <v>44124</v>
      </c>
      <c r="F1428" s="285"/>
    </row>
    <row r="1429" spans="1:6" ht="14.25" thickTop="1" thickBot="1">
      <c r="A1429" s="267" t="str">
        <f>C1431</f>
        <v>JONATHAN ISAIAS LEMES DE ALMEIDA</v>
      </c>
      <c r="B1429" s="68" t="s">
        <v>2406</v>
      </c>
      <c r="C1429" s="66" t="s">
        <v>2995</v>
      </c>
      <c r="D1429" s="61">
        <v>101141</v>
      </c>
      <c r="E1429" s="62">
        <v>43572</v>
      </c>
      <c r="F1429" s="285"/>
    </row>
    <row r="1430" spans="1:6" ht="14.25" thickTop="1" thickBot="1">
      <c r="A1430" s="267" t="str">
        <f>C1432</f>
        <v>JONATHAN JORDAN DE OLIVEIRA</v>
      </c>
      <c r="B1430" s="68" t="s">
        <v>1306</v>
      </c>
      <c r="C1430" s="66" t="s">
        <v>2996</v>
      </c>
      <c r="D1430" s="61">
        <v>101851</v>
      </c>
      <c r="E1430" s="62">
        <v>41207</v>
      </c>
      <c r="F1430" s="296"/>
    </row>
    <row r="1431" spans="1:6" ht="14.25" thickTop="1" thickBot="1">
      <c r="A1431" s="267"/>
      <c r="B1431" s="68" t="s">
        <v>1812</v>
      </c>
      <c r="C1431" s="60" t="s">
        <v>1562</v>
      </c>
      <c r="D1431" s="61">
        <v>27264</v>
      </c>
      <c r="E1431" s="70">
        <v>42320</v>
      </c>
      <c r="F1431" s="284"/>
    </row>
    <row r="1432" spans="1:6" ht="14.25" thickTop="1" thickBot="1">
      <c r="A1432" s="267" t="s">
        <v>2662</v>
      </c>
      <c r="B1432" s="68" t="s">
        <v>2413</v>
      </c>
      <c r="C1432" s="78" t="s">
        <v>2756</v>
      </c>
      <c r="D1432" s="61">
        <v>134275</v>
      </c>
      <c r="E1432" s="62">
        <v>43859</v>
      </c>
      <c r="F1432" s="285"/>
    </row>
    <row r="1433" spans="1:6" ht="14.25" thickTop="1" thickBot="1">
      <c r="A1433" s="267" t="str">
        <f>C1449</f>
        <v>JORGE JOSIAS ALMEIDA</v>
      </c>
      <c r="B1433" s="68" t="s">
        <v>2406</v>
      </c>
      <c r="C1433" s="60" t="s">
        <v>2680</v>
      </c>
      <c r="D1433" s="61">
        <v>143962</v>
      </c>
      <c r="E1433" s="62">
        <v>43969</v>
      </c>
      <c r="F1433" s="285"/>
    </row>
    <row r="1434" spans="1:6" ht="14.25" thickTop="1" thickBot="1">
      <c r="A1434" s="267" t="s">
        <v>2403</v>
      </c>
      <c r="B1434" s="68" t="s">
        <v>62</v>
      </c>
      <c r="C1434" s="66" t="s">
        <v>2997</v>
      </c>
      <c r="D1434" s="61">
        <v>102455</v>
      </c>
      <c r="E1434" s="62">
        <v>39394</v>
      </c>
      <c r="F1434" s="285"/>
    </row>
    <row r="1435" spans="1:6" ht="14.25" thickTop="1" thickBot="1">
      <c r="A1435" s="267" t="str">
        <f>C1437</f>
        <v>JONATHAN RENATO PAES SANTANA</v>
      </c>
      <c r="B1435" s="68" t="s">
        <v>1812</v>
      </c>
      <c r="C1435" s="66" t="s">
        <v>1616</v>
      </c>
      <c r="D1435" s="69">
        <v>102160</v>
      </c>
      <c r="E1435" s="62">
        <v>41367</v>
      </c>
      <c r="F1435" s="285"/>
    </row>
    <row r="1436" spans="1:6" ht="14.25" thickTop="1" thickBot="1">
      <c r="A1436" s="267" t="str">
        <f>C1438</f>
        <v>JONATHAN ROBSON DE MELLO SOUZA    (Chico tripa)</v>
      </c>
      <c r="B1436" s="68" t="s">
        <v>126</v>
      </c>
      <c r="C1436" s="66" t="s">
        <v>344</v>
      </c>
      <c r="D1436" s="65"/>
      <c r="E1436" s="62">
        <v>43398</v>
      </c>
      <c r="F1436" s="285"/>
    </row>
    <row r="1437" spans="1:6" ht="14.25" thickTop="1" thickBot="1">
      <c r="A1437" s="267" t="str">
        <f>C1440</f>
        <v>JONATHAN WILLIAN SANTOS CORREA</v>
      </c>
      <c r="B1437" s="68" t="s">
        <v>1812</v>
      </c>
      <c r="C1437" s="64" t="s">
        <v>1941</v>
      </c>
      <c r="D1437" s="65"/>
      <c r="E1437" s="62">
        <v>40588</v>
      </c>
      <c r="F1437" s="285"/>
    </row>
    <row r="1438" spans="1:6" ht="14.25" thickTop="1" thickBot="1">
      <c r="A1438" s="267" t="str">
        <f>C1441</f>
        <v>JONES RODRIGUES DE OLIVEIRA</v>
      </c>
      <c r="B1438" s="61" t="s">
        <v>2413</v>
      </c>
      <c r="C1438" s="60" t="s">
        <v>2998</v>
      </c>
      <c r="D1438" s="61">
        <v>143788</v>
      </c>
      <c r="E1438" s="62">
        <v>43535</v>
      </c>
      <c r="F1438" s="284"/>
    </row>
    <row r="1439" spans="1:6" ht="14.25" thickTop="1" thickBot="1">
      <c r="A1439" s="274" t="s">
        <v>2369</v>
      </c>
      <c r="B1439" s="68" t="s">
        <v>62</v>
      </c>
      <c r="C1439" s="64" t="s">
        <v>2999</v>
      </c>
      <c r="D1439" s="61">
        <v>101541</v>
      </c>
      <c r="E1439" s="62">
        <v>41789</v>
      </c>
      <c r="F1439" s="285"/>
    </row>
    <row r="1440" spans="1:6" ht="14.25" thickTop="1" thickBot="1">
      <c r="A1440" s="267" t="str">
        <f>C1442</f>
        <v>JONIELTON BARBOSA DE OLIVEIRA COSTA</v>
      </c>
      <c r="B1440" s="67" t="s">
        <v>1522</v>
      </c>
      <c r="C1440" s="192" t="s">
        <v>1627</v>
      </c>
      <c r="D1440" s="61">
        <v>90985</v>
      </c>
      <c r="E1440" s="62">
        <v>41576</v>
      </c>
      <c r="F1440" s="285"/>
    </row>
    <row r="1441" spans="1:256" s="190" customFormat="1" ht="14.25" thickTop="1" thickBot="1">
      <c r="A1441" s="269" t="s">
        <v>2857</v>
      </c>
      <c r="B1441" s="68" t="s">
        <v>1812</v>
      </c>
      <c r="C1441" s="66" t="s">
        <v>1751</v>
      </c>
      <c r="D1441" s="65">
        <v>10707</v>
      </c>
      <c r="E1441" s="62">
        <v>41323</v>
      </c>
      <c r="F1441" s="285"/>
      <c r="G1441" s="37"/>
      <c r="H1441" s="37"/>
      <c r="I1441" s="37"/>
      <c r="J1441" s="37"/>
      <c r="K1441" s="37"/>
      <c r="L1441" s="37"/>
      <c r="M1441" s="37"/>
      <c r="N1441" s="37"/>
      <c r="O1441" s="37"/>
      <c r="P1441" s="37"/>
      <c r="Q1441" s="37"/>
      <c r="R1441" s="37"/>
      <c r="S1441" s="37"/>
      <c r="T1441" s="37"/>
      <c r="U1441" s="37"/>
      <c r="V1441" s="37"/>
      <c r="W1441" s="37"/>
      <c r="X1441" s="37"/>
      <c r="Y1441" s="37"/>
      <c r="Z1441" s="37"/>
      <c r="AA1441" s="37"/>
      <c r="AB1441" s="37"/>
      <c r="AC1441" s="37"/>
      <c r="AD1441" s="37"/>
      <c r="AE1441" s="37"/>
      <c r="AF1441" s="37"/>
      <c r="AG1441" s="37"/>
      <c r="AH1441" s="37"/>
      <c r="AI1441" s="37"/>
      <c r="AJ1441" s="37"/>
      <c r="AK1441" s="37"/>
      <c r="AL1441" s="37"/>
      <c r="AM1441" s="37"/>
      <c r="AN1441" s="37"/>
      <c r="AO1441" s="37"/>
      <c r="AP1441" s="37"/>
      <c r="AQ1441" s="37"/>
      <c r="AR1441" s="37"/>
      <c r="AS1441" s="37"/>
      <c r="AT1441" s="37"/>
      <c r="AU1441" s="37"/>
      <c r="AV1441" s="37"/>
      <c r="AW1441" s="37"/>
      <c r="AX1441" s="37"/>
      <c r="AY1441" s="37"/>
      <c r="AZ1441" s="37"/>
      <c r="BA1441" s="37"/>
      <c r="BB1441" s="37"/>
      <c r="BC1441" s="37"/>
      <c r="BD1441" s="37"/>
      <c r="BE1441" s="37"/>
      <c r="BF1441" s="37"/>
      <c r="BG1441" s="37"/>
      <c r="BH1441" s="37"/>
      <c r="BI1441" s="37"/>
      <c r="BJ1441" s="37"/>
      <c r="BK1441" s="37"/>
      <c r="BL1441" s="37"/>
      <c r="BM1441" s="37"/>
      <c r="BN1441" s="37"/>
      <c r="BO1441" s="37"/>
      <c r="BP1441" s="37"/>
      <c r="BQ1441" s="37"/>
      <c r="BR1441" s="37"/>
      <c r="BS1441" s="37"/>
      <c r="BT1441" s="37"/>
      <c r="BU1441" s="37"/>
      <c r="BV1441" s="37"/>
      <c r="BW1441" s="37"/>
      <c r="BX1441" s="37"/>
      <c r="BY1441" s="37"/>
      <c r="BZ1441" s="37"/>
      <c r="CA1441" s="37"/>
      <c r="CB1441" s="37"/>
      <c r="CC1441" s="37"/>
      <c r="CD1441" s="37"/>
      <c r="CE1441" s="37"/>
      <c r="CF1441" s="37"/>
      <c r="CG1441" s="37"/>
      <c r="CH1441" s="37"/>
      <c r="CI1441" s="37"/>
      <c r="CJ1441" s="37"/>
      <c r="CK1441" s="37"/>
      <c r="CL1441" s="37"/>
      <c r="CM1441" s="37"/>
      <c r="CN1441" s="37"/>
      <c r="CO1441" s="37"/>
      <c r="CP1441" s="37"/>
      <c r="CQ1441" s="37"/>
      <c r="CR1441" s="37"/>
      <c r="CS1441" s="37"/>
      <c r="CT1441" s="37"/>
      <c r="CU1441" s="37"/>
      <c r="CV1441" s="37"/>
      <c r="CW1441" s="37"/>
      <c r="CX1441" s="37"/>
      <c r="CY1441" s="37"/>
      <c r="CZ1441" s="37"/>
      <c r="DA1441" s="37"/>
      <c r="DB1441" s="37"/>
      <c r="DC1441" s="37"/>
      <c r="DD1441" s="37"/>
      <c r="DE1441" s="37"/>
      <c r="DF1441" s="37"/>
      <c r="DG1441" s="37"/>
      <c r="DH1441" s="37"/>
      <c r="DI1441" s="37"/>
      <c r="DJ1441" s="37"/>
      <c r="DK1441" s="37"/>
      <c r="DL1441" s="37"/>
      <c r="DM1441" s="37"/>
      <c r="DN1441" s="37"/>
      <c r="DO1441" s="37"/>
      <c r="DP1441" s="37"/>
      <c r="DQ1441" s="37"/>
      <c r="DR1441" s="37"/>
      <c r="DS1441" s="37"/>
      <c r="DT1441" s="37"/>
      <c r="DU1441" s="37"/>
      <c r="DV1441" s="37"/>
      <c r="DW1441" s="37"/>
      <c r="DX1441" s="37"/>
      <c r="DY1441" s="37"/>
      <c r="DZ1441" s="37"/>
      <c r="EA1441" s="37"/>
      <c r="EB1441" s="37"/>
      <c r="EC1441" s="37"/>
      <c r="ED1441" s="37"/>
      <c r="EE1441" s="37"/>
      <c r="EF1441" s="37"/>
      <c r="EG1441" s="37"/>
      <c r="EH1441" s="37"/>
      <c r="EI1441" s="37"/>
      <c r="EJ1441" s="37"/>
      <c r="EK1441" s="37"/>
      <c r="EL1441" s="37"/>
      <c r="EM1441" s="37"/>
      <c r="EN1441" s="37"/>
      <c r="EO1441" s="37"/>
      <c r="EP1441" s="37"/>
      <c r="EQ1441" s="37"/>
      <c r="ER1441" s="37"/>
      <c r="ES1441" s="37"/>
      <c r="ET1441" s="37"/>
      <c r="EU1441" s="37"/>
      <c r="EV1441" s="37"/>
      <c r="EW1441" s="37"/>
      <c r="EX1441" s="37"/>
      <c r="EY1441" s="37"/>
      <c r="EZ1441" s="37"/>
      <c r="FA1441" s="37"/>
      <c r="FB1441" s="37"/>
      <c r="FC1441" s="37"/>
      <c r="FD1441" s="37"/>
      <c r="FE1441" s="37"/>
      <c r="FF1441" s="37"/>
      <c r="FG1441" s="37"/>
      <c r="FH1441" s="37"/>
      <c r="FI1441" s="37"/>
      <c r="FJ1441" s="37"/>
      <c r="FK1441" s="37"/>
      <c r="FL1441" s="37"/>
      <c r="FM1441" s="37"/>
      <c r="FN1441" s="37"/>
      <c r="FO1441" s="37"/>
      <c r="FP1441" s="37"/>
      <c r="FQ1441" s="37"/>
      <c r="FR1441" s="37"/>
      <c r="FS1441" s="37"/>
      <c r="FT1441" s="37"/>
      <c r="FU1441" s="37"/>
      <c r="FV1441" s="37"/>
      <c r="FW1441" s="37"/>
      <c r="FX1441" s="37"/>
      <c r="FY1441" s="37"/>
      <c r="FZ1441" s="37"/>
      <c r="GA1441" s="37"/>
      <c r="GB1441" s="37"/>
      <c r="GC1441" s="37"/>
      <c r="GD1441" s="37"/>
      <c r="GE1441" s="37"/>
      <c r="GF1441" s="37"/>
      <c r="GG1441" s="37"/>
      <c r="GH1441" s="37"/>
      <c r="GI1441" s="37"/>
      <c r="GJ1441" s="37"/>
      <c r="GK1441" s="37"/>
      <c r="GL1441" s="37"/>
      <c r="GM1441" s="37"/>
      <c r="GN1441" s="37"/>
      <c r="GO1441" s="37"/>
      <c r="GP1441" s="37"/>
      <c r="GQ1441" s="37"/>
      <c r="GR1441" s="37"/>
      <c r="GS1441" s="37"/>
      <c r="GT1441" s="37"/>
      <c r="GU1441" s="37"/>
      <c r="GV1441" s="37"/>
      <c r="GW1441" s="37"/>
      <c r="GX1441" s="37"/>
      <c r="GY1441" s="37"/>
      <c r="GZ1441" s="37"/>
      <c r="HA1441" s="37"/>
      <c r="HB1441" s="37"/>
      <c r="HC1441" s="37"/>
      <c r="HD1441" s="37"/>
      <c r="HE1441" s="37"/>
      <c r="HF1441" s="37"/>
      <c r="HG1441" s="37"/>
      <c r="HH1441" s="37"/>
      <c r="HI1441" s="37"/>
      <c r="HJ1441" s="37"/>
      <c r="HK1441" s="37"/>
      <c r="HL1441" s="37"/>
      <c r="HM1441" s="37"/>
      <c r="HN1441" s="37"/>
      <c r="HO1441" s="37"/>
      <c r="HP1441" s="37"/>
      <c r="HQ1441" s="37"/>
      <c r="HR1441" s="37"/>
      <c r="HS1441" s="37"/>
      <c r="HT1441" s="37"/>
      <c r="HU1441" s="37"/>
      <c r="HV1441" s="37"/>
      <c r="HW1441" s="37"/>
      <c r="HX1441" s="37"/>
      <c r="HY1441" s="37"/>
      <c r="HZ1441" s="37"/>
      <c r="IA1441" s="37"/>
      <c r="IB1441" s="37"/>
      <c r="IC1441" s="37"/>
      <c r="ID1441" s="37"/>
      <c r="IE1441" s="37"/>
      <c r="IF1441" s="37"/>
      <c r="IG1441" s="37"/>
      <c r="IH1441" s="37"/>
      <c r="II1441" s="37"/>
      <c r="IJ1441" s="37"/>
      <c r="IK1441" s="37"/>
      <c r="IL1441" s="37"/>
      <c r="IM1441" s="37"/>
      <c r="IN1441" s="37"/>
      <c r="IO1441" s="37"/>
      <c r="IP1441" s="37"/>
      <c r="IQ1441" s="37"/>
      <c r="IR1441" s="37"/>
      <c r="IS1441" s="37"/>
      <c r="IT1441" s="37"/>
      <c r="IU1441" s="37"/>
      <c r="IV1441" s="37"/>
    </row>
    <row r="1442" spans="1:256" ht="14.25" thickTop="1" thickBot="1">
      <c r="A1442" s="267" t="str">
        <f>C1445</f>
        <v>JONNY RIBEIRO DE FREITAS</v>
      </c>
      <c r="B1442" s="68" t="s">
        <v>2413</v>
      </c>
      <c r="C1442" s="192" t="s">
        <v>2857</v>
      </c>
      <c r="D1442" s="61">
        <v>170526</v>
      </c>
      <c r="E1442" s="70">
        <v>43818</v>
      </c>
      <c r="F1442" s="287"/>
    </row>
    <row r="1443" spans="1:256" ht="14.25" thickTop="1" thickBot="1">
      <c r="A1443" s="267" t="str">
        <f>C1446</f>
        <v>JORGE AUGUSTO PEREIRA GREGOSKI</v>
      </c>
      <c r="B1443" s="68" t="s">
        <v>1812</v>
      </c>
      <c r="C1443" s="66" t="s">
        <v>1362</v>
      </c>
      <c r="D1443" s="65"/>
      <c r="E1443" s="62">
        <v>43343</v>
      </c>
      <c r="F1443" s="289"/>
    </row>
    <row r="1444" spans="1:256" ht="14.25" thickTop="1" thickBot="1">
      <c r="A1444" s="267" t="str">
        <f>C1446</f>
        <v>JORGE AUGUSTO PEREIRA GREGOSKI</v>
      </c>
      <c r="B1444" s="68" t="s">
        <v>62</v>
      </c>
      <c r="C1444" s="64" t="s">
        <v>1935</v>
      </c>
      <c r="D1444" s="61">
        <v>101313</v>
      </c>
      <c r="E1444" s="62">
        <v>40659</v>
      </c>
      <c r="F1444" s="285"/>
    </row>
    <row r="1445" spans="1:256" ht="14.25" thickTop="1" thickBot="1">
      <c r="A1445" s="267" t="str">
        <f>C1447</f>
        <v>JORGE AUGUSTO PEREIRA GREZOSKI</v>
      </c>
      <c r="B1445" s="68" t="s">
        <v>62</v>
      </c>
      <c r="C1445" s="77" t="s">
        <v>1686</v>
      </c>
      <c r="D1445" s="61">
        <v>63109</v>
      </c>
      <c r="E1445" s="62">
        <v>40231</v>
      </c>
      <c r="F1445" s="285"/>
    </row>
    <row r="1446" spans="1:256" ht="14.25" thickTop="1" thickBot="1">
      <c r="A1446" s="267" t="str">
        <f>C1448</f>
        <v xml:space="preserve">JORGE DE ANDRADE </v>
      </c>
      <c r="B1446" s="68" t="s">
        <v>62</v>
      </c>
      <c r="C1446" s="114" t="s">
        <v>1120</v>
      </c>
      <c r="D1446" s="67"/>
      <c r="E1446" s="62">
        <v>42984</v>
      </c>
      <c r="F1446" s="285"/>
    </row>
    <row r="1447" spans="1:256" ht="14.25" thickTop="1" thickBot="1">
      <c r="A1447" s="267" t="str">
        <f>C1449</f>
        <v>JORGE JOSIAS ALMEIDA</v>
      </c>
      <c r="B1447" s="68" t="s">
        <v>2413</v>
      </c>
      <c r="C1447" s="66" t="s">
        <v>2545</v>
      </c>
      <c r="D1447" s="61">
        <v>101313</v>
      </c>
      <c r="E1447" s="62">
        <v>44062</v>
      </c>
      <c r="F1447" s="285"/>
    </row>
    <row r="1448" spans="1:256" ht="14.25" thickTop="1" thickBot="1">
      <c r="A1448" s="277" t="s">
        <v>292</v>
      </c>
      <c r="B1448" s="68" t="s">
        <v>2202</v>
      </c>
      <c r="C1448" s="64" t="s">
        <v>342</v>
      </c>
      <c r="D1448" s="61">
        <v>18556</v>
      </c>
      <c r="E1448" s="62">
        <v>42486</v>
      </c>
      <c r="F1448" s="285"/>
    </row>
    <row r="1449" spans="1:256" ht="14.25" thickTop="1" thickBot="1">
      <c r="A1449" s="267" t="str">
        <f>C1452</f>
        <v>JORGE LUIZ DIOGO JUNIOR</v>
      </c>
      <c r="B1449" s="68" t="s">
        <v>1812</v>
      </c>
      <c r="C1449" s="60" t="s">
        <v>2439</v>
      </c>
      <c r="D1449" s="61">
        <v>113233</v>
      </c>
      <c r="E1449" s="62">
        <v>44032</v>
      </c>
      <c r="F1449" s="285"/>
      <c r="G1449" s="190"/>
      <c r="H1449" s="190"/>
      <c r="I1449" s="190"/>
      <c r="J1449" s="190"/>
      <c r="K1449" s="190"/>
      <c r="L1449" s="190"/>
      <c r="M1449" s="190"/>
      <c r="N1449" s="190"/>
      <c r="O1449" s="190"/>
      <c r="P1449" s="190"/>
      <c r="Q1449" s="190"/>
      <c r="R1449" s="190"/>
      <c r="S1449" s="190"/>
      <c r="T1449" s="190"/>
      <c r="U1449" s="190"/>
      <c r="V1449" s="190"/>
      <c r="W1449" s="190"/>
      <c r="X1449" s="190"/>
      <c r="Y1449" s="190"/>
      <c r="Z1449" s="190"/>
      <c r="AA1449" s="190"/>
      <c r="AB1449" s="190"/>
      <c r="AC1449" s="190"/>
      <c r="AD1449" s="190"/>
      <c r="AE1449" s="190"/>
      <c r="AF1449" s="190"/>
      <c r="AG1449" s="190"/>
      <c r="AH1449" s="190"/>
      <c r="AI1449" s="190"/>
      <c r="AJ1449" s="190"/>
      <c r="AK1449" s="190"/>
      <c r="AL1449" s="190"/>
      <c r="AM1449" s="190"/>
      <c r="AN1449" s="190"/>
      <c r="AO1449" s="190"/>
      <c r="AP1449" s="190"/>
      <c r="AQ1449" s="190"/>
      <c r="AR1449" s="190"/>
      <c r="AS1449" s="190"/>
      <c r="AT1449" s="190"/>
      <c r="AU1449" s="190"/>
      <c r="AV1449" s="190"/>
      <c r="AW1449" s="190"/>
      <c r="AX1449" s="190"/>
      <c r="AY1449" s="190"/>
      <c r="AZ1449" s="190"/>
      <c r="BA1449" s="190"/>
      <c r="BB1449" s="190"/>
      <c r="BC1449" s="190"/>
      <c r="BD1449" s="190"/>
      <c r="BE1449" s="190"/>
      <c r="BF1449" s="190"/>
      <c r="BG1449" s="190"/>
      <c r="BH1449" s="190"/>
      <c r="BI1449" s="190"/>
      <c r="BJ1449" s="190"/>
      <c r="BK1449" s="190"/>
      <c r="BL1449" s="190"/>
      <c r="BM1449" s="190"/>
      <c r="BN1449" s="190"/>
      <c r="BO1449" s="190"/>
      <c r="BP1449" s="190"/>
      <c r="BQ1449" s="190"/>
      <c r="BR1449" s="190"/>
      <c r="BS1449" s="190"/>
      <c r="BT1449" s="190"/>
      <c r="BU1449" s="190"/>
      <c r="BV1449" s="190"/>
      <c r="BW1449" s="190"/>
      <c r="BX1449" s="190"/>
      <c r="BY1449" s="190"/>
      <c r="BZ1449" s="190"/>
      <c r="CA1449" s="190"/>
      <c r="CB1449" s="190"/>
      <c r="CC1449" s="190"/>
      <c r="CD1449" s="190"/>
      <c r="CE1449" s="190"/>
      <c r="CF1449" s="190"/>
      <c r="CG1449" s="190"/>
      <c r="CH1449" s="190"/>
      <c r="CI1449" s="190"/>
      <c r="CJ1449" s="190"/>
      <c r="CK1449" s="190"/>
      <c r="CL1449" s="190"/>
      <c r="CM1449" s="190"/>
      <c r="CN1449" s="190"/>
      <c r="CO1449" s="190"/>
      <c r="CP1449" s="190"/>
      <c r="CQ1449" s="190"/>
      <c r="CR1449" s="190"/>
      <c r="CS1449" s="190"/>
      <c r="CT1449" s="190"/>
      <c r="CU1449" s="190"/>
      <c r="CV1449" s="190"/>
      <c r="CW1449" s="190"/>
      <c r="CX1449" s="190"/>
      <c r="CY1449" s="190"/>
      <c r="CZ1449" s="190"/>
      <c r="DA1449" s="190"/>
      <c r="DB1449" s="190"/>
      <c r="DC1449" s="190"/>
      <c r="DD1449" s="190"/>
      <c r="DE1449" s="190"/>
      <c r="DF1449" s="190"/>
      <c r="DG1449" s="190"/>
      <c r="DH1449" s="190"/>
      <c r="DI1449" s="190"/>
      <c r="DJ1449" s="190"/>
      <c r="DK1449" s="190"/>
      <c r="DL1449" s="190"/>
      <c r="DM1449" s="190"/>
      <c r="DN1449" s="190"/>
      <c r="DO1449" s="190"/>
      <c r="DP1449" s="190"/>
      <c r="DQ1449" s="190"/>
      <c r="DR1449" s="190"/>
      <c r="DS1449" s="190"/>
      <c r="DT1449" s="190"/>
      <c r="DU1449" s="190"/>
      <c r="DV1449" s="190"/>
      <c r="DW1449" s="190"/>
      <c r="DX1449" s="190"/>
      <c r="DY1449" s="190"/>
      <c r="DZ1449" s="190"/>
      <c r="EA1449" s="190"/>
      <c r="EB1449" s="190"/>
      <c r="EC1449" s="190"/>
      <c r="ED1449" s="190"/>
      <c r="EE1449" s="190"/>
      <c r="EF1449" s="190"/>
      <c r="EG1449" s="190"/>
      <c r="EH1449" s="190"/>
      <c r="EI1449" s="190"/>
      <c r="EJ1449" s="190"/>
      <c r="EK1449" s="190"/>
      <c r="EL1449" s="190"/>
      <c r="EM1449" s="190"/>
      <c r="EN1449" s="190"/>
      <c r="EO1449" s="190"/>
      <c r="EP1449" s="190"/>
      <c r="EQ1449" s="190"/>
      <c r="ER1449" s="190"/>
      <c r="ES1449" s="190"/>
      <c r="ET1449" s="190"/>
      <c r="EU1449" s="190"/>
      <c r="EV1449" s="190"/>
      <c r="EW1449" s="190"/>
      <c r="EX1449" s="190"/>
      <c r="EY1449" s="190"/>
      <c r="EZ1449" s="190"/>
      <c r="FA1449" s="190"/>
      <c r="FB1449" s="190"/>
      <c r="FC1449" s="190"/>
      <c r="FD1449" s="190"/>
      <c r="FE1449" s="190"/>
      <c r="FF1449" s="190"/>
      <c r="FG1449" s="190"/>
      <c r="FH1449" s="190"/>
      <c r="FI1449" s="190"/>
      <c r="FJ1449" s="190"/>
      <c r="FK1449" s="190"/>
      <c r="FL1449" s="190"/>
      <c r="FM1449" s="190"/>
      <c r="FN1449" s="190"/>
      <c r="FO1449" s="190"/>
      <c r="FP1449" s="190"/>
      <c r="FQ1449" s="190"/>
      <c r="FR1449" s="190"/>
      <c r="FS1449" s="190"/>
      <c r="FT1449" s="190"/>
      <c r="FU1449" s="190"/>
      <c r="FV1449" s="190"/>
      <c r="FW1449" s="190"/>
      <c r="FX1449" s="190"/>
      <c r="FY1449" s="190"/>
      <c r="FZ1449" s="190"/>
      <c r="GA1449" s="190"/>
      <c r="GB1449" s="190"/>
      <c r="GC1449" s="190"/>
      <c r="GD1449" s="190"/>
      <c r="GE1449" s="190"/>
      <c r="GF1449" s="190"/>
      <c r="GG1449" s="190"/>
      <c r="GH1449" s="190"/>
      <c r="GI1449" s="190"/>
      <c r="GJ1449" s="190"/>
      <c r="GK1449" s="190"/>
      <c r="GL1449" s="190"/>
      <c r="GM1449" s="190"/>
      <c r="GN1449" s="190"/>
      <c r="GO1449" s="190"/>
      <c r="GP1449" s="190"/>
      <c r="GQ1449" s="190"/>
      <c r="GR1449" s="190"/>
      <c r="GS1449" s="190"/>
      <c r="GT1449" s="190"/>
      <c r="GU1449" s="190"/>
      <c r="GV1449" s="190"/>
      <c r="GW1449" s="190"/>
      <c r="GX1449" s="190"/>
      <c r="GY1449" s="190"/>
      <c r="GZ1449" s="190"/>
      <c r="HA1449" s="190"/>
      <c r="HB1449" s="190"/>
      <c r="HC1449" s="190"/>
      <c r="HD1449" s="190"/>
      <c r="HE1449" s="190"/>
      <c r="HF1449" s="190"/>
      <c r="HG1449" s="190"/>
      <c r="HH1449" s="190"/>
      <c r="HI1449" s="190"/>
      <c r="HJ1449" s="190"/>
      <c r="HK1449" s="190"/>
      <c r="HL1449" s="190"/>
      <c r="HM1449" s="190"/>
      <c r="HN1449" s="190"/>
      <c r="HO1449" s="190"/>
      <c r="HP1449" s="190"/>
      <c r="HQ1449" s="190"/>
      <c r="HR1449" s="190"/>
      <c r="HS1449" s="190"/>
      <c r="HT1449" s="190"/>
      <c r="HU1449" s="190"/>
      <c r="HV1449" s="190"/>
      <c r="HW1449" s="190"/>
      <c r="HX1449" s="190"/>
      <c r="HY1449" s="190"/>
      <c r="HZ1449" s="190"/>
      <c r="IA1449" s="190"/>
      <c r="IB1449" s="190"/>
      <c r="IC1449" s="190"/>
      <c r="ID1449" s="190"/>
      <c r="IE1449" s="190"/>
      <c r="IF1449" s="190"/>
      <c r="IG1449" s="190"/>
      <c r="IH1449" s="190"/>
      <c r="II1449" s="190"/>
      <c r="IJ1449" s="190"/>
      <c r="IK1449" s="190"/>
      <c r="IL1449" s="190"/>
      <c r="IM1449" s="190"/>
      <c r="IN1449" s="190"/>
      <c r="IO1449" s="190"/>
      <c r="IP1449" s="190"/>
      <c r="IQ1449" s="190"/>
      <c r="IR1449" s="190"/>
      <c r="IS1449" s="190"/>
      <c r="IT1449" s="190"/>
      <c r="IU1449" s="190"/>
      <c r="IV1449" s="190"/>
    </row>
    <row r="1450" spans="1:256" ht="14.25" thickTop="1" thickBot="1">
      <c r="A1450" s="267"/>
      <c r="B1450" s="68" t="s">
        <v>2593</v>
      </c>
      <c r="C1450" s="66" t="s">
        <v>3000</v>
      </c>
      <c r="D1450" s="61">
        <v>121126</v>
      </c>
      <c r="E1450" s="62">
        <v>43524</v>
      </c>
      <c r="F1450" s="285"/>
    </row>
    <row r="1451" spans="1:256" ht="14.25" thickTop="1" thickBot="1">
      <c r="A1451" s="267"/>
      <c r="B1451" s="68" t="s">
        <v>2413</v>
      </c>
      <c r="C1451" s="347" t="s">
        <v>2309</v>
      </c>
      <c r="D1451" s="61">
        <v>127164</v>
      </c>
      <c r="E1451" s="70">
        <v>43847</v>
      </c>
      <c r="F1451" s="284"/>
    </row>
    <row r="1452" spans="1:256" ht="14.25" thickTop="1" thickBot="1">
      <c r="A1452" s="267" t="str">
        <f>C1454</f>
        <v>JORGE LUIZ DOS SANTOS</v>
      </c>
      <c r="B1452" s="68" t="s">
        <v>62</v>
      </c>
      <c r="C1452" s="66" t="s">
        <v>2100</v>
      </c>
      <c r="D1452" s="69">
        <v>63397</v>
      </c>
      <c r="E1452" s="62">
        <v>40032</v>
      </c>
      <c r="F1452" s="285"/>
    </row>
    <row r="1453" spans="1:256" ht="14.25" thickTop="1" thickBot="1">
      <c r="A1453" s="267"/>
      <c r="B1453" s="68" t="s">
        <v>2406</v>
      </c>
      <c r="C1453" s="347" t="s">
        <v>2100</v>
      </c>
      <c r="D1453" s="61">
        <v>121126</v>
      </c>
      <c r="E1453" s="70">
        <v>43867</v>
      </c>
      <c r="F1453" s="284"/>
    </row>
    <row r="1454" spans="1:256" ht="14.25" thickTop="1" thickBot="1">
      <c r="A1454" s="267" t="str">
        <f>C1457</f>
        <v>JOSAFAT POIT</v>
      </c>
      <c r="B1454" s="68" t="s">
        <v>1306</v>
      </c>
      <c r="C1454" s="225" t="s">
        <v>292</v>
      </c>
      <c r="D1454" s="61">
        <v>101918</v>
      </c>
      <c r="E1454" s="62">
        <v>40844</v>
      </c>
      <c r="F1454" s="285"/>
    </row>
    <row r="1455" spans="1:256" ht="14.25" thickTop="1" thickBot="1">
      <c r="A1455" s="267" t="str">
        <f>C1460</f>
        <v>JOSÉ ADEMIR DE SOUZA</v>
      </c>
      <c r="B1455" s="68" t="s">
        <v>62</v>
      </c>
      <c r="C1455" s="66" t="s">
        <v>3001</v>
      </c>
      <c r="D1455" s="88">
        <v>3408</v>
      </c>
      <c r="E1455" s="62">
        <v>40704</v>
      </c>
      <c r="F1455" s="285"/>
    </row>
    <row r="1456" spans="1:256" ht="14.25" thickTop="1" thickBot="1">
      <c r="A1456" s="267" t="s">
        <v>2635</v>
      </c>
      <c r="B1456" s="68" t="s">
        <v>98</v>
      </c>
      <c r="C1456" s="78" t="s">
        <v>135</v>
      </c>
      <c r="D1456" s="67"/>
      <c r="E1456" s="62">
        <v>41095</v>
      </c>
      <c r="F1456" s="285"/>
    </row>
    <row r="1457" spans="1:256" s="189" customFormat="1" ht="12.75" customHeight="1" thickTop="1" thickBot="1">
      <c r="A1457" s="267" t="str">
        <f>C1461</f>
        <v>JOSE ADEMIR DOS REIS    (Milo)</v>
      </c>
      <c r="B1457" s="68" t="s">
        <v>2413</v>
      </c>
      <c r="C1457" s="66" t="s">
        <v>1406</v>
      </c>
      <c r="D1457" s="65">
        <v>27225</v>
      </c>
      <c r="E1457" s="62"/>
      <c r="F1457" s="285"/>
      <c r="G1457" s="37"/>
      <c r="H1457" s="37"/>
      <c r="I1457" s="37"/>
      <c r="J1457" s="37"/>
      <c r="K1457" s="37"/>
      <c r="L1457" s="37"/>
      <c r="M1457" s="37"/>
      <c r="N1457" s="37"/>
      <c r="O1457" s="37"/>
      <c r="P1457" s="37"/>
      <c r="Q1457" s="37"/>
      <c r="R1457" s="37"/>
      <c r="S1457" s="37"/>
      <c r="T1457" s="37"/>
      <c r="U1457" s="37"/>
      <c r="V1457" s="37"/>
      <c r="W1457" s="37"/>
      <c r="X1457" s="37"/>
      <c r="Y1457" s="37"/>
      <c r="Z1457" s="37"/>
      <c r="AA1457" s="37"/>
      <c r="AB1457" s="37"/>
      <c r="AC1457" s="37"/>
      <c r="AD1457" s="37"/>
      <c r="AE1457" s="37"/>
      <c r="AF1457" s="37"/>
      <c r="AG1457" s="37"/>
      <c r="AH1457" s="37"/>
      <c r="AI1457" s="37"/>
      <c r="AJ1457" s="37"/>
      <c r="AK1457" s="37"/>
      <c r="AL1457" s="37"/>
      <c r="AM1457" s="37"/>
      <c r="AN1457" s="37"/>
      <c r="AO1457" s="37"/>
      <c r="AP1457" s="37"/>
      <c r="AQ1457" s="37"/>
      <c r="AR1457" s="37"/>
      <c r="AS1457" s="37"/>
      <c r="AT1457" s="37"/>
      <c r="AU1457" s="37"/>
      <c r="AV1457" s="37"/>
      <c r="AW1457" s="37"/>
      <c r="AX1457" s="37"/>
      <c r="AY1457" s="37"/>
      <c r="AZ1457" s="37"/>
      <c r="BA1457" s="37"/>
      <c r="BB1457" s="37"/>
      <c r="BC1457" s="37"/>
      <c r="BD1457" s="37"/>
      <c r="BE1457" s="37"/>
      <c r="BF1457" s="37"/>
      <c r="BG1457" s="37"/>
      <c r="BH1457" s="37"/>
      <c r="BI1457" s="37"/>
      <c r="BJ1457" s="37"/>
      <c r="BK1457" s="37"/>
      <c r="BL1457" s="37"/>
      <c r="BM1457" s="37"/>
      <c r="BN1457" s="37"/>
      <c r="BO1457" s="37"/>
      <c r="BP1457" s="37"/>
      <c r="BQ1457" s="37"/>
      <c r="BR1457" s="37"/>
      <c r="BS1457" s="37"/>
      <c r="BT1457" s="37"/>
      <c r="BU1457" s="37"/>
      <c r="BV1457" s="37"/>
      <c r="BW1457" s="37"/>
      <c r="BX1457" s="37"/>
      <c r="BY1457" s="37"/>
      <c r="BZ1457" s="37"/>
      <c r="CA1457" s="37"/>
      <c r="CB1457" s="37"/>
      <c r="CC1457" s="37"/>
      <c r="CD1457" s="37"/>
      <c r="CE1457" s="37"/>
      <c r="CF1457" s="37"/>
      <c r="CG1457" s="37"/>
      <c r="CH1457" s="37"/>
      <c r="CI1457" s="37"/>
      <c r="CJ1457" s="37"/>
      <c r="CK1457" s="37"/>
      <c r="CL1457" s="37"/>
      <c r="CM1457" s="37"/>
      <c r="CN1457" s="37"/>
      <c r="CO1457" s="37"/>
      <c r="CP1457" s="37"/>
      <c r="CQ1457" s="37"/>
      <c r="CR1457" s="37"/>
      <c r="CS1457" s="37"/>
      <c r="CT1457" s="37"/>
      <c r="CU1457" s="37"/>
      <c r="CV1457" s="37"/>
      <c r="CW1457" s="37"/>
      <c r="CX1457" s="37"/>
      <c r="CY1457" s="37"/>
      <c r="CZ1457" s="37"/>
      <c r="DA1457" s="37"/>
      <c r="DB1457" s="37"/>
      <c r="DC1457" s="37"/>
      <c r="DD1457" s="37"/>
      <c r="DE1457" s="37"/>
      <c r="DF1457" s="37"/>
      <c r="DG1457" s="37"/>
      <c r="DH1457" s="37"/>
      <c r="DI1457" s="37"/>
      <c r="DJ1457" s="37"/>
      <c r="DK1457" s="37"/>
      <c r="DL1457" s="37"/>
      <c r="DM1457" s="37"/>
      <c r="DN1457" s="37"/>
      <c r="DO1457" s="37"/>
      <c r="DP1457" s="37"/>
      <c r="DQ1457" s="37"/>
      <c r="DR1457" s="37"/>
      <c r="DS1457" s="37"/>
      <c r="DT1457" s="37"/>
      <c r="DU1457" s="37"/>
      <c r="DV1457" s="37"/>
      <c r="DW1457" s="37"/>
      <c r="DX1457" s="37"/>
      <c r="DY1457" s="37"/>
      <c r="DZ1457" s="37"/>
      <c r="EA1457" s="37"/>
      <c r="EB1457" s="37"/>
      <c r="EC1457" s="37"/>
      <c r="ED1457" s="37"/>
      <c r="EE1457" s="37"/>
      <c r="EF1457" s="37"/>
      <c r="EG1457" s="37"/>
      <c r="EH1457" s="37"/>
      <c r="EI1457" s="37"/>
      <c r="EJ1457" s="37"/>
      <c r="EK1457" s="37"/>
      <c r="EL1457" s="37"/>
      <c r="EM1457" s="37"/>
      <c r="EN1457" s="37"/>
      <c r="EO1457" s="37"/>
      <c r="EP1457" s="37"/>
      <c r="EQ1457" s="37"/>
      <c r="ER1457" s="37"/>
      <c r="ES1457" s="37"/>
      <c r="ET1457" s="37"/>
      <c r="EU1457" s="37"/>
      <c r="EV1457" s="37"/>
      <c r="EW1457" s="37"/>
      <c r="EX1457" s="37"/>
      <c r="EY1457" s="37"/>
      <c r="EZ1457" s="37"/>
      <c r="FA1457" s="37"/>
      <c r="FB1457" s="37"/>
      <c r="FC1457" s="37"/>
      <c r="FD1457" s="37"/>
      <c r="FE1457" s="37"/>
      <c r="FF1457" s="37"/>
      <c r="FG1457" s="37"/>
      <c r="FH1457" s="37"/>
      <c r="FI1457" s="37"/>
      <c r="FJ1457" s="37"/>
      <c r="FK1457" s="37"/>
      <c r="FL1457" s="37"/>
      <c r="FM1457" s="37"/>
      <c r="FN1457" s="37"/>
      <c r="FO1457" s="37"/>
      <c r="FP1457" s="37"/>
      <c r="FQ1457" s="37"/>
      <c r="FR1457" s="37"/>
      <c r="FS1457" s="37"/>
      <c r="FT1457" s="37"/>
      <c r="FU1457" s="37"/>
      <c r="FV1457" s="37"/>
      <c r="FW1457" s="37"/>
      <c r="FX1457" s="37"/>
      <c r="FY1457" s="37"/>
      <c r="FZ1457" s="37"/>
      <c r="GA1457" s="37"/>
      <c r="GB1457" s="37"/>
      <c r="GC1457" s="37"/>
      <c r="GD1457" s="37"/>
      <c r="GE1457" s="37"/>
      <c r="GF1457" s="37"/>
      <c r="GG1457" s="37"/>
      <c r="GH1457" s="37"/>
      <c r="GI1457" s="37"/>
      <c r="GJ1457" s="37"/>
      <c r="GK1457" s="37"/>
      <c r="GL1457" s="37"/>
      <c r="GM1457" s="37"/>
      <c r="GN1457" s="37"/>
      <c r="GO1457" s="37"/>
      <c r="GP1457" s="37"/>
      <c r="GQ1457" s="37"/>
      <c r="GR1457" s="37"/>
      <c r="GS1457" s="37"/>
      <c r="GT1457" s="37"/>
      <c r="GU1457" s="37"/>
      <c r="GV1457" s="37"/>
      <c r="GW1457" s="37"/>
      <c r="GX1457" s="37"/>
      <c r="GY1457" s="37"/>
      <c r="GZ1457" s="37"/>
      <c r="HA1457" s="37"/>
      <c r="HB1457" s="37"/>
      <c r="HC1457" s="37"/>
      <c r="HD1457" s="37"/>
      <c r="HE1457" s="37"/>
      <c r="HF1457" s="37"/>
      <c r="HG1457" s="37"/>
      <c r="HH1457" s="37"/>
      <c r="HI1457" s="37"/>
      <c r="HJ1457" s="37"/>
      <c r="HK1457" s="37"/>
      <c r="HL1457" s="37"/>
      <c r="HM1457" s="37"/>
      <c r="HN1457" s="37"/>
      <c r="HO1457" s="37"/>
      <c r="HP1457" s="37"/>
      <c r="HQ1457" s="37"/>
      <c r="HR1457" s="37"/>
      <c r="HS1457" s="37"/>
      <c r="HT1457" s="37"/>
      <c r="HU1457" s="37"/>
      <c r="HV1457" s="37"/>
      <c r="HW1457" s="37"/>
      <c r="HX1457" s="37"/>
      <c r="HY1457" s="37"/>
      <c r="HZ1457" s="37"/>
      <c r="IA1457" s="37"/>
      <c r="IB1457" s="37"/>
      <c r="IC1457" s="37"/>
      <c r="ID1457" s="37"/>
      <c r="IE1457" s="37"/>
      <c r="IF1457" s="37"/>
      <c r="IG1457" s="37"/>
      <c r="IH1457" s="37"/>
      <c r="II1457" s="37"/>
      <c r="IJ1457" s="37"/>
      <c r="IK1457" s="37"/>
      <c r="IL1457" s="37"/>
      <c r="IM1457" s="37"/>
      <c r="IN1457" s="37"/>
      <c r="IO1457" s="37"/>
      <c r="IP1457" s="37"/>
      <c r="IQ1457" s="37"/>
      <c r="IR1457" s="37"/>
      <c r="IS1457" s="37"/>
      <c r="IT1457" s="37"/>
      <c r="IU1457" s="37"/>
      <c r="IV1457" s="37"/>
    </row>
    <row r="1458" spans="1:256" ht="14.25" thickTop="1" thickBot="1">
      <c r="A1458" s="267" t="str">
        <f t="shared" ref="A1458:A1463" si="63">C1460</f>
        <v>JOSÉ ADEMIR DE SOUZA</v>
      </c>
      <c r="B1458" s="68" t="s">
        <v>62</v>
      </c>
      <c r="C1458" s="66" t="s">
        <v>1504</v>
      </c>
      <c r="D1458" s="65">
        <v>63794</v>
      </c>
      <c r="E1458" s="70">
        <v>42326</v>
      </c>
      <c r="F1458" s="284"/>
    </row>
    <row r="1459" spans="1:256" ht="14.25" thickTop="1" thickBot="1">
      <c r="A1459" s="267" t="str">
        <f t="shared" si="63"/>
        <v>JOSE ADEMIR DOS REIS    (Milo)</v>
      </c>
      <c r="B1459" s="68" t="s">
        <v>62</v>
      </c>
      <c r="C1459" s="64" t="s">
        <v>2635</v>
      </c>
      <c r="D1459" s="65">
        <v>121674</v>
      </c>
      <c r="E1459" s="62">
        <v>42921</v>
      </c>
      <c r="F1459" s="285"/>
    </row>
    <row r="1460" spans="1:256" ht="14.25" thickTop="1" thickBot="1">
      <c r="A1460" s="267" t="str">
        <f t="shared" si="63"/>
        <v>JOSE ADEMIR SCHIMIT</v>
      </c>
      <c r="B1460" s="68" t="s">
        <v>62</v>
      </c>
      <c r="C1460" s="66" t="s">
        <v>695</v>
      </c>
      <c r="D1460" s="69">
        <v>51043</v>
      </c>
      <c r="E1460" s="62">
        <v>41582</v>
      </c>
      <c r="F1460" s="285"/>
    </row>
    <row r="1461" spans="1:256" ht="14.25" thickTop="1" thickBot="1">
      <c r="A1461" s="267" t="str">
        <f t="shared" si="63"/>
        <v>JOSE ADILSON SALDANHA    (Assinatura / Gordinho)</v>
      </c>
      <c r="B1461" s="67" t="s">
        <v>3366</v>
      </c>
      <c r="C1461" s="66" t="s">
        <v>3002</v>
      </c>
      <c r="D1461" s="61">
        <v>27308</v>
      </c>
      <c r="E1461" s="62">
        <v>41290</v>
      </c>
      <c r="F1461" s="285"/>
    </row>
    <row r="1462" spans="1:256" ht="14.25" thickTop="1" thickBot="1">
      <c r="A1462" s="267" t="str">
        <f t="shared" si="63"/>
        <v>JOSE ADILSON VIDAL</v>
      </c>
      <c r="B1462" s="68" t="s">
        <v>62</v>
      </c>
      <c r="C1462" s="66" t="s">
        <v>970</v>
      </c>
      <c r="D1462" s="69">
        <v>67554</v>
      </c>
      <c r="E1462" s="62">
        <v>40590</v>
      </c>
      <c r="F1462" s="285"/>
    </row>
    <row r="1463" spans="1:256" ht="14.25" thickTop="1" thickBot="1">
      <c r="A1463" s="267" t="str">
        <f t="shared" si="63"/>
        <v>JOSE ADMILSON PAVILAKI</v>
      </c>
      <c r="B1463" s="68" t="s">
        <v>62</v>
      </c>
      <c r="C1463" s="66" t="s">
        <v>3003</v>
      </c>
      <c r="D1463" s="65">
        <v>27054</v>
      </c>
      <c r="E1463" s="62">
        <v>42557</v>
      </c>
      <c r="F1463" s="286" t="s">
        <v>1900</v>
      </c>
    </row>
    <row r="1464" spans="1:256" ht="14.25" thickTop="1" thickBot="1">
      <c r="A1464" s="267"/>
      <c r="B1464" s="68" t="s">
        <v>62</v>
      </c>
      <c r="C1464" s="66" t="s">
        <v>209</v>
      </c>
      <c r="D1464" s="67"/>
      <c r="E1464" s="62">
        <v>41417</v>
      </c>
      <c r="F1464" s="285"/>
    </row>
    <row r="1465" spans="1:256" ht="14.25" thickTop="1" thickBot="1">
      <c r="A1465" s="267" t="str">
        <f t="shared" ref="A1465:A1472" si="64">C1467</f>
        <v>JOSE ALTAIR DO NASCIMENTO</v>
      </c>
      <c r="B1465" s="68" t="s">
        <v>546</v>
      </c>
      <c r="C1465" s="66" t="s">
        <v>1523</v>
      </c>
      <c r="D1465" s="65">
        <v>63852</v>
      </c>
      <c r="E1465" s="62">
        <v>41192</v>
      </c>
      <c r="F1465" s="285"/>
    </row>
    <row r="1466" spans="1:256" ht="14.25" thickTop="1" thickBot="1">
      <c r="A1466" s="267" t="str">
        <f t="shared" si="64"/>
        <v>JOSE AMAURI DOS SANTOS</v>
      </c>
      <c r="B1466" s="68" t="s">
        <v>62</v>
      </c>
      <c r="C1466" s="64" t="s">
        <v>3004</v>
      </c>
      <c r="D1466" s="65">
        <v>63694</v>
      </c>
      <c r="E1466" s="62">
        <v>41885</v>
      </c>
      <c r="F1466" s="285"/>
    </row>
    <row r="1467" spans="1:256" ht="14.25" thickTop="1" thickBot="1">
      <c r="A1467" s="267" t="str">
        <f t="shared" si="64"/>
        <v>JOSE AMILTON VIEIRA</v>
      </c>
      <c r="B1467" s="68" t="s">
        <v>62</v>
      </c>
      <c r="C1467" s="66" t="s">
        <v>376</v>
      </c>
      <c r="D1467" s="61">
        <v>53553</v>
      </c>
      <c r="E1467" s="62">
        <v>41108</v>
      </c>
      <c r="F1467" s="286" t="s">
        <v>1899</v>
      </c>
    </row>
    <row r="1468" spans="1:256" ht="14.25" thickTop="1" thickBot="1">
      <c r="A1468" s="267" t="str">
        <f t="shared" si="64"/>
        <v xml:space="preserve">JOSE AMORIM PIRES  </v>
      </c>
      <c r="B1468" s="68" t="s">
        <v>62</v>
      </c>
      <c r="C1468" s="66" t="s">
        <v>1424</v>
      </c>
      <c r="D1468" s="61">
        <v>27163</v>
      </c>
      <c r="E1468" s="62">
        <v>42327</v>
      </c>
      <c r="F1468" s="285"/>
    </row>
    <row r="1469" spans="1:256" ht="19.5" thickTop="1" thickBot="1">
      <c r="A1469" s="267" t="str">
        <f t="shared" si="64"/>
        <v>JOSE APARECIDO PEDROSO</v>
      </c>
      <c r="B1469" s="68" t="s">
        <v>62</v>
      </c>
      <c r="C1469" s="66" t="s">
        <v>706</v>
      </c>
      <c r="D1469" s="67"/>
      <c r="E1469" s="62">
        <v>42914</v>
      </c>
      <c r="F1469" s="285"/>
      <c r="G1469" s="189"/>
      <c r="H1469" s="189"/>
      <c r="I1469" s="189"/>
      <c r="J1469" s="189"/>
      <c r="K1469" s="189"/>
      <c r="L1469" s="189"/>
      <c r="M1469" s="189"/>
      <c r="N1469" s="189"/>
      <c r="O1469" s="189"/>
      <c r="P1469" s="189"/>
      <c r="Q1469" s="189"/>
      <c r="R1469" s="189"/>
      <c r="S1469" s="189"/>
      <c r="T1469" s="189"/>
      <c r="U1469" s="189"/>
      <c r="V1469" s="189"/>
      <c r="W1469" s="189"/>
      <c r="X1469" s="189"/>
      <c r="Y1469" s="189"/>
      <c r="Z1469" s="189"/>
      <c r="AA1469" s="189"/>
      <c r="AB1469" s="189"/>
      <c r="AC1469" s="189"/>
      <c r="AD1469" s="189"/>
      <c r="AE1469" s="189"/>
      <c r="AF1469" s="189"/>
      <c r="AG1469" s="189"/>
      <c r="AH1469" s="189"/>
      <c r="AI1469" s="189"/>
      <c r="AJ1469" s="189"/>
      <c r="AK1469" s="189"/>
      <c r="AL1469" s="189"/>
      <c r="AM1469" s="189"/>
      <c r="AN1469" s="189"/>
      <c r="AO1469" s="189"/>
      <c r="AP1469" s="189"/>
      <c r="AQ1469" s="189"/>
      <c r="AR1469" s="189"/>
      <c r="AS1469" s="189"/>
      <c r="AT1469" s="189"/>
      <c r="AU1469" s="189"/>
      <c r="AV1469" s="189"/>
      <c r="AW1469" s="189"/>
      <c r="AX1469" s="189"/>
      <c r="AY1469" s="189"/>
      <c r="AZ1469" s="189"/>
      <c r="BA1469" s="189"/>
      <c r="BB1469" s="189"/>
      <c r="BC1469" s="189"/>
      <c r="BD1469" s="189"/>
      <c r="BE1469" s="189"/>
      <c r="BF1469" s="189"/>
      <c r="BG1469" s="189"/>
      <c r="BH1469" s="189"/>
      <c r="BI1469" s="189"/>
      <c r="BJ1469" s="189"/>
      <c r="BK1469" s="189"/>
      <c r="BL1469" s="189"/>
      <c r="BM1469" s="189"/>
      <c r="BN1469" s="189"/>
      <c r="BO1469" s="189"/>
      <c r="BP1469" s="189"/>
      <c r="BQ1469" s="189"/>
      <c r="BR1469" s="189"/>
      <c r="BS1469" s="189"/>
      <c r="BT1469" s="189"/>
      <c r="BU1469" s="189"/>
      <c r="BV1469" s="189"/>
      <c r="BW1469" s="189"/>
      <c r="BX1469" s="189"/>
      <c r="BY1469" s="189"/>
      <c r="BZ1469" s="189"/>
      <c r="CA1469" s="189"/>
      <c r="CB1469" s="189"/>
      <c r="CC1469" s="189"/>
      <c r="CD1469" s="189"/>
      <c r="CE1469" s="189"/>
      <c r="CF1469" s="189"/>
      <c r="CG1469" s="189"/>
      <c r="CH1469" s="189"/>
      <c r="CI1469" s="189"/>
      <c r="CJ1469" s="189"/>
      <c r="CK1469" s="189"/>
      <c r="CL1469" s="189"/>
      <c r="CM1469" s="189"/>
      <c r="CN1469" s="189"/>
      <c r="CO1469" s="189"/>
      <c r="CP1469" s="189"/>
      <c r="CQ1469" s="189"/>
      <c r="CR1469" s="189"/>
      <c r="CS1469" s="189"/>
      <c r="CT1469" s="189"/>
      <c r="CU1469" s="189"/>
      <c r="CV1469" s="189"/>
      <c r="CW1469" s="189"/>
      <c r="CX1469" s="189"/>
      <c r="CY1469" s="189"/>
      <c r="CZ1469" s="189"/>
      <c r="DA1469" s="189"/>
      <c r="DB1469" s="189"/>
      <c r="DC1469" s="189"/>
      <c r="DD1469" s="189"/>
      <c r="DE1469" s="189"/>
      <c r="DF1469" s="189"/>
      <c r="DG1469" s="189"/>
      <c r="DH1469" s="189"/>
      <c r="DI1469" s="189"/>
      <c r="DJ1469" s="189"/>
      <c r="DK1469" s="189"/>
      <c r="DL1469" s="189"/>
      <c r="DM1469" s="189"/>
      <c r="DN1469" s="189"/>
      <c r="DO1469" s="189"/>
      <c r="DP1469" s="189"/>
      <c r="DQ1469" s="189"/>
      <c r="DR1469" s="189"/>
      <c r="DS1469" s="189"/>
      <c r="DT1469" s="189"/>
      <c r="DU1469" s="189"/>
      <c r="DV1469" s="189"/>
      <c r="DW1469" s="189"/>
      <c r="DX1469" s="189"/>
      <c r="DY1469" s="189"/>
      <c r="DZ1469" s="189"/>
      <c r="EA1469" s="189"/>
      <c r="EB1469" s="189"/>
      <c r="EC1469" s="189"/>
      <c r="ED1469" s="189"/>
      <c r="EE1469" s="189"/>
      <c r="EF1469" s="189"/>
      <c r="EG1469" s="189"/>
      <c r="EH1469" s="189"/>
      <c r="EI1469" s="189"/>
      <c r="EJ1469" s="189"/>
      <c r="EK1469" s="189"/>
      <c r="EL1469" s="189"/>
      <c r="EM1469" s="189"/>
      <c r="EN1469" s="189"/>
      <c r="EO1469" s="189"/>
      <c r="EP1469" s="189"/>
      <c r="EQ1469" s="189"/>
      <c r="ER1469" s="189"/>
      <c r="ES1469" s="189"/>
      <c r="ET1469" s="189"/>
      <c r="EU1469" s="189"/>
      <c r="EV1469" s="189"/>
      <c r="EW1469" s="189"/>
      <c r="EX1469" s="189"/>
      <c r="EY1469" s="189"/>
      <c r="EZ1469" s="189"/>
      <c r="FA1469" s="189"/>
      <c r="FB1469" s="189"/>
      <c r="FC1469" s="189"/>
      <c r="FD1469" s="189"/>
      <c r="FE1469" s="189"/>
      <c r="FF1469" s="189"/>
      <c r="FG1469" s="189"/>
      <c r="FH1469" s="189"/>
      <c r="FI1469" s="189"/>
      <c r="FJ1469" s="189"/>
      <c r="FK1469" s="189"/>
      <c r="FL1469" s="189"/>
      <c r="FM1469" s="189"/>
      <c r="FN1469" s="189"/>
      <c r="FO1469" s="189"/>
      <c r="FP1469" s="189"/>
      <c r="FQ1469" s="189"/>
      <c r="FR1469" s="189"/>
      <c r="FS1469" s="189"/>
      <c r="FT1469" s="189"/>
      <c r="FU1469" s="189"/>
      <c r="FV1469" s="189"/>
      <c r="FW1469" s="189"/>
      <c r="FX1469" s="189"/>
      <c r="FY1469" s="189"/>
      <c r="FZ1469" s="189"/>
      <c r="GA1469" s="189"/>
      <c r="GB1469" s="189"/>
      <c r="GC1469" s="189"/>
      <c r="GD1469" s="189"/>
      <c r="GE1469" s="189"/>
      <c r="GF1469" s="189"/>
      <c r="GG1469" s="189"/>
      <c r="GH1469" s="189"/>
      <c r="GI1469" s="189"/>
      <c r="GJ1469" s="189"/>
      <c r="GK1469" s="189"/>
      <c r="GL1469" s="189"/>
      <c r="GM1469" s="189"/>
      <c r="GN1469" s="189"/>
      <c r="GO1469" s="189"/>
      <c r="GP1469" s="189"/>
      <c r="GQ1469" s="189"/>
      <c r="GR1469" s="189"/>
      <c r="GS1469" s="189"/>
      <c r="GT1469" s="189"/>
      <c r="GU1469" s="189"/>
      <c r="GV1469" s="189"/>
      <c r="GW1469" s="189"/>
      <c r="GX1469" s="189"/>
      <c r="GY1469" s="189"/>
      <c r="GZ1469" s="189"/>
      <c r="HA1469" s="189"/>
      <c r="HB1469" s="189"/>
      <c r="HC1469" s="189"/>
      <c r="HD1469" s="189"/>
      <c r="HE1469" s="189"/>
      <c r="HF1469" s="189"/>
      <c r="HG1469" s="189"/>
      <c r="HH1469" s="189"/>
      <c r="HI1469" s="189"/>
      <c r="HJ1469" s="189"/>
      <c r="HK1469" s="189"/>
      <c r="HL1469" s="189"/>
      <c r="HM1469" s="189"/>
      <c r="HN1469" s="189"/>
      <c r="HO1469" s="189"/>
      <c r="HP1469" s="189"/>
      <c r="HQ1469" s="189"/>
      <c r="HR1469" s="189"/>
      <c r="HS1469" s="189"/>
      <c r="HT1469" s="189"/>
      <c r="HU1469" s="189"/>
      <c r="HV1469" s="189"/>
      <c r="HW1469" s="189"/>
      <c r="HX1469" s="189"/>
      <c r="HY1469" s="189"/>
      <c r="HZ1469" s="189"/>
      <c r="IA1469" s="189"/>
      <c r="IB1469" s="189"/>
      <c r="IC1469" s="189"/>
      <c r="ID1469" s="189"/>
      <c r="IE1469" s="189"/>
      <c r="IF1469" s="189"/>
      <c r="IG1469" s="189"/>
      <c r="IH1469" s="189"/>
      <c r="II1469" s="189"/>
      <c r="IJ1469" s="189"/>
      <c r="IK1469" s="189"/>
      <c r="IL1469" s="189"/>
      <c r="IM1469" s="189"/>
      <c r="IN1469" s="189"/>
      <c r="IO1469" s="189"/>
      <c r="IP1469" s="189"/>
      <c r="IQ1469" s="189"/>
      <c r="IR1469" s="189"/>
      <c r="IS1469" s="189"/>
      <c r="IT1469" s="189"/>
      <c r="IU1469" s="189"/>
      <c r="IV1469" s="189"/>
    </row>
    <row r="1470" spans="1:256" ht="14.25" thickTop="1" thickBot="1">
      <c r="A1470" s="267" t="str">
        <f t="shared" si="64"/>
        <v>JOSE ARANA DAMASIO</v>
      </c>
      <c r="B1470" s="68" t="s">
        <v>62</v>
      </c>
      <c r="C1470" s="64" t="s">
        <v>320</v>
      </c>
      <c r="D1470" s="65">
        <v>11197</v>
      </c>
      <c r="E1470" s="62">
        <v>41884</v>
      </c>
      <c r="F1470" s="285"/>
    </row>
    <row r="1471" spans="1:256" ht="14.25" thickTop="1" thickBot="1">
      <c r="A1471" s="267" t="str">
        <f t="shared" si="64"/>
        <v>JOSE ARNILDO WON STEIN</v>
      </c>
      <c r="B1471" s="68" t="s">
        <v>62</v>
      </c>
      <c r="C1471" s="66" t="s">
        <v>749</v>
      </c>
      <c r="D1471" s="65">
        <v>113288</v>
      </c>
      <c r="E1471" s="62">
        <v>39394</v>
      </c>
      <c r="F1471" s="285"/>
    </row>
    <row r="1472" spans="1:256" ht="14.25" thickTop="1" thickBot="1">
      <c r="A1472" s="267" t="str">
        <f t="shared" si="64"/>
        <v>JOSE AUGUSTO LORENCETTI    (Bozo)</v>
      </c>
      <c r="B1472" s="68" t="s">
        <v>62</v>
      </c>
      <c r="C1472" s="66" t="s">
        <v>2048</v>
      </c>
      <c r="D1472" s="65">
        <v>63576</v>
      </c>
      <c r="E1472" s="62">
        <v>43077</v>
      </c>
      <c r="F1472" s="285"/>
    </row>
    <row r="1473" spans="1:6" ht="14.25" thickTop="1" thickBot="1">
      <c r="A1473" s="267" t="s">
        <v>2636</v>
      </c>
      <c r="B1473" s="68" t="s">
        <v>62</v>
      </c>
      <c r="C1473" s="66" t="s">
        <v>321</v>
      </c>
      <c r="D1473" s="65">
        <v>27084</v>
      </c>
      <c r="E1473" s="62">
        <v>40675</v>
      </c>
      <c r="F1473" s="285"/>
    </row>
    <row r="1474" spans="1:6" ht="14.25" thickTop="1" thickBot="1">
      <c r="A1474" s="267" t="str">
        <f t="shared" ref="A1474:A1484" si="65">C1476</f>
        <v>JOSÉ AUGUSTO TAVARES</v>
      </c>
      <c r="B1474" s="68" t="s">
        <v>2413</v>
      </c>
      <c r="C1474" s="66" t="s">
        <v>3005</v>
      </c>
      <c r="D1474" s="61">
        <v>121484</v>
      </c>
      <c r="E1474" s="62"/>
      <c r="F1474" s="285"/>
    </row>
    <row r="1475" spans="1:6" ht="14.25" thickTop="1" thickBot="1">
      <c r="A1475" s="267" t="str">
        <f t="shared" si="65"/>
        <v>JOSE AUGUSTO TAVARES    (Truta)</v>
      </c>
      <c r="B1475" s="68" t="s">
        <v>62</v>
      </c>
      <c r="C1475" s="66" t="s">
        <v>727</v>
      </c>
      <c r="D1475" s="61">
        <v>39872</v>
      </c>
      <c r="E1475" s="62">
        <v>40934</v>
      </c>
      <c r="F1475" s="285"/>
    </row>
    <row r="1476" spans="1:6" ht="14.25" thickTop="1" thickBot="1">
      <c r="A1476" s="267" t="str">
        <f t="shared" si="65"/>
        <v>JOSÉ CARLITO DE OLIVEIRA</v>
      </c>
      <c r="B1476" s="68" t="s">
        <v>62</v>
      </c>
      <c r="C1476" s="64" t="s">
        <v>2636</v>
      </c>
      <c r="D1476" s="65">
        <v>39872</v>
      </c>
      <c r="E1476" s="70">
        <v>42419</v>
      </c>
      <c r="F1476" s="287"/>
    </row>
    <row r="1477" spans="1:6" ht="14.25" thickTop="1" thickBot="1">
      <c r="A1477" s="267" t="str">
        <f t="shared" si="65"/>
        <v>JOSE CARLO DE QUADROS</v>
      </c>
      <c r="B1477" s="67" t="s">
        <v>1522</v>
      </c>
      <c r="C1477" s="66" t="s">
        <v>3006</v>
      </c>
      <c r="D1477" s="65">
        <v>29757</v>
      </c>
      <c r="E1477" s="62">
        <v>40570</v>
      </c>
      <c r="F1477" s="285"/>
    </row>
    <row r="1478" spans="1:6" ht="14.25" thickTop="1" thickBot="1">
      <c r="A1478" s="267" t="str">
        <f t="shared" si="65"/>
        <v>JOSE CARLOS ALVES</v>
      </c>
      <c r="B1478" s="68" t="s">
        <v>62</v>
      </c>
      <c r="C1478" s="66" t="s">
        <v>282</v>
      </c>
      <c r="D1478" s="65"/>
      <c r="E1478" s="62">
        <v>39394</v>
      </c>
      <c r="F1478" s="285"/>
    </row>
    <row r="1479" spans="1:6" ht="14.25" thickTop="1" thickBot="1">
      <c r="A1479" s="267" t="str">
        <f t="shared" si="65"/>
        <v>JOSE CARLOS BONFATI</v>
      </c>
      <c r="B1479" s="68" t="s">
        <v>1306</v>
      </c>
      <c r="C1479" s="66" t="s">
        <v>243</v>
      </c>
      <c r="D1479" s="65">
        <v>63370</v>
      </c>
      <c r="E1479" s="62">
        <v>39231</v>
      </c>
      <c r="F1479" s="285"/>
    </row>
    <row r="1480" spans="1:6" ht="14.25" thickTop="1" thickBot="1">
      <c r="A1480" s="267" t="str">
        <f t="shared" si="65"/>
        <v>JOSE CARLOS CARVALHO</v>
      </c>
      <c r="B1480" s="68" t="s">
        <v>62</v>
      </c>
      <c r="C1480" s="66" t="s">
        <v>2771</v>
      </c>
      <c r="D1480" s="172"/>
      <c r="E1480" s="62">
        <v>39464</v>
      </c>
      <c r="F1480" s="285"/>
    </row>
    <row r="1481" spans="1:6" ht="14.25" thickTop="1" thickBot="1">
      <c r="A1481" s="267" t="str">
        <f t="shared" si="65"/>
        <v>JOSE CARLOS DA LUZ</v>
      </c>
      <c r="B1481" s="68" t="s">
        <v>62</v>
      </c>
      <c r="C1481" s="66" t="s">
        <v>1409</v>
      </c>
      <c r="D1481" s="61">
        <v>63040</v>
      </c>
      <c r="E1481" s="62">
        <v>42590</v>
      </c>
      <c r="F1481" s="285"/>
    </row>
    <row r="1482" spans="1:6" ht="14.25" thickTop="1" thickBot="1">
      <c r="A1482" s="267" t="str">
        <f t="shared" si="65"/>
        <v>JOSE CARLOS DA ROCHA BUENO</v>
      </c>
      <c r="B1482" s="68" t="s">
        <v>62</v>
      </c>
      <c r="C1482" s="66" t="s">
        <v>1056</v>
      </c>
      <c r="D1482" s="65"/>
      <c r="E1482" s="62">
        <v>42557</v>
      </c>
      <c r="F1482" s="285"/>
    </row>
    <row r="1483" spans="1:6" ht="14.25" thickTop="1" thickBot="1">
      <c r="A1483" s="267" t="str">
        <f t="shared" si="65"/>
        <v>JOSE CARLOS DA SILVA</v>
      </c>
      <c r="B1483" s="68" t="s">
        <v>62</v>
      </c>
      <c r="C1483" s="66" t="s">
        <v>978</v>
      </c>
      <c r="D1483" s="65">
        <v>63606</v>
      </c>
      <c r="E1483" s="62">
        <v>40833</v>
      </c>
      <c r="F1483" s="285"/>
    </row>
    <row r="1484" spans="1:6" ht="14.25" thickTop="1" thickBot="1">
      <c r="A1484" s="267" t="str">
        <f t="shared" si="65"/>
        <v>JOSE CARLOS DA SILVA ANDRADE</v>
      </c>
      <c r="B1484" s="68" t="s">
        <v>62</v>
      </c>
      <c r="C1484" s="66" t="s">
        <v>322</v>
      </c>
      <c r="D1484" s="65">
        <v>51383</v>
      </c>
      <c r="E1484" s="97">
        <v>42578</v>
      </c>
      <c r="F1484" s="287"/>
    </row>
    <row r="1485" spans="1:6" ht="14.25" thickTop="1" thickBot="1">
      <c r="A1485" s="267"/>
      <c r="B1485" s="68" t="s">
        <v>62</v>
      </c>
      <c r="C1485" s="64" t="s">
        <v>287</v>
      </c>
      <c r="D1485" s="65">
        <v>63040</v>
      </c>
      <c r="E1485" s="70">
        <v>42328</v>
      </c>
      <c r="F1485" s="284"/>
    </row>
    <row r="1486" spans="1:6" ht="14.25" thickTop="1" thickBot="1">
      <c r="A1486" s="267" t="str">
        <f>C1488</f>
        <v>JOSE CARLOS DE MORAIS</v>
      </c>
      <c r="B1486" s="68" t="s">
        <v>2406</v>
      </c>
      <c r="C1486" s="66" t="s">
        <v>2818</v>
      </c>
      <c r="D1486" s="65">
        <v>147093</v>
      </c>
      <c r="E1486" s="62">
        <v>43727</v>
      </c>
      <c r="F1486" s="285"/>
    </row>
    <row r="1487" spans="1:6" ht="14.25" thickTop="1" thickBot="1">
      <c r="A1487" s="267" t="str">
        <f>C1489</f>
        <v>JOSE CARLOS DORIA</v>
      </c>
      <c r="B1487" s="68" t="s">
        <v>62</v>
      </c>
      <c r="C1487" s="66" t="s">
        <v>864</v>
      </c>
      <c r="D1487" s="61">
        <v>79068</v>
      </c>
      <c r="E1487" s="62">
        <v>42480</v>
      </c>
      <c r="F1487" s="285"/>
    </row>
    <row r="1488" spans="1:6" ht="14.25" thickTop="1" thickBot="1">
      <c r="A1488" s="267" t="str">
        <f>C1490</f>
        <v>JOSE CARLOS FAGUNDES</v>
      </c>
      <c r="B1488" s="68" t="s">
        <v>62</v>
      </c>
      <c r="C1488" s="66" t="s">
        <v>273</v>
      </c>
      <c r="D1488" s="65">
        <v>102911</v>
      </c>
      <c r="E1488" s="115">
        <v>40850</v>
      </c>
      <c r="F1488" s="288" t="s">
        <v>1320</v>
      </c>
    </row>
    <row r="1489" spans="1:6" ht="14.25" thickTop="1" thickBot="1">
      <c r="A1489" s="267" t="str">
        <f>C1492</f>
        <v>JOSE CARLOS JAQUES</v>
      </c>
      <c r="B1489" s="68" t="s">
        <v>62</v>
      </c>
      <c r="C1489" s="66" t="s">
        <v>353</v>
      </c>
      <c r="D1489" s="67"/>
      <c r="E1489" s="70">
        <v>42909</v>
      </c>
      <c r="F1489" s="284"/>
    </row>
    <row r="1490" spans="1:6" ht="14.25" thickTop="1" thickBot="1">
      <c r="A1490" s="267" t="str">
        <f>C1493</f>
        <v>JOSÉ CARLOS JAQUES</v>
      </c>
      <c r="B1490" s="68" t="s">
        <v>62</v>
      </c>
      <c r="C1490" s="66" t="s">
        <v>1410</v>
      </c>
      <c r="D1490" s="65"/>
      <c r="E1490" s="62">
        <v>42921</v>
      </c>
      <c r="F1490" s="285"/>
    </row>
    <row r="1491" spans="1:6" ht="14.25" thickTop="1" thickBot="1">
      <c r="A1491" s="267" t="str">
        <f>C1493</f>
        <v>JOSÉ CARLOS JAQUES</v>
      </c>
      <c r="B1491" s="68" t="s">
        <v>62</v>
      </c>
      <c r="C1491" s="66" t="s">
        <v>510</v>
      </c>
      <c r="D1491" s="61">
        <v>23405</v>
      </c>
      <c r="E1491" s="62">
        <v>41977</v>
      </c>
      <c r="F1491" s="285"/>
    </row>
    <row r="1492" spans="1:6" ht="14.25" thickTop="1" thickBot="1">
      <c r="A1492" s="267" t="str">
        <f>C1494</f>
        <v>JOSE CARLOS RODRIGUES DE AQUINO JUNIOR    (Juninho)</v>
      </c>
      <c r="B1492" s="68" t="s">
        <v>846</v>
      </c>
      <c r="C1492" s="66" t="s">
        <v>323</v>
      </c>
      <c r="D1492" s="61">
        <v>137128</v>
      </c>
      <c r="E1492" s="62">
        <v>39611</v>
      </c>
      <c r="F1492" s="285"/>
    </row>
    <row r="1493" spans="1:6" ht="14.25" thickTop="1" thickBot="1">
      <c r="A1493" s="267"/>
      <c r="B1493" s="68" t="s">
        <v>2413</v>
      </c>
      <c r="C1493" s="192" t="s">
        <v>3543</v>
      </c>
      <c r="D1493" s="61">
        <v>23405</v>
      </c>
      <c r="E1493" s="62">
        <v>44062</v>
      </c>
      <c r="F1493" s="285"/>
    </row>
    <row r="1494" spans="1:6" ht="14.25" thickTop="1" thickBot="1">
      <c r="A1494" s="267" t="str">
        <f>C1496</f>
        <v>JOSE CLAUDEMIR PIOTTO</v>
      </c>
      <c r="B1494" s="68" t="s">
        <v>62</v>
      </c>
      <c r="C1494" s="66" t="s">
        <v>3007</v>
      </c>
      <c r="D1494" s="61">
        <v>49921</v>
      </c>
      <c r="E1494" s="70">
        <v>42373</v>
      </c>
      <c r="F1494" s="284"/>
    </row>
    <row r="1495" spans="1:6" ht="14.25" thickTop="1" thickBot="1">
      <c r="A1495" s="267" t="str">
        <f>C1497</f>
        <v>JOSE CLAUDINEI DA SILVA</v>
      </c>
      <c r="B1495" s="68" t="s">
        <v>62</v>
      </c>
      <c r="C1495" s="66" t="s">
        <v>1641</v>
      </c>
      <c r="D1495" s="67"/>
      <c r="E1495" s="62">
        <v>40757</v>
      </c>
      <c r="F1495" s="285"/>
    </row>
    <row r="1496" spans="1:6" ht="14.25" thickTop="1" thickBot="1">
      <c r="A1496" s="267"/>
      <c r="B1496" s="68" t="s">
        <v>62</v>
      </c>
      <c r="C1496" s="66" t="s">
        <v>1411</v>
      </c>
      <c r="D1496" s="65">
        <v>63150</v>
      </c>
      <c r="E1496" s="62">
        <v>42474</v>
      </c>
      <c r="F1496" s="285"/>
    </row>
    <row r="1497" spans="1:6" ht="14.25" thickTop="1" thickBot="1">
      <c r="A1497" s="267" t="str">
        <f t="shared" ref="A1497:A1504" si="66">C1499</f>
        <v>JOSE DA LUZ DA SILVA</v>
      </c>
      <c r="B1497" s="68" t="s">
        <v>2406</v>
      </c>
      <c r="C1497" s="66" t="s">
        <v>1662</v>
      </c>
      <c r="D1497" s="65">
        <v>63150</v>
      </c>
      <c r="E1497" s="70">
        <v>43791</v>
      </c>
      <c r="F1497" s="284"/>
    </row>
    <row r="1498" spans="1:6" ht="14.25" thickTop="1" thickBot="1">
      <c r="A1498" s="267" t="str">
        <f t="shared" si="66"/>
        <v>JOSE DE BAIROS MACHADO</v>
      </c>
      <c r="B1498" s="68" t="s">
        <v>62</v>
      </c>
      <c r="C1498" s="64" t="s">
        <v>1561</v>
      </c>
      <c r="D1498" s="67"/>
      <c r="E1498" s="62">
        <v>41969</v>
      </c>
      <c r="F1498" s="285"/>
    </row>
    <row r="1499" spans="1:6" ht="14.25" thickTop="1" thickBot="1">
      <c r="A1499" s="267" t="str">
        <f t="shared" si="66"/>
        <v>JOSE DE SOUZA</v>
      </c>
      <c r="B1499" s="68" t="s">
        <v>62</v>
      </c>
      <c r="C1499" s="66" t="s">
        <v>1412</v>
      </c>
      <c r="D1499" s="67"/>
      <c r="E1499" s="62">
        <v>41625</v>
      </c>
      <c r="F1499" s="285"/>
    </row>
    <row r="1500" spans="1:6" ht="14.25" thickTop="1" thickBot="1">
      <c r="A1500" s="267" t="str">
        <f t="shared" si="66"/>
        <v>JOSE DELLA TORRES</v>
      </c>
      <c r="B1500" s="68" t="s">
        <v>1306</v>
      </c>
      <c r="C1500" s="66" t="s">
        <v>1413</v>
      </c>
      <c r="D1500" s="65">
        <v>102134</v>
      </c>
      <c r="E1500" s="62">
        <v>41207</v>
      </c>
      <c r="F1500" s="296"/>
    </row>
    <row r="1501" spans="1:6" ht="14.25" thickTop="1" thickBot="1">
      <c r="A1501" s="267" t="str">
        <f t="shared" si="66"/>
        <v>JOSE DENILSON URBANECK    (D2)</v>
      </c>
      <c r="B1501" s="68" t="s">
        <v>62</v>
      </c>
      <c r="C1501" s="64" t="s">
        <v>450</v>
      </c>
      <c r="D1501" s="61">
        <v>38801</v>
      </c>
      <c r="E1501" s="62">
        <v>43243</v>
      </c>
      <c r="F1501" s="285"/>
    </row>
    <row r="1502" spans="1:6" ht="14.25" thickTop="1" thickBot="1">
      <c r="A1502" s="267" t="str">
        <f t="shared" si="66"/>
        <v>JOSE DIRCEU DA SILVA</v>
      </c>
      <c r="B1502" s="68" t="s">
        <v>62</v>
      </c>
      <c r="C1502" s="66" t="s">
        <v>1089</v>
      </c>
      <c r="D1502" s="65">
        <v>63714</v>
      </c>
      <c r="E1502" s="62">
        <v>41417</v>
      </c>
      <c r="F1502" s="286" t="s">
        <v>1852</v>
      </c>
    </row>
    <row r="1503" spans="1:6" ht="14.25" thickTop="1" thickBot="1">
      <c r="A1503" s="267" t="str">
        <f t="shared" si="66"/>
        <v>JOSE DO ROSARIO DOS SANTOS SILVA    (Batata)</v>
      </c>
      <c r="B1503" s="68" t="s">
        <v>2347</v>
      </c>
      <c r="C1503" s="66" t="s">
        <v>3008</v>
      </c>
      <c r="D1503" s="61">
        <v>58779</v>
      </c>
      <c r="E1503" s="62">
        <v>43346</v>
      </c>
      <c r="F1503" s="285"/>
    </row>
    <row r="1504" spans="1:6" ht="14.25" thickTop="1" thickBot="1">
      <c r="A1504" s="267" t="str">
        <f t="shared" si="66"/>
        <v>JOSE DONIZETI REBELO</v>
      </c>
      <c r="B1504" s="68" t="s">
        <v>62</v>
      </c>
      <c r="C1504" s="66" t="s">
        <v>745</v>
      </c>
      <c r="D1504" s="61">
        <v>101642</v>
      </c>
      <c r="E1504" s="62">
        <v>39392</v>
      </c>
      <c r="F1504" s="285"/>
    </row>
    <row r="1505" spans="1:6" ht="14.25" thickTop="1" thickBot="1">
      <c r="A1505" s="267"/>
      <c r="B1505" s="68" t="s">
        <v>62</v>
      </c>
      <c r="C1505" s="66" t="s">
        <v>3009</v>
      </c>
      <c r="D1505" s="61">
        <v>63925</v>
      </c>
      <c r="E1505" s="62">
        <v>40140</v>
      </c>
      <c r="F1505" s="285"/>
    </row>
    <row r="1506" spans="1:6" ht="14.25" thickTop="1" thickBot="1">
      <c r="A1506" s="267" t="str">
        <f>C1508</f>
        <v>JOSE EDUARDO MARQUES ALMEIDA</v>
      </c>
      <c r="B1506" s="68" t="s">
        <v>62</v>
      </c>
      <c r="C1506" s="66" t="s">
        <v>313</v>
      </c>
      <c r="D1506" s="61">
        <v>101225</v>
      </c>
      <c r="E1506" s="62">
        <v>40725</v>
      </c>
      <c r="F1506" s="297"/>
    </row>
    <row r="1507" spans="1:6" ht="14.25" thickTop="1" thickBot="1">
      <c r="A1507" s="267" t="str">
        <f>C1508</f>
        <v>JOSE EDUARDO MARQUES ALMEIDA</v>
      </c>
      <c r="B1507" s="68" t="s">
        <v>2406</v>
      </c>
      <c r="C1507" s="60" t="s">
        <v>2652</v>
      </c>
      <c r="D1507" s="226">
        <v>63041</v>
      </c>
      <c r="E1507" s="70">
        <v>43970</v>
      </c>
      <c r="F1507" s="284"/>
    </row>
    <row r="1508" spans="1:6" ht="14.25" thickTop="1" thickBot="1">
      <c r="A1508" s="267" t="str">
        <f>C1510</f>
        <v>JOSE FELIX BRITO DOS SANTOS</v>
      </c>
      <c r="B1508" s="68"/>
      <c r="C1508" s="66" t="s">
        <v>1232</v>
      </c>
      <c r="D1508" s="61">
        <v>101185</v>
      </c>
      <c r="E1508" s="62">
        <v>42341</v>
      </c>
      <c r="F1508" s="285"/>
    </row>
    <row r="1509" spans="1:6" ht="14.25" thickTop="1" thickBot="1">
      <c r="A1509" s="267" t="str">
        <f>C1514</f>
        <v>JOSE FRANCISCO DRIDES</v>
      </c>
      <c r="B1509" s="68" t="s">
        <v>546</v>
      </c>
      <c r="C1509" s="66" t="s">
        <v>3010</v>
      </c>
      <c r="D1509" s="178">
        <v>63739</v>
      </c>
      <c r="E1509" s="62">
        <v>39225</v>
      </c>
      <c r="F1509" s="285"/>
    </row>
    <row r="1510" spans="1:6" ht="14.25" thickTop="1" thickBot="1">
      <c r="A1510" s="267" t="str">
        <f>C1515</f>
        <v>JOSE FRANCISCO NETO</v>
      </c>
      <c r="B1510" s="68" t="s">
        <v>62</v>
      </c>
      <c r="C1510" s="66" t="s">
        <v>1144</v>
      </c>
      <c r="D1510" s="67"/>
      <c r="E1510" s="62">
        <v>42480</v>
      </c>
      <c r="F1510" s="285"/>
    </row>
    <row r="1511" spans="1:6" ht="14.25" thickTop="1" thickBot="1">
      <c r="A1511" s="267"/>
      <c r="B1511" s="68" t="s">
        <v>2406</v>
      </c>
      <c r="C1511" s="66" t="s">
        <v>236</v>
      </c>
      <c r="D1511" s="61">
        <v>27043</v>
      </c>
      <c r="E1511" s="62">
        <v>44025</v>
      </c>
      <c r="F1511" s="285"/>
    </row>
    <row r="1512" spans="1:6" ht="14.25" thickTop="1" thickBot="1">
      <c r="A1512" s="267" t="str">
        <f>C1514</f>
        <v>JOSE FRANCISCO DRIDES</v>
      </c>
      <c r="B1512" s="68" t="s">
        <v>2406</v>
      </c>
      <c r="C1512" s="64" t="s">
        <v>2367</v>
      </c>
      <c r="D1512" s="61">
        <v>148524</v>
      </c>
      <c r="E1512" s="62">
        <v>43791</v>
      </c>
      <c r="F1512" s="285"/>
    </row>
    <row r="1513" spans="1:6" ht="14.25" thickTop="1" thickBot="1">
      <c r="A1513" s="267" t="str">
        <f>C1517</f>
        <v>JOSE GUILHERME GANASOLI</v>
      </c>
      <c r="B1513" s="89"/>
      <c r="C1513" s="66" t="s">
        <v>1414</v>
      </c>
      <c r="D1513" s="67"/>
      <c r="E1513" s="62">
        <v>40892</v>
      </c>
      <c r="F1513" s="285"/>
    </row>
    <row r="1514" spans="1:6" ht="14.25" thickTop="1" thickBot="1">
      <c r="A1514" s="267" t="str">
        <f>C1518</f>
        <v>JOSE GUILHERME RIBEIRO</v>
      </c>
      <c r="B1514" s="68" t="s">
        <v>62</v>
      </c>
      <c r="C1514" s="64" t="s">
        <v>1090</v>
      </c>
      <c r="D1514" s="61">
        <v>21877</v>
      </c>
      <c r="E1514" s="62">
        <v>40196</v>
      </c>
      <c r="F1514" s="285"/>
    </row>
    <row r="1515" spans="1:6" ht="14.25" thickTop="1" thickBot="1">
      <c r="A1515" s="267"/>
      <c r="B1515" s="68" t="s">
        <v>1812</v>
      </c>
      <c r="C1515" s="77" t="s">
        <v>919</v>
      </c>
      <c r="D1515" s="61">
        <v>27329</v>
      </c>
      <c r="E1515" s="62">
        <v>43923</v>
      </c>
      <c r="F1515" s="285"/>
    </row>
    <row r="1516" spans="1:6" ht="14.25" thickTop="1" thickBot="1">
      <c r="A1516" s="267" t="str">
        <f>C1518</f>
        <v>JOSE GUILHERME RIBEIRO</v>
      </c>
      <c r="B1516" s="68" t="s">
        <v>62</v>
      </c>
      <c r="C1516" s="66" t="s">
        <v>1690</v>
      </c>
      <c r="D1516" s="65">
        <v>63974</v>
      </c>
      <c r="E1516" s="62">
        <v>39363</v>
      </c>
      <c r="F1516" s="285"/>
    </row>
    <row r="1517" spans="1:6" ht="14.25" thickTop="1" thickBot="1">
      <c r="A1517" s="267" t="s">
        <v>2637</v>
      </c>
      <c r="B1517" s="68" t="s">
        <v>62</v>
      </c>
      <c r="C1517" s="66" t="s">
        <v>1230</v>
      </c>
      <c r="D1517" s="61">
        <v>101661</v>
      </c>
      <c r="E1517" s="62">
        <v>41625</v>
      </c>
      <c r="F1517" s="285"/>
    </row>
    <row r="1518" spans="1:6" ht="14.25" thickTop="1" thickBot="1">
      <c r="A1518" s="267" t="str">
        <f t="shared" ref="A1518:A1526" si="67">C1520</f>
        <v>JOSÉ HONOFRE STOCKLER</v>
      </c>
      <c r="B1518" s="68" t="s">
        <v>2413</v>
      </c>
      <c r="C1518" s="66" t="s">
        <v>1601</v>
      </c>
      <c r="D1518" s="65">
        <v>63364</v>
      </c>
      <c r="E1518" s="62"/>
      <c r="F1518" s="285"/>
    </row>
    <row r="1519" spans="1:6" ht="14.25" thickTop="1" thickBot="1">
      <c r="A1519" s="267" t="str">
        <f t="shared" si="67"/>
        <v>JOSE IDILSON FERNANDES</v>
      </c>
      <c r="B1519" s="68" t="s">
        <v>62</v>
      </c>
      <c r="C1519" s="66" t="s">
        <v>3011</v>
      </c>
      <c r="D1519" s="65">
        <v>46687</v>
      </c>
      <c r="E1519" s="62">
        <v>41555</v>
      </c>
      <c r="F1519" s="285"/>
    </row>
    <row r="1520" spans="1:6" ht="14.25" thickTop="1" thickBot="1">
      <c r="A1520" s="267" t="str">
        <f t="shared" si="67"/>
        <v>JOSE ISMAIL ANTUNES</v>
      </c>
      <c r="B1520" s="68" t="s">
        <v>62</v>
      </c>
      <c r="C1520" s="64" t="s">
        <v>2637</v>
      </c>
      <c r="D1520" s="65">
        <v>63501</v>
      </c>
      <c r="E1520" s="62">
        <v>42116</v>
      </c>
      <c r="F1520" s="285"/>
    </row>
    <row r="1521" spans="1:6" ht="14.25" thickTop="1" thickBot="1">
      <c r="A1521" s="267" t="str">
        <f t="shared" si="67"/>
        <v>JOSE IZAIAS KOTSKI</v>
      </c>
      <c r="B1521" s="68" t="s">
        <v>62</v>
      </c>
      <c r="C1521" s="66" t="s">
        <v>1197</v>
      </c>
      <c r="D1521" s="69">
        <v>7025</v>
      </c>
      <c r="E1521" s="70">
        <v>42523</v>
      </c>
      <c r="F1521" s="287"/>
    </row>
    <row r="1522" spans="1:6" ht="14.25" thickTop="1" thickBot="1">
      <c r="A1522" s="267" t="str">
        <f t="shared" si="67"/>
        <v>JOSE JOAO TEOFILO</v>
      </c>
      <c r="B1522" s="68" t="s">
        <v>62</v>
      </c>
      <c r="C1522" s="66" t="s">
        <v>814</v>
      </c>
      <c r="D1522" s="65"/>
      <c r="E1522" s="62">
        <v>40892</v>
      </c>
      <c r="F1522" s="285"/>
    </row>
    <row r="1523" spans="1:6" ht="14.25" thickTop="1" thickBot="1">
      <c r="A1523" s="267" t="str">
        <f t="shared" si="67"/>
        <v>JOSÉ JOAQUIM TEIXEIRA FILHO</v>
      </c>
      <c r="B1523" s="68" t="s">
        <v>62</v>
      </c>
      <c r="C1523" s="66" t="s">
        <v>972</v>
      </c>
      <c r="D1523" s="67"/>
      <c r="E1523" s="62">
        <v>40016</v>
      </c>
      <c r="F1523" s="285"/>
    </row>
    <row r="1524" spans="1:6" ht="14.25" thickTop="1" thickBot="1">
      <c r="A1524" s="267" t="str">
        <f t="shared" si="67"/>
        <v>JOSE JUAREZ BATISTA DE PAULA</v>
      </c>
      <c r="B1524" s="68" t="s">
        <v>62</v>
      </c>
      <c r="C1524" s="66" t="s">
        <v>1415</v>
      </c>
      <c r="D1524" s="65">
        <v>63496</v>
      </c>
      <c r="E1524" s="62">
        <v>39568</v>
      </c>
      <c r="F1524" s="285"/>
    </row>
    <row r="1525" spans="1:6" ht="14.25" thickTop="1" thickBot="1">
      <c r="A1525" s="267" t="str">
        <f t="shared" si="67"/>
        <v xml:space="preserve">JOSE JUAREZ DE OLIVEIRA    (Curitiba) </v>
      </c>
      <c r="B1525" s="68" t="s">
        <v>62</v>
      </c>
      <c r="C1525" s="66" t="s">
        <v>886</v>
      </c>
      <c r="D1525" s="67"/>
      <c r="E1525" s="62">
        <v>42914</v>
      </c>
      <c r="F1525" s="285"/>
    </row>
    <row r="1526" spans="1:6" ht="14.25" thickTop="1" thickBot="1">
      <c r="A1526" s="267" t="str">
        <f t="shared" si="67"/>
        <v>JOSE LAURI PALHANO</v>
      </c>
      <c r="B1526" s="68" t="s">
        <v>62</v>
      </c>
      <c r="C1526" s="66" t="s">
        <v>1091</v>
      </c>
      <c r="D1526" s="65">
        <v>63500</v>
      </c>
      <c r="E1526" s="62">
        <v>40688</v>
      </c>
      <c r="F1526" s="285"/>
    </row>
    <row r="1527" spans="1:6" ht="14.25" thickTop="1" thickBot="1">
      <c r="A1527" s="267" t="str">
        <f>C1530</f>
        <v>JOSE LEANDRO DE ANDRADE</v>
      </c>
      <c r="B1527" s="68" t="s">
        <v>62</v>
      </c>
      <c r="C1527" s="64" t="s">
        <v>3012</v>
      </c>
      <c r="D1527" s="61">
        <v>105341</v>
      </c>
      <c r="E1527" s="62">
        <v>40956</v>
      </c>
      <c r="F1527" s="285"/>
    </row>
    <row r="1528" spans="1:6" ht="14.25" thickTop="1" thickBot="1">
      <c r="A1528" s="267" t="str">
        <f>C1533</f>
        <v>JOSE LOURIVAL ALVES</v>
      </c>
      <c r="B1528" s="68" t="s">
        <v>2347</v>
      </c>
      <c r="C1528" s="66" t="s">
        <v>1702</v>
      </c>
      <c r="D1528" s="69">
        <v>102170</v>
      </c>
      <c r="E1528" s="62">
        <v>43346</v>
      </c>
      <c r="F1528" s="285"/>
    </row>
    <row r="1529" spans="1:6" ht="14.25" thickTop="1" thickBot="1">
      <c r="A1529" s="267" t="str">
        <f>C1533</f>
        <v>JOSE LOURIVAL ALVES</v>
      </c>
      <c r="B1529" s="68" t="s">
        <v>62</v>
      </c>
      <c r="C1529" s="66" t="s">
        <v>535</v>
      </c>
      <c r="D1529" s="67"/>
      <c r="E1529" s="62">
        <v>42705</v>
      </c>
      <c r="F1529" s="285"/>
    </row>
    <row r="1530" spans="1:6" ht="14.25" thickTop="1" thickBot="1">
      <c r="A1530" s="267" t="str">
        <f>C1546</f>
        <v>JOSE MOACIR FERRAZ</v>
      </c>
      <c r="B1530" s="68" t="s">
        <v>2347</v>
      </c>
      <c r="C1530" s="60" t="s">
        <v>1889</v>
      </c>
      <c r="D1530" s="191">
        <v>24535</v>
      </c>
      <c r="E1530" s="62">
        <v>43346</v>
      </c>
      <c r="F1530" s="285"/>
    </row>
    <row r="1531" spans="1:6" ht="14.25" thickTop="1" thickBot="1">
      <c r="A1531" s="267" t="s">
        <v>2410</v>
      </c>
      <c r="B1531" s="68" t="s">
        <v>62</v>
      </c>
      <c r="C1531" s="66" t="s">
        <v>1416</v>
      </c>
      <c r="D1531" s="65">
        <v>43927</v>
      </c>
      <c r="E1531" s="70">
        <v>42922</v>
      </c>
      <c r="F1531" s="284"/>
    </row>
    <row r="1532" spans="1:6" ht="14.25" thickTop="1" thickBot="1">
      <c r="A1532" s="267" t="str">
        <f>C1541</f>
        <v>JOSE MARCELO SOARES</v>
      </c>
      <c r="B1532" s="68" t="s">
        <v>2413</v>
      </c>
      <c r="C1532" s="78" t="s">
        <v>2220</v>
      </c>
      <c r="D1532" s="61"/>
      <c r="E1532" s="62">
        <v>43529</v>
      </c>
      <c r="F1532" s="285"/>
    </row>
    <row r="1533" spans="1:6" ht="14.25" thickTop="1" thickBot="1">
      <c r="A1533" s="272"/>
      <c r="B1533" s="68" t="s">
        <v>62</v>
      </c>
      <c r="C1533" s="66" t="s">
        <v>1417</v>
      </c>
      <c r="D1533" s="61">
        <v>111062</v>
      </c>
      <c r="E1533" s="62">
        <v>41060</v>
      </c>
      <c r="F1533" s="285"/>
    </row>
    <row r="1534" spans="1:6" ht="14.25" thickTop="1" thickBot="1">
      <c r="A1534" s="267" t="str">
        <f>C1536</f>
        <v>JOSE LUIS DE SOUZA MACIEL    (Polaquinho)</v>
      </c>
      <c r="B1534" s="68" t="s">
        <v>62</v>
      </c>
      <c r="C1534" s="66" t="s">
        <v>2410</v>
      </c>
      <c r="D1534" s="61">
        <v>157727</v>
      </c>
      <c r="E1534" s="70">
        <v>42975</v>
      </c>
      <c r="F1534" s="284"/>
    </row>
    <row r="1535" spans="1:6" ht="14.25" thickTop="1" thickBot="1">
      <c r="A1535" s="267"/>
      <c r="B1535" s="68" t="s">
        <v>2406</v>
      </c>
      <c r="C1535" s="66" t="s">
        <v>2410</v>
      </c>
      <c r="D1535" s="61">
        <v>157727</v>
      </c>
      <c r="E1535" s="70">
        <v>43882</v>
      </c>
      <c r="F1535" s="284"/>
    </row>
    <row r="1536" spans="1:6" ht="14.25" thickTop="1" thickBot="1">
      <c r="A1536" s="267" t="str">
        <f>C1539</f>
        <v>JOSE LUIZ DOS SANTOS</v>
      </c>
      <c r="B1536" s="68" t="s">
        <v>62</v>
      </c>
      <c r="C1536" s="66" t="s">
        <v>3013</v>
      </c>
      <c r="D1536" s="61">
        <v>18465</v>
      </c>
      <c r="E1536" s="62">
        <v>41113</v>
      </c>
      <c r="F1536" s="285"/>
    </row>
    <row r="1537" spans="1:6" ht="14.25" thickTop="1" thickBot="1">
      <c r="A1537" s="267" t="str">
        <f>C1542</f>
        <v>JOSE MARCIO DE SOUZA</v>
      </c>
      <c r="B1537" s="68" t="s">
        <v>62</v>
      </c>
      <c r="C1537" s="66" t="s">
        <v>3014</v>
      </c>
      <c r="D1537" s="61">
        <v>120758</v>
      </c>
      <c r="E1537" s="62">
        <v>42062</v>
      </c>
      <c r="F1537" s="285"/>
    </row>
    <row r="1538" spans="1:6" ht="14.25" thickTop="1" thickBot="1">
      <c r="A1538" s="267" t="str">
        <f>C1542</f>
        <v>JOSE MARCIO DE SOUZA</v>
      </c>
      <c r="B1538" s="68" t="s">
        <v>62</v>
      </c>
      <c r="C1538" s="66" t="s">
        <v>2025</v>
      </c>
      <c r="D1538" s="65">
        <v>27096</v>
      </c>
      <c r="E1538" s="70">
        <v>42373</v>
      </c>
      <c r="F1538" s="284"/>
    </row>
    <row r="1539" spans="1:6" ht="14.25" thickTop="1" thickBot="1">
      <c r="A1539" s="272" t="str">
        <f>C1545</f>
        <v>JOSE MAURO MORGESTERN    (Mauro Garçom)</v>
      </c>
      <c r="B1539" s="68" t="s">
        <v>62</v>
      </c>
      <c r="C1539" s="66" t="s">
        <v>556</v>
      </c>
      <c r="D1539" s="65">
        <v>63097</v>
      </c>
      <c r="E1539" s="62">
        <v>41687</v>
      </c>
      <c r="F1539" s="285"/>
    </row>
    <row r="1540" spans="1:6" ht="14.25" thickTop="1" thickBot="1">
      <c r="A1540" s="267" t="str">
        <f>C1545</f>
        <v>JOSE MAURO MORGESTERN    (Mauro Garçom)</v>
      </c>
      <c r="B1540" s="68" t="s">
        <v>62</v>
      </c>
      <c r="C1540" s="64" t="s">
        <v>1092</v>
      </c>
      <c r="D1540" s="65">
        <v>54024</v>
      </c>
      <c r="E1540" s="62">
        <v>41873</v>
      </c>
      <c r="F1540" s="285"/>
    </row>
    <row r="1541" spans="1:6" ht="14.25" thickTop="1" thickBot="1">
      <c r="A1541" s="267" t="s">
        <v>2702</v>
      </c>
      <c r="B1541" s="68" t="s">
        <v>62</v>
      </c>
      <c r="C1541" s="66" t="s">
        <v>202</v>
      </c>
      <c r="D1541" s="67"/>
      <c r="E1541" s="62">
        <v>40866</v>
      </c>
      <c r="F1541" s="285"/>
    </row>
    <row r="1542" spans="1:6" ht="14.25" thickTop="1" thickBot="1">
      <c r="A1542" s="267" t="str">
        <f>C1545</f>
        <v>JOSE MAURO MORGESTERN    (Mauro Garçom)</v>
      </c>
      <c r="B1542" s="68" t="s">
        <v>2413</v>
      </c>
      <c r="C1542" s="194" t="s">
        <v>2702</v>
      </c>
      <c r="D1542" s="61">
        <v>164564</v>
      </c>
      <c r="E1542" s="62">
        <v>43767</v>
      </c>
      <c r="F1542" s="285"/>
    </row>
    <row r="1543" spans="1:6" ht="14.25" thickTop="1" thickBot="1">
      <c r="A1543" s="267" t="str">
        <f>C1545</f>
        <v>JOSE MAURO MORGESTERN    (Mauro Garçom)</v>
      </c>
      <c r="B1543" s="68" t="s">
        <v>62</v>
      </c>
      <c r="C1543" s="66" t="s">
        <v>1418</v>
      </c>
      <c r="D1543" s="65">
        <v>63514</v>
      </c>
      <c r="E1543" s="70">
        <v>42523</v>
      </c>
      <c r="F1543" s="287"/>
    </row>
    <row r="1544" spans="1:6" ht="14.25" thickTop="1" thickBot="1">
      <c r="A1544" s="267" t="str">
        <f>C1547</f>
        <v>JOSE ODAIR DO NASCIMENTO SILVA</v>
      </c>
      <c r="B1544" s="68" t="s">
        <v>126</v>
      </c>
      <c r="C1544" s="66" t="s">
        <v>1006</v>
      </c>
      <c r="D1544" s="65">
        <v>9815</v>
      </c>
      <c r="E1544" s="62">
        <v>42706</v>
      </c>
      <c r="F1544" s="285"/>
    </row>
    <row r="1545" spans="1:6" ht="14.25" thickTop="1" thickBot="1">
      <c r="A1545" s="272"/>
      <c r="B1545" s="68" t="s">
        <v>62</v>
      </c>
      <c r="C1545" s="66" t="s">
        <v>3015</v>
      </c>
      <c r="D1545" s="65">
        <v>43927</v>
      </c>
      <c r="E1545" s="62">
        <v>41687</v>
      </c>
      <c r="F1545" s="285"/>
    </row>
    <row r="1546" spans="1:6" ht="14.25" thickTop="1" thickBot="1">
      <c r="A1546" s="267" t="str">
        <f>C1550</f>
        <v>JOSE OSNI PEREIRA</v>
      </c>
      <c r="B1546" s="68" t="s">
        <v>62</v>
      </c>
      <c r="C1546" s="66" t="s">
        <v>1517</v>
      </c>
      <c r="D1546" s="61">
        <v>53072</v>
      </c>
      <c r="E1546" s="62">
        <v>40687</v>
      </c>
      <c r="F1546" s="285"/>
    </row>
    <row r="1547" spans="1:6" ht="14.25" thickTop="1" thickBot="1">
      <c r="A1547" s="267" t="str">
        <f>C1552</f>
        <v>JOSE PROCHALSKI NETO</v>
      </c>
      <c r="B1547" s="68" t="s">
        <v>62</v>
      </c>
      <c r="C1547" s="66" t="s">
        <v>1767</v>
      </c>
      <c r="D1547" s="65">
        <v>63501</v>
      </c>
      <c r="E1547" s="70">
        <v>42283</v>
      </c>
      <c r="F1547" s="284"/>
    </row>
    <row r="1548" spans="1:6" ht="14.25" thickTop="1" thickBot="1">
      <c r="A1548" s="270" t="s">
        <v>2520</v>
      </c>
      <c r="B1548" s="68" t="s">
        <v>62</v>
      </c>
      <c r="C1548" s="64" t="s">
        <v>3016</v>
      </c>
      <c r="D1548" s="177"/>
      <c r="E1548" s="62">
        <v>42341</v>
      </c>
      <c r="F1548" s="285"/>
    </row>
    <row r="1549" spans="1:6" ht="14.25" thickTop="1" thickBot="1">
      <c r="A1549" s="267" t="str">
        <f>C1552</f>
        <v>JOSE PROCHALSKI NETO</v>
      </c>
      <c r="B1549" s="62" t="s">
        <v>1812</v>
      </c>
      <c r="C1549" s="77" t="s">
        <v>2520</v>
      </c>
      <c r="D1549" s="61">
        <v>118607</v>
      </c>
      <c r="E1549" s="62">
        <v>43755</v>
      </c>
      <c r="F1549" s="288"/>
    </row>
    <row r="1550" spans="1:6" ht="14.25" thickTop="1" thickBot="1">
      <c r="A1550" s="267" t="str">
        <f>C1552</f>
        <v>JOSE PROCHALSKI NETO</v>
      </c>
      <c r="B1550" s="68" t="s">
        <v>98</v>
      </c>
      <c r="C1550" s="66" t="s">
        <v>1419</v>
      </c>
      <c r="D1550" s="67"/>
      <c r="E1550" s="115">
        <v>40661</v>
      </c>
      <c r="F1550" s="288" t="s">
        <v>1152</v>
      </c>
    </row>
    <row r="1551" spans="1:6" ht="14.25" thickTop="1" thickBot="1">
      <c r="A1551" s="267" t="str">
        <f>C1553</f>
        <v>JOSE RAFAEL BAPTISTA    (Rafinha)</v>
      </c>
      <c r="B1551" s="61" t="s">
        <v>351</v>
      </c>
      <c r="C1551" s="66" t="s">
        <v>1420</v>
      </c>
      <c r="D1551" s="67"/>
      <c r="E1551" s="62">
        <v>43383</v>
      </c>
      <c r="F1551" s="284"/>
    </row>
    <row r="1552" spans="1:6" ht="14.25" thickTop="1" thickBot="1">
      <c r="A1552" s="267" t="str">
        <f>C1555</f>
        <v>JOSE RIBERTI GONÇALVES</v>
      </c>
      <c r="B1552" s="68" t="s">
        <v>62</v>
      </c>
      <c r="C1552" s="66" t="s">
        <v>214</v>
      </c>
      <c r="D1552" s="65">
        <v>27104</v>
      </c>
      <c r="E1552" s="62">
        <v>42321</v>
      </c>
      <c r="F1552" s="285"/>
    </row>
    <row r="1553" spans="1:256" ht="14.25" thickTop="1" thickBot="1">
      <c r="A1553" s="267"/>
      <c r="B1553" s="68" t="s">
        <v>1812</v>
      </c>
      <c r="C1553" s="77" t="s">
        <v>3017</v>
      </c>
      <c r="D1553" s="61">
        <v>127475</v>
      </c>
      <c r="E1553" s="70">
        <v>42304</v>
      </c>
      <c r="F1553" s="284"/>
    </row>
    <row r="1554" spans="1:256" ht="14.25" thickTop="1" thickBot="1">
      <c r="A1554" s="267" t="s">
        <v>919</v>
      </c>
      <c r="B1554" s="68" t="s">
        <v>1812</v>
      </c>
      <c r="C1554" s="66" t="s">
        <v>3517</v>
      </c>
      <c r="D1554" s="61">
        <v>153608</v>
      </c>
      <c r="E1554" s="62">
        <v>44041</v>
      </c>
      <c r="F1554" s="287"/>
    </row>
    <row r="1555" spans="1:256" ht="14.25" thickTop="1" thickBot="1">
      <c r="A1555" s="326" t="s">
        <v>2684</v>
      </c>
      <c r="B1555" s="68" t="s">
        <v>1812</v>
      </c>
      <c r="C1555" s="66" t="s">
        <v>622</v>
      </c>
      <c r="D1555" s="65"/>
      <c r="E1555" s="81">
        <v>43550</v>
      </c>
      <c r="F1555" s="285"/>
    </row>
    <row r="1556" spans="1:256" s="40" customFormat="1" ht="14.25" thickTop="1" thickBot="1">
      <c r="A1556" s="267" t="str">
        <f>C1559</f>
        <v>JOSE ROBERTO DOMINGOS</v>
      </c>
      <c r="B1556" s="68" t="s">
        <v>2406</v>
      </c>
      <c r="C1556" s="64" t="s">
        <v>1939</v>
      </c>
      <c r="D1556" s="65">
        <v>63473</v>
      </c>
      <c r="E1556" s="70">
        <v>43557</v>
      </c>
      <c r="F1556" s="285"/>
      <c r="G1556" s="37"/>
      <c r="H1556" s="37"/>
      <c r="I1556" s="37"/>
      <c r="J1556" s="37"/>
      <c r="K1556" s="37"/>
      <c r="L1556" s="37"/>
      <c r="M1556" s="37"/>
      <c r="N1556" s="37"/>
      <c r="O1556" s="37"/>
      <c r="P1556" s="37"/>
      <c r="Q1556" s="37"/>
      <c r="R1556" s="37"/>
      <c r="S1556" s="37"/>
      <c r="T1556" s="37"/>
      <c r="U1556" s="37"/>
      <c r="V1556" s="37"/>
      <c r="W1556" s="37"/>
      <c r="X1556" s="37"/>
      <c r="Y1556" s="37"/>
      <c r="Z1556" s="37"/>
      <c r="AA1556" s="37"/>
      <c r="AB1556" s="37"/>
      <c r="AC1556" s="37"/>
      <c r="AD1556" s="37"/>
      <c r="AE1556" s="37"/>
      <c r="AF1556" s="37"/>
      <c r="AG1556" s="37"/>
      <c r="AH1556" s="37"/>
      <c r="AI1556" s="37"/>
      <c r="AJ1556" s="37"/>
      <c r="AK1556" s="37"/>
      <c r="AL1556" s="37"/>
      <c r="AM1556" s="37"/>
      <c r="AN1556" s="37"/>
      <c r="AO1556" s="37"/>
      <c r="AP1556" s="37"/>
      <c r="AQ1556" s="37"/>
      <c r="AR1556" s="37"/>
      <c r="AS1556" s="37"/>
      <c r="AT1556" s="37"/>
      <c r="AU1556" s="37"/>
      <c r="AV1556" s="37"/>
      <c r="AW1556" s="37"/>
      <c r="AX1556" s="37"/>
      <c r="AY1556" s="37"/>
      <c r="AZ1556" s="37"/>
      <c r="BA1556" s="37"/>
      <c r="BB1556" s="37"/>
      <c r="BC1556" s="37"/>
      <c r="BD1556" s="37"/>
      <c r="BE1556" s="37"/>
      <c r="BF1556" s="37"/>
      <c r="BG1556" s="37"/>
      <c r="BH1556" s="37"/>
      <c r="BI1556" s="37"/>
      <c r="BJ1556" s="37"/>
      <c r="BK1556" s="37"/>
      <c r="BL1556" s="37"/>
      <c r="BM1556" s="37"/>
      <c r="BN1556" s="37"/>
      <c r="BO1556" s="37"/>
      <c r="BP1556" s="37"/>
      <c r="BQ1556" s="37"/>
      <c r="BR1556" s="37"/>
      <c r="BS1556" s="37"/>
      <c r="BT1556" s="37"/>
      <c r="BU1556" s="37"/>
      <c r="BV1556" s="37"/>
      <c r="BW1556" s="37"/>
      <c r="BX1556" s="37"/>
      <c r="BY1556" s="37"/>
      <c r="BZ1556" s="37"/>
      <c r="CA1556" s="37"/>
      <c r="CB1556" s="37"/>
      <c r="CC1556" s="37"/>
      <c r="CD1556" s="37"/>
      <c r="CE1556" s="37"/>
      <c r="CF1556" s="37"/>
      <c r="CG1556" s="37"/>
      <c r="CH1556" s="37"/>
      <c r="CI1556" s="37"/>
      <c r="CJ1556" s="37"/>
      <c r="CK1556" s="37"/>
      <c r="CL1556" s="37"/>
      <c r="CM1556" s="37"/>
      <c r="CN1556" s="37"/>
      <c r="CO1556" s="37"/>
      <c r="CP1556" s="37"/>
      <c r="CQ1556" s="37"/>
      <c r="CR1556" s="37"/>
      <c r="CS1556" s="37"/>
      <c r="CT1556" s="37"/>
      <c r="CU1556" s="37"/>
      <c r="CV1556" s="37"/>
      <c r="CW1556" s="37"/>
      <c r="CX1556" s="37"/>
      <c r="CY1556" s="37"/>
      <c r="CZ1556" s="37"/>
      <c r="DA1556" s="37"/>
      <c r="DB1556" s="37"/>
      <c r="DC1556" s="37"/>
      <c r="DD1556" s="37"/>
      <c r="DE1556" s="37"/>
      <c r="DF1556" s="37"/>
      <c r="DG1556" s="37"/>
      <c r="DH1556" s="37"/>
      <c r="DI1556" s="37"/>
      <c r="DJ1556" s="37"/>
      <c r="DK1556" s="37"/>
      <c r="DL1556" s="37"/>
      <c r="DM1556" s="37"/>
      <c r="DN1556" s="37"/>
      <c r="DO1556" s="37"/>
      <c r="DP1556" s="37"/>
      <c r="DQ1556" s="37"/>
      <c r="DR1556" s="37"/>
      <c r="DS1556" s="37"/>
      <c r="DT1556" s="37"/>
      <c r="DU1556" s="37"/>
      <c r="DV1556" s="37"/>
      <c r="DW1556" s="37"/>
      <c r="DX1556" s="37"/>
      <c r="DY1556" s="37"/>
      <c r="DZ1556" s="37"/>
      <c r="EA1556" s="37"/>
      <c r="EB1556" s="37"/>
      <c r="EC1556" s="37"/>
      <c r="ED1556" s="37"/>
      <c r="EE1556" s="37"/>
      <c r="EF1556" s="37"/>
      <c r="EG1556" s="37"/>
      <c r="EH1556" s="37"/>
      <c r="EI1556" s="37"/>
      <c r="EJ1556" s="37"/>
      <c r="EK1556" s="37"/>
      <c r="EL1556" s="37"/>
      <c r="EM1556" s="37"/>
      <c r="EN1556" s="37"/>
      <c r="EO1556" s="37"/>
      <c r="EP1556" s="37"/>
      <c r="EQ1556" s="37"/>
      <c r="ER1556" s="37"/>
      <c r="ES1556" s="37"/>
      <c r="ET1556" s="37"/>
      <c r="EU1556" s="37"/>
      <c r="EV1556" s="37"/>
      <c r="EW1556" s="37"/>
      <c r="EX1556" s="37"/>
      <c r="EY1556" s="37"/>
      <c r="EZ1556" s="37"/>
      <c r="FA1556" s="37"/>
      <c r="FB1556" s="37"/>
      <c r="FC1556" s="37"/>
      <c r="FD1556" s="37"/>
      <c r="FE1556" s="37"/>
      <c r="FF1556" s="37"/>
      <c r="FG1556" s="37"/>
      <c r="FH1556" s="37"/>
      <c r="FI1556" s="37"/>
      <c r="FJ1556" s="37"/>
      <c r="FK1556" s="37"/>
      <c r="FL1556" s="37"/>
      <c r="FM1556" s="37"/>
      <c r="FN1556" s="37"/>
      <c r="FO1556" s="37"/>
      <c r="FP1556" s="37"/>
      <c r="FQ1556" s="37"/>
      <c r="FR1556" s="37"/>
      <c r="FS1556" s="37"/>
      <c r="FT1556" s="37"/>
      <c r="FU1556" s="37"/>
      <c r="FV1556" s="37"/>
      <c r="FW1556" s="37"/>
      <c r="FX1556" s="37"/>
      <c r="FY1556" s="37"/>
      <c r="FZ1556" s="37"/>
      <c r="GA1556" s="37"/>
      <c r="GB1556" s="37"/>
      <c r="GC1556" s="37"/>
      <c r="GD1556" s="37"/>
      <c r="GE1556" s="37"/>
      <c r="GF1556" s="37"/>
      <c r="GG1556" s="37"/>
      <c r="GH1556" s="37"/>
      <c r="GI1556" s="37"/>
      <c r="GJ1556" s="37"/>
      <c r="GK1556" s="37"/>
      <c r="GL1556" s="37"/>
      <c r="GM1556" s="37"/>
      <c r="GN1556" s="37"/>
      <c r="GO1556" s="37"/>
      <c r="GP1556" s="37"/>
      <c r="GQ1556" s="37"/>
      <c r="GR1556" s="37"/>
      <c r="GS1556" s="37"/>
      <c r="GT1556" s="37"/>
      <c r="GU1556" s="37"/>
      <c r="GV1556" s="37"/>
      <c r="GW1556" s="37"/>
      <c r="GX1556" s="37"/>
      <c r="GY1556" s="37"/>
      <c r="GZ1556" s="37"/>
      <c r="HA1556" s="37"/>
      <c r="HB1556" s="37"/>
      <c r="HC1556" s="37"/>
      <c r="HD1556" s="37"/>
      <c r="HE1556" s="37"/>
      <c r="HF1556" s="37"/>
      <c r="HG1556" s="37"/>
      <c r="HH1556" s="37"/>
      <c r="HI1556" s="37"/>
      <c r="HJ1556" s="37"/>
      <c r="HK1556" s="37"/>
      <c r="HL1556" s="37"/>
      <c r="HM1556" s="37"/>
      <c r="HN1556" s="37"/>
      <c r="HO1556" s="37"/>
      <c r="HP1556" s="37"/>
      <c r="HQ1556" s="37"/>
      <c r="HR1556" s="37"/>
      <c r="HS1556" s="37"/>
      <c r="HT1556" s="37"/>
      <c r="HU1556" s="37"/>
      <c r="HV1556" s="37"/>
      <c r="HW1556" s="37"/>
      <c r="HX1556" s="37"/>
      <c r="HY1556" s="37"/>
      <c r="HZ1556" s="37"/>
      <c r="IA1556" s="37"/>
      <c r="IB1556" s="37"/>
      <c r="IC1556" s="37"/>
      <c r="ID1556" s="37"/>
      <c r="IE1556" s="37"/>
      <c r="IF1556" s="37"/>
      <c r="IG1556" s="37"/>
      <c r="IH1556" s="37"/>
      <c r="II1556" s="37"/>
      <c r="IJ1556" s="37"/>
      <c r="IK1556" s="37"/>
      <c r="IL1556" s="37"/>
      <c r="IM1556" s="37"/>
      <c r="IN1556" s="37"/>
      <c r="IO1556" s="37"/>
      <c r="IP1556" s="37"/>
      <c r="IQ1556" s="37"/>
      <c r="IR1556" s="37"/>
      <c r="IS1556" s="37"/>
      <c r="IT1556" s="37"/>
      <c r="IU1556" s="37"/>
      <c r="IV1556" s="37"/>
    </row>
    <row r="1557" spans="1:256" ht="14.25" thickTop="1" thickBot="1">
      <c r="A1557" s="267" t="s">
        <v>2616</v>
      </c>
      <c r="B1557" s="68" t="s">
        <v>62</v>
      </c>
      <c r="C1557" s="192" t="s">
        <v>3018</v>
      </c>
      <c r="D1557" s="61">
        <v>10888</v>
      </c>
      <c r="E1557" s="70">
        <v>42488</v>
      </c>
      <c r="F1557" s="284" t="s">
        <v>3468</v>
      </c>
    </row>
    <row r="1558" spans="1:256" ht="14.25" thickTop="1" thickBot="1">
      <c r="A1558" s="267" t="str">
        <f t="shared" ref="A1558:A1577" si="68">C1560</f>
        <v>JOSÉ ROBERTO DOMINGUES DOS SANTOS</v>
      </c>
      <c r="B1558" s="68" t="s">
        <v>2413</v>
      </c>
      <c r="C1558" s="66" t="s">
        <v>3019</v>
      </c>
      <c r="D1558" s="61">
        <v>63473</v>
      </c>
      <c r="E1558" s="62">
        <v>43529</v>
      </c>
      <c r="F1558" s="285"/>
    </row>
    <row r="1559" spans="1:256" ht="14.25" thickTop="1" thickBot="1">
      <c r="A1559" s="267" t="str">
        <f t="shared" si="68"/>
        <v>JOSE ROBERTO PEDROSO BAPTISTA    (Zeze)</v>
      </c>
      <c r="B1559" s="67" t="s">
        <v>1522</v>
      </c>
      <c r="C1559" s="66" t="s">
        <v>1279</v>
      </c>
      <c r="D1559" s="65">
        <v>60348</v>
      </c>
      <c r="E1559" s="62">
        <v>41991</v>
      </c>
      <c r="F1559" s="285"/>
    </row>
    <row r="1560" spans="1:256" ht="14.25" thickTop="1" thickBot="1">
      <c r="A1560" s="267" t="str">
        <f t="shared" si="68"/>
        <v>JOSE RODRIGO DE OLIVEIRA FREITAS</v>
      </c>
      <c r="B1560" s="68" t="s">
        <v>62</v>
      </c>
      <c r="C1560" s="66" t="s">
        <v>2617</v>
      </c>
      <c r="D1560" s="61"/>
      <c r="E1560" s="62">
        <v>40242</v>
      </c>
      <c r="F1560" s="285"/>
      <c r="G1560" s="40"/>
      <c r="H1560" s="40"/>
      <c r="I1560" s="40"/>
      <c r="J1560" s="40"/>
      <c r="K1560" s="40"/>
      <c r="L1560" s="40"/>
      <c r="M1560" s="40"/>
      <c r="N1560" s="40"/>
      <c r="O1560" s="40"/>
      <c r="P1560" s="40"/>
      <c r="Q1560" s="40"/>
      <c r="R1560" s="40"/>
      <c r="S1560" s="40"/>
      <c r="T1560" s="40"/>
      <c r="U1560" s="40"/>
      <c r="V1560" s="40"/>
      <c r="W1560" s="40"/>
      <c r="X1560" s="40"/>
      <c r="Y1560" s="40"/>
      <c r="Z1560" s="40"/>
      <c r="AA1560" s="40"/>
      <c r="AB1560" s="40"/>
      <c r="AC1560" s="40"/>
      <c r="AD1560" s="40"/>
      <c r="AE1560" s="40"/>
      <c r="AF1560" s="40"/>
      <c r="AG1560" s="40"/>
      <c r="AH1560" s="40"/>
      <c r="AI1560" s="40"/>
      <c r="AJ1560" s="40"/>
      <c r="AK1560" s="40"/>
      <c r="AL1560" s="40"/>
      <c r="AM1560" s="40"/>
      <c r="AN1560" s="40"/>
      <c r="AO1560" s="40"/>
      <c r="AP1560" s="40"/>
      <c r="AQ1560" s="40"/>
      <c r="AR1560" s="40"/>
      <c r="AS1560" s="40"/>
      <c r="AT1560" s="40"/>
      <c r="AU1560" s="40"/>
      <c r="AV1560" s="40"/>
      <c r="AW1560" s="40"/>
      <c r="AX1560" s="40"/>
      <c r="AY1560" s="40"/>
      <c r="AZ1560" s="40"/>
      <c r="BA1560" s="40"/>
      <c r="BB1560" s="40"/>
      <c r="BC1560" s="40"/>
      <c r="BD1560" s="40"/>
      <c r="BE1560" s="40"/>
      <c r="BF1560" s="40"/>
      <c r="BG1560" s="40"/>
      <c r="BH1560" s="40"/>
      <c r="BI1560" s="40"/>
      <c r="BJ1560" s="40"/>
      <c r="BK1560" s="40"/>
      <c r="BL1560" s="40"/>
      <c r="BM1560" s="40"/>
      <c r="BN1560" s="40"/>
      <c r="BO1560" s="40"/>
      <c r="BP1560" s="40"/>
      <c r="BQ1560" s="40"/>
      <c r="BR1560" s="40"/>
      <c r="BS1560" s="40"/>
      <c r="BT1560" s="40"/>
      <c r="BU1560" s="40"/>
      <c r="BV1560" s="40"/>
      <c r="BW1560" s="40"/>
      <c r="BX1560" s="40"/>
      <c r="BY1560" s="40"/>
      <c r="BZ1560" s="40"/>
      <c r="CA1560" s="40"/>
      <c r="CB1560" s="40"/>
      <c r="CC1560" s="40"/>
      <c r="CD1560" s="40"/>
      <c r="CE1560" s="40"/>
      <c r="CF1560" s="40"/>
      <c r="CG1560" s="40"/>
      <c r="CH1560" s="40"/>
      <c r="CI1560" s="40"/>
      <c r="CJ1560" s="40"/>
      <c r="CK1560" s="40"/>
      <c r="CL1560" s="40"/>
      <c r="CM1560" s="40"/>
      <c r="CN1560" s="40"/>
      <c r="CO1560" s="40"/>
      <c r="CP1560" s="40"/>
      <c r="CQ1560" s="40"/>
      <c r="CR1560" s="40"/>
      <c r="CS1560" s="40"/>
      <c r="CT1560" s="40"/>
      <c r="CU1560" s="40"/>
      <c r="CV1560" s="40"/>
      <c r="CW1560" s="40"/>
      <c r="CX1560" s="40"/>
      <c r="CY1560" s="40"/>
      <c r="CZ1560" s="40"/>
      <c r="DA1560" s="40"/>
      <c r="DB1560" s="40"/>
      <c r="DC1560" s="40"/>
      <c r="DD1560" s="40"/>
      <c r="DE1560" s="40"/>
      <c r="DF1560" s="40"/>
      <c r="DG1560" s="40"/>
      <c r="DH1560" s="40"/>
      <c r="DI1560" s="40"/>
      <c r="DJ1560" s="40"/>
      <c r="DK1560" s="40"/>
      <c r="DL1560" s="40"/>
      <c r="DM1560" s="40"/>
      <c r="DN1560" s="40"/>
      <c r="DO1560" s="40"/>
      <c r="DP1560" s="40"/>
      <c r="DQ1560" s="40"/>
      <c r="DR1560" s="40"/>
      <c r="DS1560" s="40"/>
      <c r="DT1560" s="40"/>
      <c r="DU1560" s="40"/>
      <c r="DV1560" s="40"/>
      <c r="DW1560" s="40"/>
      <c r="DX1560" s="40"/>
      <c r="DY1560" s="40"/>
      <c r="DZ1560" s="40"/>
      <c r="EA1560" s="40"/>
      <c r="EB1560" s="40"/>
      <c r="EC1560" s="40"/>
      <c r="ED1560" s="40"/>
      <c r="EE1560" s="40"/>
      <c r="EF1560" s="40"/>
      <c r="EG1560" s="40"/>
      <c r="EH1560" s="40"/>
      <c r="EI1560" s="40"/>
      <c r="EJ1560" s="40"/>
      <c r="EK1560" s="40"/>
      <c r="EL1560" s="40"/>
      <c r="EM1560" s="40"/>
      <c r="EN1560" s="40"/>
      <c r="EO1560" s="40"/>
      <c r="EP1560" s="40"/>
      <c r="EQ1560" s="40"/>
      <c r="ER1560" s="40"/>
      <c r="ES1560" s="40"/>
      <c r="ET1560" s="40"/>
      <c r="EU1560" s="40"/>
      <c r="EV1560" s="40"/>
      <c r="EW1560" s="40"/>
      <c r="EX1560" s="40"/>
      <c r="EY1560" s="40"/>
      <c r="EZ1560" s="40"/>
      <c r="FA1560" s="40"/>
      <c r="FB1560" s="40"/>
      <c r="FC1560" s="40"/>
      <c r="FD1560" s="40"/>
      <c r="FE1560" s="40"/>
      <c r="FF1560" s="40"/>
      <c r="FG1560" s="40"/>
      <c r="FH1560" s="40"/>
      <c r="FI1560" s="40"/>
      <c r="FJ1560" s="40"/>
      <c r="FK1560" s="40"/>
      <c r="FL1560" s="40"/>
      <c r="FM1560" s="40"/>
      <c r="FN1560" s="40"/>
      <c r="FO1560" s="40"/>
      <c r="FP1560" s="40"/>
      <c r="FQ1560" s="40"/>
      <c r="FR1560" s="40"/>
      <c r="FS1560" s="40"/>
      <c r="FT1560" s="40"/>
      <c r="FU1560" s="40"/>
      <c r="FV1560" s="40"/>
      <c r="FW1560" s="40"/>
      <c r="FX1560" s="40"/>
      <c r="FY1560" s="40"/>
      <c r="FZ1560" s="40"/>
      <c r="GA1560" s="40"/>
      <c r="GB1560" s="40"/>
      <c r="GC1560" s="40"/>
      <c r="GD1560" s="40"/>
      <c r="GE1560" s="40"/>
      <c r="GF1560" s="40"/>
      <c r="GG1560" s="40"/>
      <c r="GH1560" s="40"/>
      <c r="GI1560" s="40"/>
      <c r="GJ1560" s="40"/>
      <c r="GK1560" s="40"/>
      <c r="GL1560" s="40"/>
      <c r="GM1560" s="40"/>
      <c r="GN1560" s="40"/>
      <c r="GO1560" s="40"/>
      <c r="GP1560" s="40"/>
      <c r="GQ1560" s="40"/>
      <c r="GR1560" s="40"/>
      <c r="GS1560" s="40"/>
      <c r="GT1560" s="40"/>
      <c r="GU1560" s="40"/>
      <c r="GV1560" s="40"/>
      <c r="GW1560" s="40"/>
      <c r="GX1560" s="40"/>
      <c r="GY1560" s="40"/>
      <c r="GZ1560" s="40"/>
      <c r="HA1560" s="40"/>
      <c r="HB1560" s="40"/>
      <c r="HC1560" s="40"/>
      <c r="HD1560" s="40"/>
      <c r="HE1560" s="40"/>
      <c r="HF1560" s="40"/>
      <c r="HG1560" s="40"/>
      <c r="HH1560" s="40"/>
      <c r="HI1560" s="40"/>
      <c r="HJ1560" s="40"/>
      <c r="HK1560" s="40"/>
      <c r="HL1560" s="40"/>
      <c r="HM1560" s="40"/>
      <c r="HN1560" s="40"/>
      <c r="HO1560" s="40"/>
      <c r="HP1560" s="40"/>
      <c r="HQ1560" s="40"/>
      <c r="HR1560" s="40"/>
      <c r="HS1560" s="40"/>
      <c r="HT1560" s="40"/>
      <c r="HU1560" s="40"/>
      <c r="HV1560" s="40"/>
      <c r="HW1560" s="40"/>
      <c r="HX1560" s="40"/>
      <c r="HY1560" s="40"/>
      <c r="HZ1560" s="40"/>
      <c r="IA1560" s="40"/>
      <c r="IB1560" s="40"/>
      <c r="IC1560" s="40"/>
      <c r="ID1560" s="40"/>
      <c r="IE1560" s="40"/>
      <c r="IF1560" s="40"/>
      <c r="IG1560" s="40"/>
      <c r="IH1560" s="40"/>
      <c r="II1560" s="40"/>
      <c r="IJ1560" s="40"/>
      <c r="IK1560" s="40"/>
      <c r="IL1560" s="40"/>
      <c r="IM1560" s="40"/>
      <c r="IN1560" s="40"/>
      <c r="IO1560" s="40"/>
      <c r="IP1560" s="40"/>
      <c r="IQ1560" s="40"/>
      <c r="IR1560" s="40"/>
      <c r="IS1560" s="40"/>
      <c r="IT1560" s="40"/>
      <c r="IU1560" s="40"/>
      <c r="IV1560" s="40"/>
    </row>
    <row r="1561" spans="1:256" ht="14.25" thickTop="1" thickBot="1">
      <c r="A1561" s="267" t="str">
        <f t="shared" si="68"/>
        <v>JOSE RODRIGO NUNES DE MORAIS    (Zóio)</v>
      </c>
      <c r="B1561" s="89"/>
      <c r="C1561" s="66" t="s">
        <v>3020</v>
      </c>
      <c r="D1561" s="65">
        <v>102038</v>
      </c>
      <c r="E1561" s="62">
        <v>41071</v>
      </c>
      <c r="F1561" s="285"/>
    </row>
    <row r="1562" spans="1:256" ht="14.25" thickTop="1" thickBot="1">
      <c r="A1562" s="267" t="str">
        <f t="shared" si="68"/>
        <v>JOSE RODRIGUES DE SOUZA</v>
      </c>
      <c r="B1562" s="68" t="s">
        <v>62</v>
      </c>
      <c r="C1562" s="66" t="s">
        <v>319</v>
      </c>
      <c r="D1562" s="61">
        <v>63595</v>
      </c>
      <c r="E1562" s="62">
        <v>42471</v>
      </c>
      <c r="F1562" s="285"/>
    </row>
    <row r="1563" spans="1:256" ht="14.25" thickTop="1" thickBot="1">
      <c r="A1563" s="267" t="str">
        <f t="shared" si="68"/>
        <v>JOSE ROMEU VILELA      (Gago / Zé Romeu)</v>
      </c>
      <c r="B1563" s="68" t="s">
        <v>351</v>
      </c>
      <c r="C1563" s="66" t="s">
        <v>3021</v>
      </c>
      <c r="D1563" s="67"/>
      <c r="E1563" s="62">
        <v>40711</v>
      </c>
      <c r="F1563" s="285"/>
    </row>
    <row r="1564" spans="1:256" ht="14.25" thickTop="1" thickBot="1">
      <c r="A1564" s="267" t="str">
        <f t="shared" si="68"/>
        <v>JOSE ROSARIO DOS SANTOS</v>
      </c>
      <c r="B1564" s="68" t="s">
        <v>62</v>
      </c>
      <c r="C1564" s="66" t="s">
        <v>710</v>
      </c>
      <c r="D1564" s="65">
        <v>27281</v>
      </c>
      <c r="E1564" s="62">
        <v>40997</v>
      </c>
      <c r="F1564" s="285"/>
    </row>
    <row r="1565" spans="1:256" ht="14.25" thickTop="1" thickBot="1">
      <c r="A1565" s="267" t="str">
        <f t="shared" si="68"/>
        <v>JOSE ROSNEI PEREIRA</v>
      </c>
      <c r="B1565" s="68" t="s">
        <v>62</v>
      </c>
      <c r="C1565" s="64" t="s">
        <v>3022</v>
      </c>
      <c r="D1565" s="61">
        <v>63925</v>
      </c>
      <c r="E1565" s="62">
        <v>42900</v>
      </c>
      <c r="F1565" s="285"/>
    </row>
    <row r="1566" spans="1:256" ht="14.25" thickTop="1" thickBot="1">
      <c r="A1566" s="267" t="str">
        <f t="shared" si="68"/>
        <v>JOSE VALDECI SILVERIO</v>
      </c>
      <c r="B1566" s="68" t="s">
        <v>62</v>
      </c>
      <c r="C1566" s="66" t="s">
        <v>1187</v>
      </c>
      <c r="D1566" s="65">
        <v>52426</v>
      </c>
      <c r="E1566" s="62">
        <v>39927</v>
      </c>
      <c r="F1566" s="285"/>
    </row>
    <row r="1567" spans="1:256" ht="14.25" thickTop="1" thickBot="1">
      <c r="A1567" s="267" t="str">
        <f t="shared" si="68"/>
        <v>JOSE VALDEMAR PALHANO    (Rato Branco)</v>
      </c>
      <c r="B1567" s="68" t="s">
        <v>62</v>
      </c>
      <c r="C1567" s="66" t="s">
        <v>288</v>
      </c>
      <c r="D1567" s="65">
        <v>27113</v>
      </c>
      <c r="E1567" s="62">
        <v>40956</v>
      </c>
      <c r="F1567" s="285"/>
    </row>
    <row r="1568" spans="1:256" ht="14.25" thickTop="1" thickBot="1">
      <c r="A1568" s="267" t="str">
        <f t="shared" si="68"/>
        <v>JOSE VALDEVIR BONETE</v>
      </c>
      <c r="B1568" s="68" t="s">
        <v>1812</v>
      </c>
      <c r="C1568" s="66" t="s">
        <v>1453</v>
      </c>
      <c r="D1568" s="61">
        <v>113257</v>
      </c>
      <c r="E1568" s="62">
        <v>42048</v>
      </c>
      <c r="F1568" s="285"/>
    </row>
    <row r="1569" spans="1:6" ht="14.25" thickTop="1" thickBot="1">
      <c r="A1569" s="267" t="str">
        <f t="shared" si="68"/>
        <v>JOSE VALDINEI FERREIRA    (Gardenal)</v>
      </c>
      <c r="B1569" s="68" t="s">
        <v>62</v>
      </c>
      <c r="C1569" s="66" t="s">
        <v>3023</v>
      </c>
      <c r="D1569" s="61">
        <v>48842</v>
      </c>
      <c r="E1569" s="62">
        <v>41611</v>
      </c>
      <c r="F1569" s="285"/>
    </row>
    <row r="1570" spans="1:6" ht="14.25" thickTop="1" thickBot="1">
      <c r="A1570" s="267" t="str">
        <f t="shared" si="68"/>
        <v>JOSE VALDIR DA SILVA</v>
      </c>
      <c r="B1570" s="68" t="s">
        <v>62</v>
      </c>
      <c r="C1570" s="66" t="s">
        <v>1628</v>
      </c>
      <c r="D1570" s="65">
        <v>27077</v>
      </c>
      <c r="E1570" s="62">
        <v>40633</v>
      </c>
      <c r="F1570" s="285"/>
    </row>
    <row r="1571" spans="1:6" ht="14.25" thickTop="1" thickBot="1">
      <c r="A1571" s="267" t="str">
        <f t="shared" si="68"/>
        <v xml:space="preserve">JOSE VANDERLEI SPRADA        </v>
      </c>
      <c r="B1571" s="68" t="s">
        <v>62</v>
      </c>
      <c r="C1571" s="64" t="s">
        <v>3024</v>
      </c>
      <c r="D1571" s="65">
        <v>63825</v>
      </c>
      <c r="E1571" s="62">
        <v>42923</v>
      </c>
      <c r="F1571" s="285"/>
    </row>
    <row r="1572" spans="1:6" ht="14.25" thickTop="1" thickBot="1">
      <c r="A1572" s="267" t="str">
        <f t="shared" si="68"/>
        <v>JOSE VINICIUS SOARES POSSOMATO    (Ogro)</v>
      </c>
      <c r="B1572" s="68" t="s">
        <v>2347</v>
      </c>
      <c r="C1572" s="64" t="s">
        <v>477</v>
      </c>
      <c r="D1572" s="67"/>
      <c r="E1572" s="62">
        <v>43346</v>
      </c>
      <c r="F1572" s="285"/>
    </row>
    <row r="1573" spans="1:6" ht="14.25" thickTop="1" thickBot="1">
      <c r="A1573" s="267" t="str">
        <f t="shared" si="68"/>
        <v>JOSE WILLIAN PEREIRA    (Kisuko)</v>
      </c>
      <c r="B1573" s="68" t="s">
        <v>62</v>
      </c>
      <c r="C1573" s="64" t="s">
        <v>1102</v>
      </c>
      <c r="D1573" s="65">
        <v>101694</v>
      </c>
      <c r="E1573" s="62">
        <v>40623</v>
      </c>
      <c r="F1573" s="285"/>
    </row>
    <row r="1574" spans="1:6" ht="14.25" thickTop="1" thickBot="1">
      <c r="A1574" s="267" t="str">
        <f t="shared" si="68"/>
        <v>JOSE ZUBER SOBRINHO</v>
      </c>
      <c r="B1574" s="68" t="s">
        <v>62</v>
      </c>
      <c r="C1574" s="66" t="s">
        <v>3025</v>
      </c>
      <c r="D1574" s="61">
        <v>128424</v>
      </c>
      <c r="E1574" s="62">
        <v>41955</v>
      </c>
      <c r="F1574" s="285"/>
    </row>
    <row r="1575" spans="1:6" ht="14.25" thickTop="1" thickBot="1">
      <c r="A1575" s="267" t="str">
        <f t="shared" si="68"/>
        <v>JOSEMAR RALO TABORDA PRESTES</v>
      </c>
      <c r="B1575" s="68" t="s">
        <v>62</v>
      </c>
      <c r="C1575" s="66" t="s">
        <v>3026</v>
      </c>
      <c r="D1575" s="65">
        <v>101892</v>
      </c>
      <c r="E1575" s="62">
        <v>41624</v>
      </c>
      <c r="F1575" s="285"/>
    </row>
    <row r="1576" spans="1:6" ht="14.25" thickTop="1" thickBot="1">
      <c r="A1576" s="267" t="str">
        <f t="shared" si="68"/>
        <v>JOSEMIR NADAL JUNIOR</v>
      </c>
      <c r="B1576" s="68" t="s">
        <v>62</v>
      </c>
      <c r="C1576" s="64" t="s">
        <v>452</v>
      </c>
      <c r="D1576" s="61">
        <v>27294</v>
      </c>
      <c r="E1576" s="62">
        <v>40879</v>
      </c>
      <c r="F1576" s="285"/>
    </row>
    <row r="1577" spans="1:6" ht="14.25" thickTop="1" thickBot="1">
      <c r="A1577" s="267" t="str">
        <f t="shared" si="68"/>
        <v>JOSENEI MATSUMOTO</v>
      </c>
      <c r="B1577" s="67" t="s">
        <v>1522</v>
      </c>
      <c r="C1577" s="66" t="s">
        <v>1622</v>
      </c>
      <c r="D1577" s="69">
        <v>18308</v>
      </c>
      <c r="E1577" s="62">
        <v>41732</v>
      </c>
      <c r="F1577" s="285"/>
    </row>
    <row r="1578" spans="1:6" ht="14.25" thickTop="1" thickBot="1">
      <c r="A1578" s="267"/>
      <c r="B1578" s="68" t="s">
        <v>1306</v>
      </c>
      <c r="C1578" s="66" t="s">
        <v>140</v>
      </c>
      <c r="D1578" s="188">
        <v>63921</v>
      </c>
      <c r="E1578" s="62">
        <v>42475</v>
      </c>
      <c r="F1578" s="287"/>
    </row>
    <row r="1579" spans="1:6" ht="14.25" thickTop="1" thickBot="1">
      <c r="A1579" s="268"/>
      <c r="B1579" s="68" t="s">
        <v>1812</v>
      </c>
      <c r="C1579" s="60" t="s">
        <v>2486</v>
      </c>
      <c r="D1579" s="61">
        <v>152500</v>
      </c>
      <c r="E1579" s="70">
        <v>43808</v>
      </c>
      <c r="F1579" s="287"/>
    </row>
    <row r="1580" spans="1:6" ht="14.25" thickTop="1" thickBot="1">
      <c r="A1580" s="272" t="str">
        <f t="shared" ref="A1580:A1595" si="69">C1582</f>
        <v>JOSIAS FERREIRA DA SILVA    (Bizorro)</v>
      </c>
      <c r="B1580" s="89" t="s">
        <v>2413</v>
      </c>
      <c r="C1580" s="66" t="s">
        <v>553</v>
      </c>
      <c r="D1580" s="61">
        <v>63934</v>
      </c>
      <c r="E1580" s="70">
        <v>43440</v>
      </c>
      <c r="F1580" s="284"/>
    </row>
    <row r="1581" spans="1:6" ht="14.25" thickTop="1" thickBot="1">
      <c r="A1581" s="340" t="str">
        <f t="shared" si="69"/>
        <v>JOSIAS MOURA DA SILVA</v>
      </c>
      <c r="B1581" s="68" t="s">
        <v>546</v>
      </c>
      <c r="C1581" s="66" t="s">
        <v>380</v>
      </c>
      <c r="D1581" s="61">
        <v>7054</v>
      </c>
      <c r="E1581" s="62">
        <v>39488</v>
      </c>
      <c r="F1581" s="285"/>
    </row>
    <row r="1582" spans="1:6" ht="14.25" thickTop="1" thickBot="1">
      <c r="A1582" s="267" t="str">
        <f t="shared" si="69"/>
        <v>JOSIAS NATAL DE JESUS</v>
      </c>
      <c r="B1582" s="68" t="s">
        <v>62</v>
      </c>
      <c r="C1582" s="60" t="s">
        <v>3027</v>
      </c>
      <c r="D1582" s="61">
        <v>55344</v>
      </c>
      <c r="E1582" s="62">
        <v>40737</v>
      </c>
      <c r="F1582" s="285"/>
    </row>
    <row r="1583" spans="1:6" ht="14.25" thickTop="1" thickBot="1">
      <c r="A1583" s="267" t="str">
        <f t="shared" si="69"/>
        <v>JOSIEL DE ALMEIDA ROSA</v>
      </c>
      <c r="B1583" s="68" t="s">
        <v>62</v>
      </c>
      <c r="C1583" s="66" t="s">
        <v>918</v>
      </c>
      <c r="D1583" s="67"/>
      <c r="E1583" s="62">
        <v>42327</v>
      </c>
      <c r="F1583" s="285"/>
    </row>
    <row r="1584" spans="1:6" ht="14.25" thickTop="1" thickBot="1">
      <c r="A1584" s="267" t="str">
        <f t="shared" si="69"/>
        <v>JOSIEL PIRES</v>
      </c>
      <c r="B1584" s="68" t="s">
        <v>62</v>
      </c>
      <c r="C1584" s="64" t="s">
        <v>1066</v>
      </c>
      <c r="D1584" s="61">
        <v>63572</v>
      </c>
      <c r="E1584" s="62">
        <v>40772</v>
      </c>
      <c r="F1584" s="285"/>
    </row>
    <row r="1585" spans="1:6" ht="14.25" thickTop="1" thickBot="1">
      <c r="A1585" s="267" t="str">
        <f t="shared" si="69"/>
        <v>JOSILDO APARECIDO DE LIMA</v>
      </c>
      <c r="B1585" s="68" t="s">
        <v>62</v>
      </c>
      <c r="C1585" s="66" t="s">
        <v>1067</v>
      </c>
      <c r="D1585" s="61">
        <v>27334</v>
      </c>
      <c r="E1585" s="62">
        <v>41816</v>
      </c>
      <c r="F1585" s="285"/>
    </row>
    <row r="1586" spans="1:6" ht="14.25" thickTop="1" thickBot="1">
      <c r="A1586" s="267" t="str">
        <f t="shared" si="69"/>
        <v>JOSIMAR ALCEU MONTEIRO</v>
      </c>
      <c r="B1586" s="68" t="s">
        <v>546</v>
      </c>
      <c r="C1586" s="64" t="s">
        <v>913</v>
      </c>
      <c r="D1586" s="61">
        <v>24070</v>
      </c>
      <c r="E1586" s="62">
        <v>41969</v>
      </c>
      <c r="F1586" s="285"/>
    </row>
    <row r="1587" spans="1:6" ht="14.25" thickTop="1" thickBot="1">
      <c r="A1587" s="267" t="str">
        <f t="shared" si="69"/>
        <v>JOSINEI MARTINS       (Fernete)</v>
      </c>
      <c r="B1587" s="68" t="s">
        <v>62</v>
      </c>
      <c r="C1587" s="66" t="s">
        <v>926</v>
      </c>
      <c r="D1587" s="65">
        <v>63695</v>
      </c>
      <c r="E1587" s="62">
        <v>42849</v>
      </c>
      <c r="F1587" s="285"/>
    </row>
    <row r="1588" spans="1:6" ht="14.25" thickTop="1" thickBot="1">
      <c r="A1588" s="267" t="str">
        <f t="shared" si="69"/>
        <v>JOSLEY JUNIOR FERNANDES DE PAULA</v>
      </c>
      <c r="B1588" s="68" t="s">
        <v>1812</v>
      </c>
      <c r="C1588" s="66" t="s">
        <v>522</v>
      </c>
      <c r="D1588" s="65">
        <v>63593</v>
      </c>
      <c r="E1588" s="62">
        <v>41586</v>
      </c>
      <c r="F1588" s="285"/>
    </row>
    <row r="1589" spans="1:6" ht="14.25" thickTop="1" thickBot="1">
      <c r="A1589" s="267" t="str">
        <f t="shared" si="69"/>
        <v>JOSMAR ANTONIO PINHEIRO</v>
      </c>
      <c r="B1589" s="68" t="s">
        <v>1306</v>
      </c>
      <c r="C1589" s="64" t="s">
        <v>3028</v>
      </c>
      <c r="D1589" s="74"/>
      <c r="E1589" s="70">
        <v>42838</v>
      </c>
      <c r="F1589" s="284"/>
    </row>
    <row r="1590" spans="1:6" ht="14.25" thickTop="1" thickBot="1">
      <c r="A1590" s="267" t="str">
        <f t="shared" si="69"/>
        <v>JOSMAR MACHADO DA SILVA</v>
      </c>
      <c r="B1590" s="68" t="s">
        <v>62</v>
      </c>
      <c r="C1590" s="66" t="s">
        <v>504</v>
      </c>
      <c r="D1590" s="65">
        <v>63783</v>
      </c>
      <c r="E1590" s="62">
        <v>42108</v>
      </c>
      <c r="F1590" s="285"/>
    </row>
    <row r="1591" spans="1:6" ht="14.25" thickTop="1" thickBot="1">
      <c r="A1591" s="267" t="str">
        <f t="shared" si="69"/>
        <v>JOSMAR PORTELA RODRIGUES     (Pombinha)</v>
      </c>
      <c r="B1591" s="68" t="s">
        <v>62</v>
      </c>
      <c r="C1591" s="66" t="s">
        <v>1532</v>
      </c>
      <c r="D1591" s="65">
        <v>63302</v>
      </c>
      <c r="E1591" s="62">
        <v>42480</v>
      </c>
      <c r="F1591" s="285"/>
    </row>
    <row r="1592" spans="1:6" ht="14.25" thickTop="1" thickBot="1">
      <c r="A1592" s="267" t="str">
        <f t="shared" si="69"/>
        <v xml:space="preserve">JOSNEI APARECIDO BORGES </v>
      </c>
      <c r="B1592" s="68" t="s">
        <v>1812</v>
      </c>
      <c r="C1592" s="376" t="s">
        <v>3530</v>
      </c>
      <c r="D1592" s="386">
        <v>122769</v>
      </c>
      <c r="E1592" s="62">
        <v>44098</v>
      </c>
      <c r="F1592" s="285"/>
    </row>
    <row r="1593" spans="1:6" ht="14.25" thickTop="1" thickBot="1">
      <c r="A1593" s="267" t="str">
        <f t="shared" si="69"/>
        <v>JOSNEI KRAUSUKI         (Nei)</v>
      </c>
      <c r="B1593" s="68" t="s">
        <v>1306</v>
      </c>
      <c r="C1593" s="66" t="s">
        <v>3029</v>
      </c>
      <c r="D1593" s="67"/>
      <c r="E1593" s="62">
        <v>41323</v>
      </c>
      <c r="F1593" s="285"/>
    </row>
    <row r="1594" spans="1:6" ht="14.25" thickTop="1" thickBot="1">
      <c r="A1594" s="267" t="str">
        <f t="shared" si="69"/>
        <v>JOSNEI LIMA FERREIRA</v>
      </c>
      <c r="B1594" s="68" t="s">
        <v>62</v>
      </c>
      <c r="C1594" s="64" t="s">
        <v>1070</v>
      </c>
      <c r="D1594" s="67"/>
      <c r="E1594" s="62">
        <v>40134</v>
      </c>
      <c r="F1594" s="285"/>
    </row>
    <row r="1595" spans="1:6" ht="14.25" thickTop="1" thickBot="1">
      <c r="A1595" s="267" t="str">
        <f t="shared" si="69"/>
        <v>JOSNEI LIMA FERREIRA    (Geladinho)</v>
      </c>
      <c r="B1595" s="68" t="s">
        <v>62</v>
      </c>
      <c r="C1595" s="66" t="s">
        <v>3030</v>
      </c>
      <c r="D1595" s="65">
        <v>10499</v>
      </c>
      <c r="E1595" s="62"/>
      <c r="F1595" s="285"/>
    </row>
    <row r="1596" spans="1:6" ht="14.25" thickTop="1" thickBot="1">
      <c r="A1596" s="267"/>
      <c r="B1596" s="68" t="s">
        <v>351</v>
      </c>
      <c r="C1596" s="66" t="s">
        <v>621</v>
      </c>
      <c r="D1596" s="61">
        <v>63445</v>
      </c>
      <c r="E1596" s="62">
        <v>42704</v>
      </c>
      <c r="F1596" s="285"/>
    </row>
    <row r="1597" spans="1:6" ht="14.25" thickTop="1" thickBot="1">
      <c r="A1597" s="267" t="str">
        <f>C1599</f>
        <v>JOSNEI RAMOS</v>
      </c>
      <c r="B1597" s="68" t="s">
        <v>1002</v>
      </c>
      <c r="C1597" s="301" t="s">
        <v>3031</v>
      </c>
      <c r="D1597" s="61">
        <v>10499</v>
      </c>
      <c r="E1597" s="70">
        <v>42922</v>
      </c>
      <c r="F1597" s="284"/>
    </row>
    <row r="1598" spans="1:6" ht="14.25" thickTop="1" thickBot="1">
      <c r="A1598" s="267"/>
      <c r="B1598" s="68"/>
      <c r="C1598" s="332" t="s">
        <v>2683</v>
      </c>
      <c r="D1598" s="333">
        <v>114733</v>
      </c>
      <c r="E1598" s="70"/>
      <c r="F1598" s="284"/>
    </row>
    <row r="1599" spans="1:6" ht="14.25" thickTop="1" thickBot="1">
      <c r="A1599" s="267" t="str">
        <f>C1601</f>
        <v>JOSNEY FRANÇA DE MATOS</v>
      </c>
      <c r="B1599" s="68" t="s">
        <v>62</v>
      </c>
      <c r="C1599" s="66" t="s">
        <v>1084</v>
      </c>
      <c r="D1599" s="65">
        <v>27192</v>
      </c>
      <c r="E1599" s="62">
        <v>41983</v>
      </c>
      <c r="F1599" s="285"/>
    </row>
    <row r="1600" spans="1:6" ht="14.25" thickTop="1" thickBot="1">
      <c r="A1600" s="267" t="str">
        <f>C1602</f>
        <v>JOSNEY FRANÇA DE MATOS</v>
      </c>
      <c r="B1600" s="68" t="s">
        <v>62</v>
      </c>
      <c r="C1600" s="66" t="s">
        <v>828</v>
      </c>
      <c r="D1600" s="61">
        <v>108295</v>
      </c>
      <c r="E1600" s="62">
        <v>41757</v>
      </c>
      <c r="F1600" s="285"/>
    </row>
    <row r="1601" spans="1:6" ht="14.25" thickTop="1" thickBot="1">
      <c r="A1601" s="267"/>
      <c r="B1601" s="68" t="s">
        <v>62</v>
      </c>
      <c r="C1601" s="66" t="s">
        <v>565</v>
      </c>
      <c r="D1601" s="65">
        <v>63955</v>
      </c>
      <c r="E1601" s="62">
        <v>40308</v>
      </c>
      <c r="F1601" s="285"/>
    </row>
    <row r="1602" spans="1:6" ht="14.25" thickTop="1" thickBot="1">
      <c r="A1602" s="276"/>
      <c r="B1602" s="68" t="s">
        <v>2406</v>
      </c>
      <c r="C1602" s="192" t="s">
        <v>565</v>
      </c>
      <c r="D1602" s="61">
        <v>108295</v>
      </c>
      <c r="E1602" s="70">
        <v>43739</v>
      </c>
      <c r="F1602" s="287"/>
    </row>
    <row r="1603" spans="1:6" ht="14.25" thickTop="1" thickBot="1">
      <c r="A1603" s="267" t="str">
        <f>C1605</f>
        <v>JOSUE LUÍS CORDEIRO</v>
      </c>
      <c r="B1603" s="68" t="s">
        <v>62</v>
      </c>
      <c r="C1603" s="66" t="s">
        <v>226</v>
      </c>
      <c r="D1603" s="65">
        <v>63917</v>
      </c>
      <c r="E1603" s="62"/>
      <c r="F1603" s="285"/>
    </row>
    <row r="1604" spans="1:6" ht="14.25" thickTop="1" thickBot="1">
      <c r="A1604" s="267" t="str">
        <f>C1606</f>
        <v>JOSUEL DA SILVA MATSUMOTO    (Tael)</v>
      </c>
      <c r="B1604" s="68" t="s">
        <v>62</v>
      </c>
      <c r="C1604" s="66" t="s">
        <v>1385</v>
      </c>
      <c r="D1604" s="67"/>
      <c r="E1604" s="62">
        <v>39321</v>
      </c>
      <c r="F1604" s="285"/>
    </row>
    <row r="1605" spans="1:6" ht="14.25" thickTop="1" thickBot="1">
      <c r="A1605" s="267" t="str">
        <f>C1608</f>
        <v>JOSUEL GUERREIRO BARBOSA    (Tim Maia)</v>
      </c>
      <c r="B1605" s="68" t="s">
        <v>2413</v>
      </c>
      <c r="C1605" s="192" t="s">
        <v>2817</v>
      </c>
      <c r="D1605" s="61">
        <v>148340</v>
      </c>
      <c r="E1605" s="62">
        <v>44062</v>
      </c>
      <c r="F1605" s="285"/>
    </row>
    <row r="1606" spans="1:6" ht="14.25" thickTop="1" thickBot="1">
      <c r="A1606" s="267"/>
      <c r="B1606" s="68" t="s">
        <v>351</v>
      </c>
      <c r="C1606" s="66" t="s">
        <v>3032</v>
      </c>
      <c r="D1606" s="61">
        <v>117555</v>
      </c>
      <c r="E1606" s="62">
        <v>42480</v>
      </c>
      <c r="F1606" s="285"/>
    </row>
    <row r="1607" spans="1:6" ht="14.25" thickTop="1" thickBot="1">
      <c r="A1607" s="267" t="str">
        <f t="shared" ref="A1607:A1616" si="70">C1609</f>
        <v>JOSUEL JHONATAN PINHEIRO</v>
      </c>
      <c r="B1607" s="68" t="s">
        <v>62</v>
      </c>
      <c r="C1607" s="66" t="s">
        <v>679</v>
      </c>
      <c r="D1607" s="61">
        <v>27273</v>
      </c>
      <c r="E1607" s="70">
        <v>43363</v>
      </c>
      <c r="F1607" s="291"/>
    </row>
    <row r="1608" spans="1:6" ht="14.25" thickTop="1" thickBot="1">
      <c r="A1608" s="267" t="str">
        <f t="shared" si="70"/>
        <v>JOSUEL PEREIRA DOS SANTOS</v>
      </c>
      <c r="B1608" s="68" t="s">
        <v>62</v>
      </c>
      <c r="C1608" s="66" t="s">
        <v>3033</v>
      </c>
      <c r="D1608" s="65">
        <v>90253</v>
      </c>
      <c r="E1608" s="62">
        <v>42108</v>
      </c>
      <c r="F1608" s="285"/>
    </row>
    <row r="1609" spans="1:6" ht="14.25" thickTop="1" thickBot="1">
      <c r="A1609" s="267" t="str">
        <f t="shared" si="70"/>
        <v>JOVAIL DO PRADO</v>
      </c>
      <c r="B1609" s="68" t="s">
        <v>1306</v>
      </c>
      <c r="C1609" s="77" t="s">
        <v>2130</v>
      </c>
      <c r="D1609" s="198">
        <v>117389</v>
      </c>
      <c r="E1609" s="70">
        <v>42909</v>
      </c>
      <c r="F1609" s="284"/>
    </row>
    <row r="1610" spans="1:6" ht="14.25" thickTop="1" thickBot="1">
      <c r="A1610" s="267" t="str">
        <f t="shared" si="70"/>
        <v>JUAREZ JOSE DA SILVA</v>
      </c>
      <c r="B1610" s="68" t="s">
        <v>62</v>
      </c>
      <c r="C1610" s="66" t="s">
        <v>1071</v>
      </c>
      <c r="D1610" s="65"/>
      <c r="E1610" s="70">
        <v>42523</v>
      </c>
      <c r="F1610" s="287"/>
    </row>
    <row r="1611" spans="1:6" ht="14.25" thickTop="1" thickBot="1">
      <c r="A1611" s="267" t="str">
        <f t="shared" si="70"/>
        <v>JUAREZ KONINCK</v>
      </c>
      <c r="B1611" s="68" t="s">
        <v>62</v>
      </c>
      <c r="C1611" s="66" t="s">
        <v>599</v>
      </c>
      <c r="D1611" s="65">
        <v>63790</v>
      </c>
      <c r="E1611" s="62">
        <v>41963</v>
      </c>
      <c r="F1611" s="285"/>
    </row>
    <row r="1612" spans="1:6" ht="14.25" thickTop="1" thickBot="1">
      <c r="A1612" s="267" t="str">
        <f t="shared" si="70"/>
        <v>JULIANO ALVES DA MAIAR MIOTTO</v>
      </c>
      <c r="B1612" s="68" t="s">
        <v>62</v>
      </c>
      <c r="C1612" s="64" t="s">
        <v>732</v>
      </c>
      <c r="D1612" s="61">
        <v>46869</v>
      </c>
      <c r="E1612" s="62">
        <v>42038</v>
      </c>
      <c r="F1612" s="288" t="s">
        <v>77</v>
      </c>
    </row>
    <row r="1613" spans="1:6" ht="14.25" thickTop="1" thickBot="1">
      <c r="A1613" s="267" t="str">
        <f t="shared" si="70"/>
        <v>JULIANO BARBOSA FERREIRA DOS SANTOS</v>
      </c>
      <c r="B1613" s="68" t="s">
        <v>62</v>
      </c>
      <c r="C1613" s="66" t="s">
        <v>213</v>
      </c>
      <c r="D1613" s="67"/>
      <c r="E1613" s="62">
        <v>42108</v>
      </c>
      <c r="F1613" s="285"/>
    </row>
    <row r="1614" spans="1:6" ht="14.25" thickTop="1" thickBot="1">
      <c r="A1614" s="267" t="str">
        <f t="shared" si="70"/>
        <v>JULIANO CARDOSO</v>
      </c>
      <c r="B1614" s="68" t="s">
        <v>62</v>
      </c>
      <c r="C1614" s="64" t="s">
        <v>717</v>
      </c>
      <c r="D1614" s="65">
        <v>63250</v>
      </c>
      <c r="E1614" s="62">
        <v>41732</v>
      </c>
      <c r="F1614" s="285"/>
    </row>
    <row r="1615" spans="1:6" ht="14.25" thickTop="1" thickBot="1">
      <c r="A1615" s="267" t="str">
        <f t="shared" si="70"/>
        <v>JULIANO CARVALHO DE SOUZA</v>
      </c>
      <c r="B1615" s="68" t="s">
        <v>62</v>
      </c>
      <c r="C1615" s="66" t="s">
        <v>21</v>
      </c>
      <c r="D1615" s="65"/>
      <c r="E1615" s="62">
        <v>39960</v>
      </c>
      <c r="F1615" s="285"/>
    </row>
    <row r="1616" spans="1:6" ht="14.25" thickTop="1" thickBot="1">
      <c r="A1616" s="267" t="str">
        <f t="shared" si="70"/>
        <v>JULIANO CORREA</v>
      </c>
      <c r="B1616" s="68" t="s">
        <v>62</v>
      </c>
      <c r="C1616" s="66" t="s">
        <v>779</v>
      </c>
      <c r="D1616" s="61">
        <v>21840</v>
      </c>
      <c r="E1616" s="115">
        <v>39870</v>
      </c>
      <c r="F1616" s="288" t="s">
        <v>77</v>
      </c>
    </row>
    <row r="1617" spans="1:6" ht="14.25" thickTop="1" thickBot="1">
      <c r="A1617" s="271" t="s">
        <v>2372</v>
      </c>
      <c r="B1617" s="68" t="s">
        <v>62</v>
      </c>
      <c r="C1617" s="66" t="s">
        <v>434</v>
      </c>
      <c r="D1617" s="67"/>
      <c r="E1617" s="62">
        <v>42353</v>
      </c>
      <c r="F1617" s="285"/>
    </row>
    <row r="1618" spans="1:6" ht="14.25" thickTop="1" thickBot="1">
      <c r="A1618" s="267" t="str">
        <f>C1620</f>
        <v>JULIANO DA SILVA MATSUMOTO</v>
      </c>
      <c r="B1618" s="61" t="s">
        <v>62</v>
      </c>
      <c r="C1618" s="64" t="s">
        <v>521</v>
      </c>
      <c r="D1618" s="65">
        <v>90228</v>
      </c>
      <c r="E1618" s="62">
        <v>43413</v>
      </c>
      <c r="F1618" s="285"/>
    </row>
    <row r="1619" spans="1:6" ht="14.25" thickTop="1" thickBot="1">
      <c r="A1619" s="268"/>
      <c r="B1619" s="68" t="s">
        <v>62</v>
      </c>
      <c r="C1619" s="66" t="s">
        <v>748</v>
      </c>
      <c r="D1619" s="61">
        <v>101183</v>
      </c>
      <c r="E1619" s="62">
        <v>42353</v>
      </c>
      <c r="F1619" s="285"/>
    </row>
    <row r="1620" spans="1:6" ht="14.25" thickTop="1" thickBot="1">
      <c r="A1620" s="267" t="str">
        <f>C1622</f>
        <v>JULIANO DE JESUS SOARES RODRIGUES</v>
      </c>
      <c r="B1620" s="61" t="s">
        <v>2406</v>
      </c>
      <c r="C1620" s="66" t="s">
        <v>2372</v>
      </c>
      <c r="D1620" s="61">
        <v>157733</v>
      </c>
      <c r="E1620" s="70">
        <v>43504</v>
      </c>
      <c r="F1620" s="284"/>
    </row>
    <row r="1621" spans="1:6" ht="14.25" thickTop="1" thickBot="1">
      <c r="A1621" s="267" t="str">
        <f>C1623</f>
        <v>JULIANO ESTEVAM BORGES CRISSI    (Feijão)</v>
      </c>
      <c r="B1621" s="68" t="s">
        <v>62</v>
      </c>
      <c r="C1621" s="66" t="s">
        <v>1589</v>
      </c>
      <c r="D1621" s="69">
        <v>63777</v>
      </c>
      <c r="E1621" s="62">
        <v>41647</v>
      </c>
      <c r="F1621" s="285"/>
    </row>
    <row r="1622" spans="1:6" ht="14.25" thickTop="1" thickBot="1">
      <c r="A1622" s="267" t="str">
        <f>C1624</f>
        <v>JULIANO FERREIRA        (Nanico)</v>
      </c>
      <c r="B1622" s="68" t="s">
        <v>62</v>
      </c>
      <c r="C1622" s="192" t="s">
        <v>2164</v>
      </c>
      <c r="D1622" s="61">
        <v>142479</v>
      </c>
      <c r="E1622" s="62">
        <v>40676</v>
      </c>
      <c r="F1622" s="285"/>
    </row>
    <row r="1623" spans="1:6" ht="14.25" thickTop="1" thickBot="1">
      <c r="A1623" s="267" t="s">
        <v>1609</v>
      </c>
      <c r="B1623" s="68" t="s">
        <v>62</v>
      </c>
      <c r="C1623" s="66" t="s">
        <v>3034</v>
      </c>
      <c r="D1623" s="61">
        <v>51445</v>
      </c>
      <c r="E1623" s="62">
        <v>39302</v>
      </c>
      <c r="F1623" s="285"/>
    </row>
    <row r="1624" spans="1:6" ht="14.25" thickTop="1" thickBot="1">
      <c r="A1624" s="267" t="str">
        <f>C1626</f>
        <v>JULIANO FOGAÇA DO NASCIMENTO</v>
      </c>
      <c r="B1624" s="68" t="s">
        <v>2413</v>
      </c>
      <c r="C1624" s="66" t="s">
        <v>3035</v>
      </c>
      <c r="D1624" s="65">
        <v>63532</v>
      </c>
      <c r="E1624" s="62">
        <v>43529</v>
      </c>
      <c r="F1624" s="285"/>
    </row>
    <row r="1625" spans="1:6" ht="14.25" thickTop="1" thickBot="1">
      <c r="A1625" s="267"/>
      <c r="B1625" s="68" t="s">
        <v>603</v>
      </c>
      <c r="C1625" s="64" t="s">
        <v>3591</v>
      </c>
      <c r="D1625" s="65">
        <v>51445</v>
      </c>
      <c r="E1625" s="70">
        <v>44099</v>
      </c>
      <c r="F1625" s="287"/>
    </row>
    <row r="1626" spans="1:6" ht="14.25" thickTop="1" thickBot="1">
      <c r="A1626" s="267" t="str">
        <f>C1628</f>
        <v>JULIANO LENON DOS REIS BATISTA</v>
      </c>
      <c r="B1626" s="68" t="s">
        <v>62</v>
      </c>
      <c r="C1626" s="66" t="s">
        <v>151</v>
      </c>
      <c r="D1626" s="61">
        <v>101952</v>
      </c>
      <c r="E1626" s="62">
        <v>39631</v>
      </c>
      <c r="F1626" s="285"/>
    </row>
    <row r="1627" spans="1:6" ht="14.25" thickTop="1" thickBot="1">
      <c r="A1627" s="267" t="s">
        <v>1754</v>
      </c>
      <c r="B1627" s="68" t="s">
        <v>62</v>
      </c>
      <c r="C1627" s="66" t="s">
        <v>2139</v>
      </c>
      <c r="D1627" s="61">
        <v>102295</v>
      </c>
      <c r="E1627" s="62">
        <v>40016</v>
      </c>
      <c r="F1627" s="285"/>
    </row>
    <row r="1628" spans="1:6" ht="14.25" thickTop="1" thickBot="1">
      <c r="A1628" s="267" t="str">
        <f>C1630</f>
        <v>JULIANO LUIS FERREIRA</v>
      </c>
      <c r="B1628" s="68" t="s">
        <v>2413</v>
      </c>
      <c r="C1628" s="66" t="s">
        <v>447</v>
      </c>
      <c r="D1628" s="65">
        <v>27159</v>
      </c>
      <c r="E1628" s="62">
        <v>43529</v>
      </c>
      <c r="F1628" s="285"/>
    </row>
    <row r="1629" spans="1:6" ht="14.25" thickTop="1" thickBot="1">
      <c r="A1629" s="267" t="str">
        <f>C1631</f>
        <v>JULIANO MASCARENHAS ROSA</v>
      </c>
      <c r="B1629" s="68" t="s">
        <v>1812</v>
      </c>
      <c r="C1629" s="66" t="s">
        <v>702</v>
      </c>
      <c r="D1629" s="65"/>
      <c r="E1629" s="70">
        <v>42909</v>
      </c>
      <c r="F1629" s="284"/>
    </row>
    <row r="1630" spans="1:6" ht="14.25" thickTop="1" thickBot="1">
      <c r="A1630" s="267" t="str">
        <f>C1632</f>
        <v>JULIANO RAFAEL MIKIEWSKI</v>
      </c>
      <c r="B1630" s="68" t="s">
        <v>62</v>
      </c>
      <c r="C1630" s="66" t="s">
        <v>1754</v>
      </c>
      <c r="D1630" s="61">
        <v>102057</v>
      </c>
      <c r="E1630" s="62">
        <v>40441</v>
      </c>
      <c r="F1630" s="285"/>
    </row>
    <row r="1631" spans="1:6" ht="14.25" thickTop="1" thickBot="1">
      <c r="A1631" s="278" t="str">
        <f>C1633</f>
        <v>JULIANO RODRIGUES DA SILVA</v>
      </c>
      <c r="B1631" s="68" t="s">
        <v>1033</v>
      </c>
      <c r="C1631" s="64" t="s">
        <v>884</v>
      </c>
      <c r="D1631" s="61">
        <v>102166</v>
      </c>
      <c r="E1631" s="70">
        <v>42492</v>
      </c>
      <c r="F1631" s="284"/>
    </row>
    <row r="1632" spans="1:6" ht="14.25" thickTop="1" thickBot="1">
      <c r="A1632" s="267" t="str">
        <f>C1634</f>
        <v>JULIANO SANDAKA</v>
      </c>
      <c r="B1632" s="68" t="s">
        <v>25</v>
      </c>
      <c r="C1632" s="66" t="s">
        <v>496</v>
      </c>
      <c r="D1632" s="65">
        <v>63899</v>
      </c>
      <c r="E1632" s="62">
        <v>42327</v>
      </c>
      <c r="F1632" s="285"/>
    </row>
    <row r="1633" spans="1:6" ht="14.25" thickTop="1" thickBot="1">
      <c r="A1633" s="267" t="str">
        <f>C1636</f>
        <v>JULIO CESAR DE RAMOS</v>
      </c>
      <c r="B1633" s="68" t="s">
        <v>62</v>
      </c>
      <c r="C1633" s="66" t="s">
        <v>486</v>
      </c>
      <c r="D1633" s="61">
        <v>7052</v>
      </c>
      <c r="E1633" s="62">
        <v>42705</v>
      </c>
      <c r="F1633" s="285"/>
    </row>
    <row r="1634" spans="1:6" ht="14.25" thickTop="1" thickBot="1">
      <c r="A1634" s="267"/>
      <c r="B1634" s="68" t="s">
        <v>62</v>
      </c>
      <c r="C1634" s="66" t="s">
        <v>615</v>
      </c>
      <c r="D1634" s="67"/>
      <c r="E1634" s="70">
        <v>42838</v>
      </c>
      <c r="F1634" s="284"/>
    </row>
    <row r="1635" spans="1:6" ht="14.25" thickTop="1" thickBot="1">
      <c r="A1635" s="267" t="str">
        <f>C1637</f>
        <v>JULIO CESAR DE RAMOS</v>
      </c>
      <c r="B1635" s="68" t="s">
        <v>1812</v>
      </c>
      <c r="C1635" s="66" t="s">
        <v>718</v>
      </c>
      <c r="D1635" s="61">
        <v>7069</v>
      </c>
      <c r="E1635" s="62">
        <v>43628</v>
      </c>
      <c r="F1635" s="287"/>
    </row>
    <row r="1636" spans="1:6" ht="14.25" thickTop="1" thickBot="1">
      <c r="A1636" s="267"/>
      <c r="B1636" s="68" t="s">
        <v>62</v>
      </c>
      <c r="C1636" s="66" t="s">
        <v>1014</v>
      </c>
      <c r="D1636" s="61">
        <v>7078</v>
      </c>
      <c r="E1636" s="62">
        <v>42191</v>
      </c>
      <c r="F1636" s="285"/>
    </row>
    <row r="1637" spans="1:6" ht="14.25" thickTop="1" thickBot="1">
      <c r="A1637" s="267" t="str">
        <f t="shared" ref="A1637:A1644" si="71">C1639</f>
        <v>JULIO CESAR FERREIRA DE JESUS</v>
      </c>
      <c r="B1637" s="68" t="s">
        <v>2406</v>
      </c>
      <c r="C1637" s="66" t="s">
        <v>1014</v>
      </c>
      <c r="D1637" s="203">
        <v>7069</v>
      </c>
      <c r="E1637" s="70">
        <v>43739</v>
      </c>
      <c r="F1637" s="287"/>
    </row>
    <row r="1638" spans="1:6" ht="14.25" thickTop="1" thickBot="1">
      <c r="A1638" s="267" t="str">
        <f t="shared" si="71"/>
        <v>JULIO CESAR LOPES DA SILVA</v>
      </c>
      <c r="B1638" s="68" t="s">
        <v>62</v>
      </c>
      <c r="C1638" s="66" t="s">
        <v>1961</v>
      </c>
      <c r="D1638" s="226">
        <v>134219</v>
      </c>
      <c r="E1638" s="62">
        <v>42464</v>
      </c>
      <c r="F1638" s="285"/>
    </row>
    <row r="1639" spans="1:6" ht="14.25" thickTop="1" thickBot="1">
      <c r="A1639" s="267" t="str">
        <f t="shared" si="71"/>
        <v>JULIO CESAR MACHADO</v>
      </c>
      <c r="B1639" s="68" t="s">
        <v>62</v>
      </c>
      <c r="C1639" s="66" t="s">
        <v>909</v>
      </c>
      <c r="D1639" s="61">
        <v>102478</v>
      </c>
      <c r="E1639" s="115">
        <v>39876</v>
      </c>
      <c r="F1639" s="288" t="s">
        <v>849</v>
      </c>
    </row>
    <row r="1640" spans="1:6" ht="14.25" thickTop="1" thickBot="1">
      <c r="A1640" s="267" t="str">
        <f t="shared" si="71"/>
        <v>JULIO CESAR MACHADO    (Chapado)</v>
      </c>
      <c r="B1640" s="68" t="s">
        <v>415</v>
      </c>
      <c r="C1640" s="66" t="s">
        <v>561</v>
      </c>
      <c r="D1640" s="61">
        <v>101338</v>
      </c>
      <c r="E1640" s="70">
        <v>42199</v>
      </c>
      <c r="F1640" s="284"/>
    </row>
    <row r="1641" spans="1:6" ht="14.25" thickTop="1" thickBot="1">
      <c r="A1641" s="267" t="str">
        <f t="shared" si="71"/>
        <v>JULIO CESAR SAMPAIO JUNIOR</v>
      </c>
      <c r="B1641" s="68" t="s">
        <v>62</v>
      </c>
      <c r="C1641" s="66" t="s">
        <v>1142</v>
      </c>
      <c r="D1641" s="65">
        <v>59254</v>
      </c>
      <c r="E1641" s="62">
        <v>40016</v>
      </c>
      <c r="F1641" s="285"/>
    </row>
    <row r="1642" spans="1:6" ht="14.25" thickTop="1" thickBot="1">
      <c r="A1642" s="267" t="str">
        <f t="shared" si="71"/>
        <v>JULIO CEZAR DOS SANTOS</v>
      </c>
      <c r="B1642" s="68" t="s">
        <v>62</v>
      </c>
      <c r="C1642" s="66" t="s">
        <v>3036</v>
      </c>
      <c r="D1642" s="178">
        <v>63270</v>
      </c>
      <c r="E1642" s="62">
        <v>41934</v>
      </c>
      <c r="F1642" s="285"/>
    </row>
    <row r="1643" spans="1:6" ht="14.25" thickTop="1" thickBot="1">
      <c r="A1643" s="267" t="str">
        <f t="shared" si="71"/>
        <v>JULIO DA SILVA ROSA</v>
      </c>
      <c r="B1643" s="68" t="s">
        <v>546</v>
      </c>
      <c r="C1643" s="66" t="s">
        <v>607</v>
      </c>
      <c r="D1643" s="61">
        <v>7004</v>
      </c>
      <c r="E1643" s="204">
        <v>43721</v>
      </c>
      <c r="F1643" s="285"/>
    </row>
    <row r="1644" spans="1:6" ht="14.25" thickTop="1" thickBot="1">
      <c r="A1644" s="267" t="str">
        <f t="shared" si="71"/>
        <v>JULIO DA SILVA ROSA</v>
      </c>
      <c r="B1644" s="68" t="s">
        <v>546</v>
      </c>
      <c r="C1644" s="66" t="s">
        <v>527</v>
      </c>
      <c r="D1644" s="65">
        <v>4200</v>
      </c>
      <c r="E1644" s="62">
        <v>43357</v>
      </c>
      <c r="F1644" s="285"/>
    </row>
    <row r="1645" spans="1:6" ht="14.25" thickTop="1" thickBot="1">
      <c r="A1645" s="267"/>
      <c r="B1645" s="68" t="s">
        <v>62</v>
      </c>
      <c r="C1645" s="66" t="s">
        <v>2359</v>
      </c>
      <c r="D1645" s="157">
        <v>146708</v>
      </c>
      <c r="E1645" s="62">
        <v>39639</v>
      </c>
      <c r="F1645" s="285"/>
    </row>
    <row r="1646" spans="1:6" ht="14.25" thickTop="1" thickBot="1">
      <c r="A1646" s="267" t="str">
        <f>C1648</f>
        <v>JULIO FERNANDO BORGES</v>
      </c>
      <c r="B1646" s="68" t="s">
        <v>1306</v>
      </c>
      <c r="C1646" s="60" t="s">
        <v>2359</v>
      </c>
      <c r="D1646" s="61">
        <v>146708</v>
      </c>
      <c r="E1646" s="62">
        <v>43238</v>
      </c>
      <c r="F1646" s="285"/>
    </row>
    <row r="1647" spans="1:6" ht="14.25" thickTop="1" thickBot="1">
      <c r="A1647" s="267" t="str">
        <f>C1649</f>
        <v xml:space="preserve">JULIO RODRIGO DOS SANTOS        </v>
      </c>
      <c r="B1647" s="68" t="s">
        <v>62</v>
      </c>
      <c r="C1647" s="64" t="s">
        <v>921</v>
      </c>
      <c r="D1647" s="459"/>
      <c r="E1647" s="62">
        <v>42705</v>
      </c>
      <c r="F1647" s="285"/>
    </row>
    <row r="1648" spans="1:6" ht="14.25" thickTop="1" thickBot="1">
      <c r="A1648" s="267" t="str">
        <f>C1651</f>
        <v>JUNIO CEZAR SIQUEIRA SANTOS</v>
      </c>
      <c r="B1648" s="68" t="s">
        <v>62</v>
      </c>
      <c r="C1648" s="78" t="s">
        <v>2194</v>
      </c>
      <c r="D1648" s="172">
        <v>138414</v>
      </c>
      <c r="E1648" s="62">
        <v>42108</v>
      </c>
      <c r="F1648" s="285"/>
    </row>
    <row r="1649" spans="1:6" ht="14.25" thickTop="1" thickBot="1">
      <c r="A1649" s="279" t="s">
        <v>1122</v>
      </c>
      <c r="B1649" s="68" t="s">
        <v>62</v>
      </c>
      <c r="C1649" s="66" t="s">
        <v>1072</v>
      </c>
      <c r="D1649" s="177"/>
      <c r="E1649" s="62">
        <v>40996</v>
      </c>
      <c r="F1649" s="285"/>
    </row>
    <row r="1650" spans="1:6" ht="14.25" thickTop="1" thickBot="1">
      <c r="A1650" s="267" t="str">
        <f>C1653</f>
        <v>JUNIOR CESAR MARTINS PEREIRA</v>
      </c>
      <c r="B1650" s="68" t="s">
        <v>2406</v>
      </c>
      <c r="C1650" s="66" t="s">
        <v>1073</v>
      </c>
      <c r="D1650" s="61">
        <v>7077</v>
      </c>
      <c r="E1650" s="70">
        <v>43557</v>
      </c>
      <c r="F1650" s="285"/>
    </row>
    <row r="1651" spans="1:6" ht="14.25" thickTop="1" thickBot="1">
      <c r="A1651" s="267"/>
      <c r="B1651" s="68" t="s">
        <v>62</v>
      </c>
      <c r="C1651" s="66" t="s">
        <v>1726</v>
      </c>
      <c r="D1651" s="69">
        <v>63546</v>
      </c>
      <c r="E1651" s="62">
        <v>41757</v>
      </c>
      <c r="F1651" s="285"/>
    </row>
    <row r="1652" spans="1:6" ht="14.25" thickTop="1" thickBot="1">
      <c r="A1652" s="267" t="str">
        <f>C1654</f>
        <v xml:space="preserve">JUNIOR CESAR TIMOTEO KROMINSKI  </v>
      </c>
      <c r="B1652" s="68" t="s">
        <v>62</v>
      </c>
      <c r="C1652" s="192" t="s">
        <v>1122</v>
      </c>
      <c r="D1652" s="61">
        <v>102251</v>
      </c>
      <c r="E1652" s="62">
        <v>43073</v>
      </c>
      <c r="F1652" s="285"/>
    </row>
    <row r="1653" spans="1:6" ht="14.25" thickTop="1" thickBot="1">
      <c r="A1653" s="267" t="str">
        <f>C1655</f>
        <v>JUNIOR CEZAR CORREIA CASTILHO</v>
      </c>
      <c r="B1653" s="68" t="s">
        <v>1812</v>
      </c>
      <c r="C1653" s="66" t="s">
        <v>2328</v>
      </c>
      <c r="D1653" s="61">
        <v>156038</v>
      </c>
      <c r="E1653" s="70">
        <v>44083</v>
      </c>
      <c r="F1653" s="285"/>
    </row>
    <row r="1654" spans="1:6" ht="14.25" thickTop="1" thickBot="1">
      <c r="A1654" s="267" t="str">
        <f>C1656</f>
        <v>JUNIOR DOS SANTOS CRUZ</v>
      </c>
      <c r="B1654" s="68" t="s">
        <v>62</v>
      </c>
      <c r="C1654" s="64" t="s">
        <v>1074</v>
      </c>
      <c r="D1654" s="61">
        <v>117473</v>
      </c>
      <c r="E1654" s="62">
        <v>41934</v>
      </c>
      <c r="F1654" s="285"/>
    </row>
    <row r="1655" spans="1:6" ht="14.25" thickTop="1" thickBot="1">
      <c r="A1655" s="267" t="str">
        <f>C1657</f>
        <v>JUNIOR PINHEIRO</v>
      </c>
      <c r="B1655" s="68" t="s">
        <v>62</v>
      </c>
      <c r="C1655" s="192" t="s">
        <v>1977</v>
      </c>
      <c r="D1655" s="61">
        <v>109869</v>
      </c>
      <c r="E1655" s="62">
        <v>41732</v>
      </c>
      <c r="F1655" s="285"/>
    </row>
    <row r="1656" spans="1:6" ht="14.25" thickTop="1" thickBot="1">
      <c r="A1656" s="267"/>
      <c r="B1656" s="68" t="s">
        <v>62</v>
      </c>
      <c r="C1656" s="66" t="s">
        <v>2149</v>
      </c>
      <c r="D1656" s="65">
        <v>51047</v>
      </c>
      <c r="E1656" s="62">
        <v>42705</v>
      </c>
      <c r="F1656" s="285"/>
    </row>
    <row r="1657" spans="1:6" ht="14.25" thickTop="1" thickBot="1">
      <c r="A1657" s="267" t="str">
        <f>C1659</f>
        <v>JURANDIR ALVES DA CUNHA FILHO</v>
      </c>
      <c r="B1657" s="68" t="s">
        <v>1812</v>
      </c>
      <c r="C1657" s="60" t="s">
        <v>2462</v>
      </c>
      <c r="D1657" s="61">
        <v>161714</v>
      </c>
      <c r="E1657" s="70">
        <v>43691</v>
      </c>
      <c r="F1657" s="284"/>
    </row>
    <row r="1658" spans="1:6" ht="14.25" thickTop="1" thickBot="1">
      <c r="A1658" s="267"/>
      <c r="B1658" s="61" t="s">
        <v>2406</v>
      </c>
      <c r="C1658" s="193" t="s">
        <v>3607</v>
      </c>
      <c r="D1658" s="428">
        <v>340614</v>
      </c>
      <c r="E1658" s="62"/>
      <c r="F1658" s="284"/>
    </row>
    <row r="1659" spans="1:6" ht="14.25" thickTop="1" thickBot="1">
      <c r="A1659" s="267" t="str">
        <f>C1661</f>
        <v>JURANDIR FERNANDES DOS SANTOS</v>
      </c>
      <c r="B1659" s="68" t="s">
        <v>62</v>
      </c>
      <c r="C1659" s="66" t="s">
        <v>598</v>
      </c>
      <c r="D1659" s="65">
        <v>63874</v>
      </c>
      <c r="E1659" s="70">
        <v>42698</v>
      </c>
      <c r="F1659" s="284"/>
    </row>
    <row r="1660" spans="1:6" ht="14.25" thickTop="1" thickBot="1">
      <c r="A1660" s="267" t="str">
        <f>C1662</f>
        <v>JURANDIR MAÇANEIRO</v>
      </c>
      <c r="B1660" s="68" t="s">
        <v>62</v>
      </c>
      <c r="C1660" s="66" t="s">
        <v>211</v>
      </c>
      <c r="D1660" s="67"/>
      <c r="E1660" s="62">
        <v>40304</v>
      </c>
      <c r="F1660" s="285"/>
    </row>
    <row r="1661" spans="1:6" ht="14.25" thickTop="1" thickBot="1">
      <c r="A1661" s="267" t="str">
        <f>C1663</f>
        <v>JURANDIR RODRIGUES DE SOUZA</v>
      </c>
      <c r="B1661" s="68" t="s">
        <v>62</v>
      </c>
      <c r="C1661" s="66" t="s">
        <v>719</v>
      </c>
      <c r="D1661" s="67"/>
      <c r="E1661" s="62">
        <v>41732</v>
      </c>
      <c r="F1661" s="285"/>
    </row>
    <row r="1662" spans="1:6" ht="14.25" thickTop="1" thickBot="1">
      <c r="A1662" s="267" t="str">
        <f>C1664</f>
        <v>JURANDIR SANTANA</v>
      </c>
      <c r="B1662" s="68" t="s">
        <v>62</v>
      </c>
      <c r="C1662" s="64" t="s">
        <v>515</v>
      </c>
      <c r="D1662" s="67"/>
      <c r="E1662" s="62">
        <v>41962</v>
      </c>
      <c r="F1662" s="285"/>
    </row>
    <row r="1663" spans="1:6" ht="14.25" thickTop="1" thickBot="1">
      <c r="A1663" s="267" t="str">
        <f>C1665</f>
        <v>JURANDIR VELOSO</v>
      </c>
      <c r="B1663" s="61" t="s">
        <v>2413</v>
      </c>
      <c r="C1663" s="66" t="s">
        <v>720</v>
      </c>
      <c r="D1663" s="65">
        <v>63394</v>
      </c>
      <c r="E1663" s="62">
        <v>43536</v>
      </c>
      <c r="F1663" s="284"/>
    </row>
    <row r="1664" spans="1:6" ht="14.25" thickTop="1" thickBot="1">
      <c r="A1664" s="267"/>
      <c r="B1664" s="71" t="s">
        <v>2202</v>
      </c>
      <c r="C1664" s="66" t="s">
        <v>721</v>
      </c>
      <c r="D1664" s="61">
        <v>119821</v>
      </c>
      <c r="E1664" s="70">
        <v>43329</v>
      </c>
      <c r="F1664" s="284"/>
    </row>
    <row r="1665" spans="1:6" ht="14.25" thickTop="1" thickBot="1">
      <c r="A1665" s="267" t="str">
        <f>C1667</f>
        <v>KAIKE WESLEY DA SILVA QUEIROZ</v>
      </c>
      <c r="B1665" s="68" t="s">
        <v>62</v>
      </c>
      <c r="C1665" s="60" t="s">
        <v>2119</v>
      </c>
      <c r="D1665" s="61">
        <v>101281</v>
      </c>
      <c r="E1665" s="62">
        <v>43199</v>
      </c>
      <c r="F1665" s="285"/>
    </row>
    <row r="1666" spans="1:6" ht="14.25" thickTop="1" thickBot="1">
      <c r="A1666" s="267" t="str">
        <f>C1668</f>
        <v>KAILLÃ DOS SANTOS RODRIGUES</v>
      </c>
      <c r="B1666" s="68" t="s">
        <v>62</v>
      </c>
      <c r="C1666" s="66" t="s">
        <v>2310</v>
      </c>
      <c r="D1666" s="61">
        <v>145583</v>
      </c>
      <c r="E1666" s="62">
        <v>43077</v>
      </c>
      <c r="F1666" s="285"/>
    </row>
    <row r="1667" spans="1:6" ht="14.25" thickTop="1" thickBot="1">
      <c r="A1667" s="267" t="s">
        <v>2354</v>
      </c>
      <c r="B1667" s="68" t="s">
        <v>62</v>
      </c>
      <c r="C1667" s="66" t="s">
        <v>1722</v>
      </c>
      <c r="D1667" s="61">
        <v>118659</v>
      </c>
      <c r="E1667" s="62">
        <v>42580</v>
      </c>
      <c r="F1667" s="285"/>
    </row>
    <row r="1668" spans="1:6" ht="14.25" thickTop="1" thickBot="1">
      <c r="A1668" s="267" t="str">
        <f>C1670</f>
        <v>KARLOS MICHEL GONÇALVES</v>
      </c>
      <c r="B1668" s="68" t="s">
        <v>126</v>
      </c>
      <c r="C1668" s="66" t="s">
        <v>2029</v>
      </c>
      <c r="D1668" s="61">
        <v>70586</v>
      </c>
      <c r="E1668" s="62">
        <v>43398</v>
      </c>
      <c r="F1668" s="285"/>
    </row>
    <row r="1669" spans="1:6" ht="14.25" thickTop="1" thickBot="1">
      <c r="A1669" s="267" t="str">
        <f>C1671</f>
        <v>KAUEI LOPES</v>
      </c>
      <c r="B1669" s="68" t="s">
        <v>516</v>
      </c>
      <c r="C1669" s="66" t="s">
        <v>1673</v>
      </c>
      <c r="D1669" s="65">
        <v>63938</v>
      </c>
      <c r="E1669" s="62">
        <v>42240</v>
      </c>
      <c r="F1669" s="285"/>
    </row>
    <row r="1670" spans="1:6" ht="14.25" thickTop="1" thickBot="1">
      <c r="A1670" s="267"/>
      <c r="B1670" s="68" t="s">
        <v>62</v>
      </c>
      <c r="C1670" s="60" t="s">
        <v>2354</v>
      </c>
      <c r="D1670" s="61">
        <v>59303</v>
      </c>
      <c r="E1670" s="62">
        <v>42690</v>
      </c>
      <c r="F1670" s="285"/>
    </row>
    <row r="1671" spans="1:6" ht="14.25" thickTop="1" thickBot="1">
      <c r="A1671" s="267" t="str">
        <f>C1673</f>
        <v>KELVIN VINICIUS DE SOUZA    (Sonic / Pulga)</v>
      </c>
      <c r="B1671" s="68" t="s">
        <v>62</v>
      </c>
      <c r="C1671" s="66" t="s">
        <v>384</v>
      </c>
      <c r="D1671" s="61">
        <v>103238</v>
      </c>
      <c r="E1671" s="62">
        <v>41394</v>
      </c>
      <c r="F1671" s="285"/>
    </row>
    <row r="1672" spans="1:6" ht="14.25" thickTop="1" thickBot="1">
      <c r="A1672" s="267"/>
      <c r="B1672" s="68" t="s">
        <v>62</v>
      </c>
      <c r="C1672" s="66" t="s">
        <v>316</v>
      </c>
      <c r="D1672" s="61">
        <v>103308</v>
      </c>
      <c r="E1672" s="62">
        <v>40324</v>
      </c>
      <c r="F1672" s="285"/>
    </row>
    <row r="1673" spans="1:6" ht="14.25" thickTop="1" thickBot="1">
      <c r="A1673" s="267" t="str">
        <f>C1675</f>
        <v>KELWIN VINICIUS DE SOUZA</v>
      </c>
      <c r="B1673" s="68" t="s">
        <v>2347</v>
      </c>
      <c r="C1673" s="66" t="s">
        <v>3037</v>
      </c>
      <c r="D1673" s="61">
        <v>101671</v>
      </c>
      <c r="E1673" s="62">
        <v>43346</v>
      </c>
      <c r="F1673" s="285"/>
    </row>
    <row r="1674" spans="1:6" ht="14.25" thickTop="1" thickBot="1">
      <c r="A1674" s="267" t="str">
        <f>C1676</f>
        <v>KENNEDY OLIVEIRA DA SILVA</v>
      </c>
      <c r="B1674" s="62" t="s">
        <v>62</v>
      </c>
      <c r="C1674" s="66" t="s">
        <v>1602</v>
      </c>
      <c r="D1674" s="67"/>
      <c r="E1674" s="62">
        <v>43075</v>
      </c>
      <c r="F1674" s="293"/>
    </row>
    <row r="1675" spans="1:6" ht="14.25" thickTop="1" thickBot="1">
      <c r="A1675" s="267" t="str">
        <f>C1677</f>
        <v>KLEBERSON MACHADO DA LUZ</v>
      </c>
      <c r="B1675" s="68" t="s">
        <v>62</v>
      </c>
      <c r="C1675" s="77" t="s">
        <v>2340</v>
      </c>
      <c r="D1675" s="61">
        <v>101671</v>
      </c>
      <c r="E1675" s="62">
        <v>42928</v>
      </c>
      <c r="F1675" s="285"/>
    </row>
    <row r="1676" spans="1:6" ht="14.25" thickTop="1" thickBot="1">
      <c r="A1676" s="267" t="str">
        <f>C1678</f>
        <v>KLEBERSON MARTINS FERREIRA</v>
      </c>
      <c r="B1676" s="67" t="s">
        <v>1522</v>
      </c>
      <c r="C1676" s="156" t="s">
        <v>1682</v>
      </c>
      <c r="D1676" s="61">
        <v>120756</v>
      </c>
      <c r="E1676" s="70">
        <v>42492</v>
      </c>
      <c r="F1676" s="284"/>
    </row>
    <row r="1677" spans="1:6" ht="14.25" thickTop="1" thickBot="1">
      <c r="A1677" s="267" t="str">
        <f>C1680</f>
        <v>LADISLAU DA SILVA FERREIRA</v>
      </c>
      <c r="B1677" s="68" t="s">
        <v>62</v>
      </c>
      <c r="C1677" s="66" t="s">
        <v>759</v>
      </c>
      <c r="D1677" s="65">
        <v>127580</v>
      </c>
      <c r="E1677" s="62">
        <v>40702</v>
      </c>
      <c r="F1677" s="285"/>
    </row>
    <row r="1678" spans="1:6" ht="14.25" thickTop="1" thickBot="1">
      <c r="A1678" s="280" t="s">
        <v>2338</v>
      </c>
      <c r="B1678" s="68" t="s">
        <v>62</v>
      </c>
      <c r="C1678" s="66" t="s">
        <v>2098</v>
      </c>
      <c r="D1678" s="65">
        <v>27246</v>
      </c>
      <c r="E1678" s="62">
        <v>41961</v>
      </c>
      <c r="F1678" s="285"/>
    </row>
    <row r="1679" spans="1:6" ht="14.25" thickTop="1" thickBot="1">
      <c r="A1679" s="267" t="str">
        <f>C1681</f>
        <v>LAERCIO ALMEIDA FERRI JUNIOR    (Monalisa)</v>
      </c>
      <c r="B1679" s="68" t="s">
        <v>2413</v>
      </c>
      <c r="C1679" s="66" t="s">
        <v>403</v>
      </c>
      <c r="D1679" s="61">
        <v>27049</v>
      </c>
      <c r="E1679" s="62">
        <v>43647</v>
      </c>
      <c r="F1679" s="285"/>
    </row>
    <row r="1680" spans="1:6" ht="14.25" thickTop="1" thickBot="1">
      <c r="A1680" s="267" t="str">
        <f>C1682</f>
        <v>LAURI FAUSTINO XAVIER</v>
      </c>
      <c r="B1680" s="68" t="s">
        <v>62</v>
      </c>
      <c r="C1680" s="193" t="s">
        <v>2338</v>
      </c>
      <c r="D1680" s="198">
        <v>19279</v>
      </c>
      <c r="E1680" s="62">
        <v>39477</v>
      </c>
      <c r="F1680" s="285"/>
    </row>
    <row r="1681" spans="1:6" ht="14.25" thickTop="1" thickBot="1">
      <c r="A1681" s="267" t="str">
        <f>C1683</f>
        <v>LAURO ANTONIO DE BARROS</v>
      </c>
      <c r="B1681" s="68" t="s">
        <v>62</v>
      </c>
      <c r="C1681" s="66" t="s">
        <v>3038</v>
      </c>
      <c r="D1681" s="177"/>
      <c r="E1681" s="62">
        <v>41834</v>
      </c>
      <c r="F1681" s="285"/>
    </row>
    <row r="1682" spans="1:6" ht="14.25" thickTop="1" thickBot="1">
      <c r="A1682" s="267"/>
      <c r="B1682" s="89"/>
      <c r="C1682" s="66" t="s">
        <v>1075</v>
      </c>
      <c r="D1682" s="61">
        <v>110994</v>
      </c>
      <c r="E1682" s="62">
        <v>43180</v>
      </c>
      <c r="F1682" s="290"/>
    </row>
    <row r="1683" spans="1:6" ht="14.25" thickTop="1" thickBot="1">
      <c r="A1683" s="267" t="str">
        <f>C1685</f>
        <v xml:space="preserve">LAURO DE JESUS RIBEIRO </v>
      </c>
      <c r="B1683" s="68" t="s">
        <v>62</v>
      </c>
      <c r="C1683" s="66" t="s">
        <v>1422</v>
      </c>
      <c r="D1683" s="67"/>
      <c r="E1683" s="62">
        <v>42832</v>
      </c>
      <c r="F1683" s="285"/>
    </row>
    <row r="1684" spans="1:6" ht="14.25" thickTop="1" thickBot="1">
      <c r="A1684" s="267" t="str">
        <f>C1686</f>
        <v>LAURO LAUREDI MACIEL DE OLIVEIRA    (Laurinho)</v>
      </c>
      <c r="B1684" s="68" t="s">
        <v>62</v>
      </c>
      <c r="C1684" s="66" t="s">
        <v>2199</v>
      </c>
      <c r="D1684" s="61">
        <v>63394</v>
      </c>
      <c r="E1684" s="70">
        <v>42166</v>
      </c>
      <c r="F1684" s="284"/>
    </row>
    <row r="1685" spans="1:6" ht="14.25" thickTop="1" thickBot="1">
      <c r="A1685" s="267"/>
      <c r="B1685" s="68" t="s">
        <v>546</v>
      </c>
      <c r="C1685" s="64" t="s">
        <v>1076</v>
      </c>
      <c r="D1685" s="67">
        <v>63209</v>
      </c>
      <c r="E1685" s="62">
        <v>41555</v>
      </c>
      <c r="F1685" s="285"/>
    </row>
    <row r="1686" spans="1:6" ht="14.25" thickTop="1" thickBot="1">
      <c r="A1686" s="274" t="s">
        <v>1710</v>
      </c>
      <c r="B1686" s="68" t="s">
        <v>1812</v>
      </c>
      <c r="C1686" s="66" t="s">
        <v>3039</v>
      </c>
      <c r="D1686" s="67"/>
      <c r="E1686" s="62">
        <v>42949</v>
      </c>
      <c r="F1686" s="285"/>
    </row>
    <row r="1687" spans="1:6" ht="14.25" thickTop="1" thickBot="1">
      <c r="A1687" s="267" t="str">
        <f>C1689</f>
        <v>LEANDRO APARECIDO C. E SILVA</v>
      </c>
      <c r="B1687" s="68" t="s">
        <v>2593</v>
      </c>
      <c r="C1687" s="64" t="s">
        <v>1077</v>
      </c>
      <c r="D1687" s="65"/>
      <c r="E1687" s="62">
        <v>43524</v>
      </c>
      <c r="F1687" s="285"/>
    </row>
    <row r="1688" spans="1:6" ht="14.25" thickTop="1" thickBot="1">
      <c r="A1688" s="267" t="str">
        <f>C1690</f>
        <v>LEANDRO APARECIDO FERNANDES</v>
      </c>
      <c r="B1688" s="68" t="s">
        <v>62</v>
      </c>
      <c r="C1688" s="64" t="s">
        <v>1730</v>
      </c>
      <c r="D1688" s="61">
        <v>106427</v>
      </c>
      <c r="E1688" s="62">
        <v>42836</v>
      </c>
      <c r="F1688" s="285"/>
    </row>
    <row r="1689" spans="1:6" ht="14.25" thickTop="1" thickBot="1">
      <c r="A1689" s="267"/>
      <c r="B1689" s="68" t="s">
        <v>2413</v>
      </c>
      <c r="C1689" s="192" t="s">
        <v>3544</v>
      </c>
      <c r="D1689" s="61">
        <v>347205</v>
      </c>
      <c r="E1689" s="62">
        <v>44062</v>
      </c>
      <c r="F1689" s="285"/>
    </row>
    <row r="1690" spans="1:6" ht="14.25" thickTop="1" thickBot="1">
      <c r="A1690" s="267" t="str">
        <f>C1692</f>
        <v>LEANDRO AUGUSTO DAHNE DE OLIVEIRA</v>
      </c>
      <c r="B1690" s="68" t="s">
        <v>25</v>
      </c>
      <c r="C1690" s="66" t="s">
        <v>1710</v>
      </c>
      <c r="D1690" s="226">
        <v>102423</v>
      </c>
      <c r="E1690" s="62">
        <v>40532</v>
      </c>
      <c r="F1690" s="285"/>
    </row>
    <row r="1691" spans="1:6" ht="14.25" thickTop="1" thickBot="1">
      <c r="A1691" s="267" t="str">
        <f>C1693</f>
        <v>LEANDRO BATISTA DOS SANTOS</v>
      </c>
      <c r="B1691" s="61" t="s">
        <v>62</v>
      </c>
      <c r="C1691" s="66" t="s">
        <v>822</v>
      </c>
      <c r="D1691" s="61">
        <v>63800</v>
      </c>
      <c r="E1691" s="62">
        <v>43270</v>
      </c>
      <c r="F1691" s="285"/>
    </row>
    <row r="1692" spans="1:6" ht="14.25" thickTop="1" thickBot="1">
      <c r="A1692" s="267" t="s">
        <v>2562</v>
      </c>
      <c r="B1692" s="68" t="s">
        <v>62</v>
      </c>
      <c r="C1692" s="66" t="s">
        <v>754</v>
      </c>
      <c r="D1692" s="61">
        <v>27269</v>
      </c>
      <c r="E1692" s="70">
        <v>42709</v>
      </c>
      <c r="F1692" s="287"/>
    </row>
    <row r="1693" spans="1:6" ht="15" thickTop="1" thickBot="1">
      <c r="A1693" s="267" t="str">
        <f>C1695</f>
        <v xml:space="preserve">LEANDRO CARVALHO NASCIMENTO     ( Paraguai) </v>
      </c>
      <c r="B1693" s="215" t="s">
        <v>2506</v>
      </c>
      <c r="C1693" s="66" t="s">
        <v>1888</v>
      </c>
      <c r="D1693" s="61">
        <v>124021</v>
      </c>
      <c r="E1693" s="62">
        <v>43487</v>
      </c>
      <c r="F1693" s="287"/>
    </row>
    <row r="1694" spans="1:6" ht="14.25" thickTop="1" thickBot="1">
      <c r="A1694" s="267" t="str">
        <f>C1696</f>
        <v>LEANDRO CHAVES        (Teta)</v>
      </c>
      <c r="B1694" s="68" t="s">
        <v>62</v>
      </c>
      <c r="C1694" s="66" t="s">
        <v>698</v>
      </c>
      <c r="D1694" s="65">
        <v>63983</v>
      </c>
      <c r="E1694" s="62">
        <v>42353</v>
      </c>
      <c r="F1694" s="285"/>
    </row>
    <row r="1695" spans="1:6" ht="14.25" thickTop="1" thickBot="1">
      <c r="A1695" s="267"/>
      <c r="B1695" s="68" t="s">
        <v>1033</v>
      </c>
      <c r="C1695" s="60" t="s">
        <v>3040</v>
      </c>
      <c r="D1695" s="61"/>
      <c r="E1695" s="62">
        <v>40625</v>
      </c>
      <c r="F1695" s="285"/>
    </row>
    <row r="1696" spans="1:6" ht="14.25" thickTop="1" thickBot="1">
      <c r="A1696" s="267" t="str">
        <f t="shared" ref="A1696:A1704" si="72">C1698</f>
        <v>LEANDRO DA SILVA</v>
      </c>
      <c r="B1696" s="68" t="s">
        <v>62</v>
      </c>
      <c r="C1696" s="66" t="s">
        <v>3041</v>
      </c>
      <c r="D1696" s="65">
        <v>27287</v>
      </c>
      <c r="E1696" s="62">
        <v>42914</v>
      </c>
      <c r="F1696" s="285"/>
    </row>
    <row r="1697" spans="1:6" ht="14.25" thickTop="1" thickBot="1">
      <c r="A1697" s="267" t="str">
        <f t="shared" si="72"/>
        <v>LEANDRO DE ANDRIA LINO</v>
      </c>
      <c r="B1697" s="68" t="s">
        <v>62</v>
      </c>
      <c r="C1697" s="66" t="s">
        <v>1291</v>
      </c>
      <c r="D1697" s="65">
        <v>108003</v>
      </c>
      <c r="E1697" s="62">
        <v>40492</v>
      </c>
      <c r="F1697" s="285"/>
    </row>
    <row r="1698" spans="1:6" ht="14.25" thickTop="1" thickBot="1">
      <c r="A1698" s="267" t="str">
        <f t="shared" si="72"/>
        <v>LEANDRO DE BASTOS        (Rã)</v>
      </c>
      <c r="B1698" s="68" t="s">
        <v>15</v>
      </c>
      <c r="C1698" s="66" t="s">
        <v>564</v>
      </c>
      <c r="D1698" s="65">
        <v>103894</v>
      </c>
      <c r="E1698" s="62">
        <v>42327</v>
      </c>
      <c r="F1698" s="285"/>
    </row>
    <row r="1699" spans="1:6" ht="14.25" thickTop="1" thickBot="1">
      <c r="A1699" s="267" t="str">
        <f t="shared" si="72"/>
        <v>LEANDRO DOS SANTOS JANSEN</v>
      </c>
      <c r="B1699" s="68" t="s">
        <v>1812</v>
      </c>
      <c r="C1699" s="66" t="s">
        <v>1753</v>
      </c>
      <c r="D1699" s="65">
        <v>63440</v>
      </c>
      <c r="E1699" s="62">
        <v>42703</v>
      </c>
      <c r="F1699" s="285"/>
    </row>
    <row r="1700" spans="1:6" ht="14.25" thickTop="1" thickBot="1">
      <c r="A1700" s="267" t="str">
        <f t="shared" si="72"/>
        <v>LEANDRO DOS SANTOS MORAES</v>
      </c>
      <c r="B1700" s="89" t="s">
        <v>62</v>
      </c>
      <c r="C1700" s="66" t="s">
        <v>3042</v>
      </c>
      <c r="D1700" s="65"/>
      <c r="E1700" s="62">
        <v>42353</v>
      </c>
      <c r="F1700" s="285"/>
    </row>
    <row r="1701" spans="1:6" ht="14.25" thickTop="1" thickBot="1">
      <c r="A1701" s="267" t="str">
        <f t="shared" si="72"/>
        <v>LEANDRO EUZÉBIO DE OLIVEIRA</v>
      </c>
      <c r="B1701" s="68" t="s">
        <v>62</v>
      </c>
      <c r="C1701" s="64" t="s">
        <v>1836</v>
      </c>
      <c r="D1701" s="88">
        <v>102328</v>
      </c>
      <c r="E1701" s="62">
        <v>42327</v>
      </c>
      <c r="F1701" s="285"/>
    </row>
    <row r="1702" spans="1:6" ht="14.25" thickTop="1" thickBot="1">
      <c r="A1702" s="267" t="str">
        <f t="shared" si="72"/>
        <v>LEANDRO FABRICIO    (Fofão)</v>
      </c>
      <c r="B1702" s="68" t="s">
        <v>62</v>
      </c>
      <c r="C1702" s="78" t="s">
        <v>1919</v>
      </c>
      <c r="D1702" s="312">
        <v>63923</v>
      </c>
      <c r="E1702" s="62">
        <v>42437</v>
      </c>
      <c r="F1702" s="285"/>
    </row>
    <row r="1703" spans="1:6" ht="14.25" thickTop="1" thickBot="1">
      <c r="A1703" s="267" t="str">
        <f t="shared" si="72"/>
        <v>LEANDRO FRANÇA     (Neguinho)</v>
      </c>
      <c r="B1703" s="68" t="s">
        <v>62</v>
      </c>
      <c r="C1703" s="64" t="s">
        <v>1275</v>
      </c>
      <c r="D1703" s="65">
        <v>88119</v>
      </c>
      <c r="E1703" s="62">
        <v>41036</v>
      </c>
      <c r="F1703" s="285"/>
    </row>
    <row r="1704" spans="1:6" ht="14.25" thickTop="1" thickBot="1">
      <c r="A1704" s="267" t="str">
        <f t="shared" si="72"/>
        <v>LEANDRO JONAS     (Negão)</v>
      </c>
      <c r="B1704" s="68" t="s">
        <v>126</v>
      </c>
      <c r="C1704" s="66" t="s">
        <v>3043</v>
      </c>
      <c r="D1704" s="65">
        <v>27112</v>
      </c>
      <c r="E1704" s="62">
        <v>41232</v>
      </c>
      <c r="F1704" s="285"/>
    </row>
    <row r="1705" spans="1:6" ht="14.25" thickTop="1" thickBot="1">
      <c r="A1705" s="267"/>
      <c r="B1705" s="68" t="s">
        <v>846</v>
      </c>
      <c r="C1705" s="66" t="s">
        <v>3044</v>
      </c>
      <c r="D1705" s="61">
        <v>58842</v>
      </c>
      <c r="E1705" s="115">
        <v>40242</v>
      </c>
      <c r="F1705" s="288" t="s">
        <v>77</v>
      </c>
    </row>
    <row r="1706" spans="1:6" ht="14.25" thickTop="1" thickBot="1">
      <c r="A1706" s="267" t="str">
        <f>C1708</f>
        <v>LEANDRO LOPES DE OLIVEIRA    (Teco, Lorde)</v>
      </c>
      <c r="B1706" s="68" t="s">
        <v>62</v>
      </c>
      <c r="C1706" s="66" t="s">
        <v>3045</v>
      </c>
      <c r="D1706" s="61">
        <v>111171</v>
      </c>
      <c r="E1706" s="62">
        <v>43243</v>
      </c>
      <c r="F1706" s="285"/>
    </row>
    <row r="1707" spans="1:6" ht="14.25" thickTop="1" thickBot="1">
      <c r="A1707" s="267" t="str">
        <f>C1709</f>
        <v>LEANDRO LUCENTE BATISTA</v>
      </c>
      <c r="B1707" s="68" t="s">
        <v>62</v>
      </c>
      <c r="C1707" s="114" t="s">
        <v>1775</v>
      </c>
      <c r="D1707" s="65">
        <v>63878</v>
      </c>
      <c r="E1707" s="62">
        <v>40094</v>
      </c>
      <c r="F1707" s="285"/>
    </row>
    <row r="1708" spans="1:6" ht="14.25" thickTop="1" thickBot="1">
      <c r="A1708" s="267" t="str">
        <f>C1710</f>
        <v>LEANDRO MOREIRA TRINDADE</v>
      </c>
      <c r="B1708" s="67" t="s">
        <v>1522</v>
      </c>
      <c r="C1708" s="66" t="s">
        <v>3046</v>
      </c>
      <c r="D1708" s="61">
        <v>59991</v>
      </c>
      <c r="E1708" s="62">
        <v>42293</v>
      </c>
      <c r="F1708" s="285"/>
    </row>
    <row r="1709" spans="1:6" ht="14.25" thickTop="1" thickBot="1">
      <c r="A1709" s="267" t="str">
        <f>C1711</f>
        <v>LEANDRO NOGUEIRA (Tornado)</v>
      </c>
      <c r="B1709" s="68" t="s">
        <v>62</v>
      </c>
      <c r="C1709" s="66" t="s">
        <v>746</v>
      </c>
      <c r="D1709" s="68"/>
      <c r="E1709" s="70">
        <v>42838</v>
      </c>
      <c r="F1709" s="284"/>
    </row>
    <row r="1710" spans="1:6" ht="14.25" thickTop="1" thickBot="1">
      <c r="A1710" s="267"/>
      <c r="B1710" s="68" t="s">
        <v>62</v>
      </c>
      <c r="C1710" s="66" t="s">
        <v>241</v>
      </c>
      <c r="D1710" s="61">
        <v>63844</v>
      </c>
      <c r="E1710" s="62">
        <v>42048</v>
      </c>
      <c r="F1710" s="285"/>
    </row>
    <row r="1711" spans="1:6" ht="14.25" thickTop="1" thickBot="1">
      <c r="A1711" s="267"/>
      <c r="B1711" s="68" t="s">
        <v>1812</v>
      </c>
      <c r="C1711" s="60" t="s">
        <v>2079</v>
      </c>
      <c r="D1711" s="61">
        <v>21841</v>
      </c>
      <c r="E1711" s="62">
        <v>43873</v>
      </c>
      <c r="F1711" s="285"/>
    </row>
    <row r="1712" spans="1:6" ht="14.25" thickTop="1" thickBot="1">
      <c r="A1712" s="267"/>
      <c r="B1712" s="68" t="s">
        <v>2406</v>
      </c>
      <c r="C1712" s="64" t="s">
        <v>3392</v>
      </c>
      <c r="D1712" s="65">
        <v>642986</v>
      </c>
      <c r="E1712" s="70">
        <v>44130</v>
      </c>
      <c r="F1712" s="287"/>
    </row>
    <row r="1713" spans="1:20" ht="14.25" thickTop="1" thickBot="1">
      <c r="A1713" s="267"/>
      <c r="B1713" s="68"/>
      <c r="C1713" s="332" t="s">
        <v>1278</v>
      </c>
      <c r="D1713" s="334">
        <v>63844</v>
      </c>
      <c r="E1713" s="70"/>
      <c r="F1713" s="284"/>
    </row>
    <row r="1714" spans="1:20" ht="14.25" thickTop="1" thickBot="1">
      <c r="A1714" s="267"/>
      <c r="B1714" s="68" t="s">
        <v>62</v>
      </c>
      <c r="C1714" s="66" t="s">
        <v>1278</v>
      </c>
      <c r="D1714" s="61">
        <v>27343</v>
      </c>
      <c r="E1714" s="62">
        <v>40471</v>
      </c>
      <c r="F1714" s="285"/>
    </row>
    <row r="1715" spans="1:20" ht="14.25" thickTop="1" thickBot="1">
      <c r="A1715" s="392"/>
      <c r="B1715" s="583" t="s">
        <v>3610</v>
      </c>
      <c r="C1715" s="588" t="s">
        <v>1278</v>
      </c>
      <c r="D1715" s="191">
        <v>63844</v>
      </c>
      <c r="E1715" s="62">
        <v>44147</v>
      </c>
      <c r="F1715" s="285"/>
      <c r="G1715" s="407"/>
      <c r="H1715" s="408"/>
      <c r="I1715" s="407"/>
      <c r="J1715" s="408"/>
      <c r="K1715" s="199"/>
      <c r="L1715" s="199"/>
      <c r="M1715" s="199"/>
      <c r="N1715" s="199"/>
      <c r="O1715" s="199"/>
      <c r="P1715" s="199"/>
      <c r="Q1715" s="199"/>
      <c r="R1715" s="199"/>
      <c r="S1715" s="199"/>
      <c r="T1715" s="199"/>
    </row>
    <row r="1716" spans="1:20" ht="14.25" thickTop="1" thickBot="1">
      <c r="A1716" s="267" t="str">
        <f>C1719</f>
        <v>LEANDRO VALERIANO DE BARROS    ( Sabará )</v>
      </c>
      <c r="B1716" s="68" t="s">
        <v>62</v>
      </c>
      <c r="C1716" s="66" t="s">
        <v>964</v>
      </c>
      <c r="D1716" s="65">
        <v>63950</v>
      </c>
      <c r="E1716" s="62">
        <v>42920</v>
      </c>
      <c r="F1716" s="285"/>
    </row>
    <row r="1717" spans="1:20" ht="14.25" thickTop="1" thickBot="1">
      <c r="A1717" s="276" t="s">
        <v>2092</v>
      </c>
      <c r="B1717" s="68" t="s">
        <v>1865</v>
      </c>
      <c r="C1717" s="66" t="s">
        <v>295</v>
      </c>
      <c r="D1717" s="65">
        <v>27233</v>
      </c>
      <c r="E1717" s="62">
        <v>43138</v>
      </c>
      <c r="F1717" s="290"/>
    </row>
    <row r="1718" spans="1:20" ht="14.25" thickTop="1" thickBot="1">
      <c r="A1718" s="267" t="e">
        <f>#REF!</f>
        <v>#REF!</v>
      </c>
      <c r="B1718" s="68" t="s">
        <v>2593</v>
      </c>
      <c r="C1718" s="66" t="s">
        <v>1191</v>
      </c>
      <c r="D1718" s="61">
        <v>27344</v>
      </c>
      <c r="E1718" s="62">
        <v>43524</v>
      </c>
      <c r="F1718" s="285"/>
    </row>
    <row r="1719" spans="1:20" ht="14.25" thickTop="1" thickBot="1">
      <c r="A1719" s="267" t="str">
        <f>C1720</f>
        <v>LEANDRO XAVIER       (Faustão)</v>
      </c>
      <c r="B1719" s="68" t="s">
        <v>62</v>
      </c>
      <c r="C1719" s="66" t="s">
        <v>3047</v>
      </c>
      <c r="D1719" s="61">
        <v>18549</v>
      </c>
      <c r="E1719" s="62">
        <v>42920</v>
      </c>
      <c r="F1719" s="285"/>
    </row>
    <row r="1720" spans="1:20" ht="14.25" thickTop="1" thickBot="1">
      <c r="A1720" s="267" t="str">
        <f>C1722</f>
        <v>LENISSON DIAS DE SOUZA</v>
      </c>
      <c r="B1720" s="68" t="s">
        <v>62</v>
      </c>
      <c r="C1720" s="192" t="s">
        <v>3048</v>
      </c>
      <c r="D1720" s="61">
        <v>63997</v>
      </c>
      <c r="E1720" s="62">
        <v>41773</v>
      </c>
      <c r="F1720" s="285"/>
    </row>
    <row r="1721" spans="1:20" ht="14.25" thickTop="1" thickBot="1">
      <c r="A1721" s="267"/>
      <c r="B1721" s="68" t="s">
        <v>2406</v>
      </c>
      <c r="C1721" s="66" t="s">
        <v>3563</v>
      </c>
      <c r="D1721" s="65">
        <v>63997</v>
      </c>
      <c r="E1721" s="62">
        <v>44084</v>
      </c>
      <c r="F1721" s="290"/>
    </row>
    <row r="1722" spans="1:20" ht="14.25" thickTop="1" thickBot="1">
      <c r="A1722" s="267" t="str">
        <f>C1724</f>
        <v>LEOCADIO ADEMAR DOS SANTOS</v>
      </c>
      <c r="B1722" s="68" t="s">
        <v>546</v>
      </c>
      <c r="C1722" s="66" t="s">
        <v>2127</v>
      </c>
      <c r="D1722" s="61">
        <v>100976</v>
      </c>
      <c r="E1722" s="62">
        <v>37587</v>
      </c>
      <c r="F1722" s="285"/>
    </row>
    <row r="1723" spans="1:20" ht="14.25" thickTop="1" thickBot="1">
      <c r="A1723" s="267" t="str">
        <f>C1725</f>
        <v>LEONARDO BERTASSONI DE OLIVEIRA</v>
      </c>
      <c r="B1723" s="68" t="s">
        <v>62</v>
      </c>
      <c r="C1723" s="66" t="s">
        <v>2125</v>
      </c>
      <c r="D1723" s="67"/>
      <c r="E1723" s="62">
        <v>42420</v>
      </c>
      <c r="F1723" s="287"/>
    </row>
    <row r="1724" spans="1:20" ht="14.25" thickTop="1" thickBot="1">
      <c r="A1724" s="267" t="s">
        <v>387</v>
      </c>
      <c r="B1724" s="68" t="s">
        <v>62</v>
      </c>
      <c r="C1724" s="66" t="s">
        <v>726</v>
      </c>
      <c r="D1724" s="65">
        <v>27345</v>
      </c>
      <c r="E1724" s="62">
        <v>42703</v>
      </c>
      <c r="F1724" s="285"/>
    </row>
    <row r="1725" spans="1:20" ht="14.25" thickTop="1" thickBot="1">
      <c r="A1725" s="267" t="str">
        <f>C1727</f>
        <v>LEONARDO DE PAULA BORGES</v>
      </c>
      <c r="B1725" s="68" t="s">
        <v>62</v>
      </c>
      <c r="C1725" s="64" t="s">
        <v>136</v>
      </c>
      <c r="D1725" s="65">
        <v>122841</v>
      </c>
      <c r="E1725" s="62">
        <v>43529</v>
      </c>
      <c r="F1725" s="285"/>
    </row>
    <row r="1726" spans="1:20" ht="14.25" thickTop="1" thickBot="1">
      <c r="A1726" s="267"/>
      <c r="B1726" s="61" t="s">
        <v>2406</v>
      </c>
      <c r="C1726" s="193" t="s">
        <v>3606</v>
      </c>
      <c r="D1726" s="429">
        <v>379008</v>
      </c>
      <c r="E1726" s="62"/>
      <c r="F1726" s="284"/>
    </row>
    <row r="1727" spans="1:20" ht="14.25" thickTop="1" thickBot="1">
      <c r="A1727" s="267" t="str">
        <f t="shared" ref="A1727:A1738" si="73">C1729</f>
        <v>LEONARDO DOS SANTOS MOREIRA</v>
      </c>
      <c r="B1727" s="68" t="s">
        <v>62</v>
      </c>
      <c r="C1727" s="66" t="s">
        <v>1733</v>
      </c>
      <c r="D1727" s="61">
        <v>48630</v>
      </c>
      <c r="E1727" s="62">
        <v>42783</v>
      </c>
      <c r="F1727" s="285"/>
    </row>
    <row r="1728" spans="1:20" ht="14.25" thickTop="1" thickBot="1">
      <c r="A1728" s="267" t="str">
        <f t="shared" si="73"/>
        <v>LEONARDO DOS SANTOS MOREIRA   (Rastreador/Zeus/Coruja)</v>
      </c>
      <c r="B1728" s="68" t="s">
        <v>62</v>
      </c>
      <c r="C1728" s="66" t="s">
        <v>387</v>
      </c>
      <c r="D1728" s="61">
        <v>48630</v>
      </c>
      <c r="E1728" s="62">
        <v>43238</v>
      </c>
      <c r="F1728" s="285"/>
    </row>
    <row r="1729" spans="1:6" ht="14.25" thickTop="1" thickBot="1">
      <c r="A1729" s="267" t="str">
        <f t="shared" si="73"/>
        <v>LEONARDO FARIA       (Carioca)</v>
      </c>
      <c r="B1729" s="68" t="s">
        <v>415</v>
      </c>
      <c r="C1729" s="66" t="s">
        <v>387</v>
      </c>
      <c r="D1729" s="67"/>
      <c r="E1729" s="62">
        <v>43160</v>
      </c>
      <c r="F1729" s="285"/>
    </row>
    <row r="1730" spans="1:6" ht="14.25" thickTop="1" thickBot="1">
      <c r="A1730" s="267" t="str">
        <f t="shared" si="73"/>
        <v>LEONARDO LIMA TORRES PEREIRA    (Passat)</v>
      </c>
      <c r="B1730" s="68" t="s">
        <v>62</v>
      </c>
      <c r="C1730" s="66" t="s">
        <v>3049</v>
      </c>
      <c r="D1730" s="61">
        <v>48630</v>
      </c>
      <c r="E1730" s="62">
        <v>41060</v>
      </c>
      <c r="F1730" s="285"/>
    </row>
    <row r="1731" spans="1:6" ht="14.25" thickTop="1" thickBot="1">
      <c r="A1731" s="267" t="str">
        <f t="shared" si="73"/>
        <v>LEONARDO MALAQUIAS</v>
      </c>
      <c r="B1731" s="68" t="s">
        <v>62</v>
      </c>
      <c r="C1731" s="66" t="s">
        <v>3050</v>
      </c>
      <c r="D1731" s="61">
        <v>88191</v>
      </c>
      <c r="E1731" s="62">
        <v>40347</v>
      </c>
      <c r="F1731" s="285"/>
    </row>
    <row r="1732" spans="1:6" ht="14.25" thickTop="1" thickBot="1">
      <c r="A1732" s="267" t="str">
        <f t="shared" si="73"/>
        <v>LEONEL FERREIRA DE LIMA</v>
      </c>
      <c r="B1732" s="68" t="s">
        <v>62</v>
      </c>
      <c r="C1732" s="66" t="s">
        <v>3051</v>
      </c>
      <c r="D1732" s="67"/>
      <c r="E1732" s="62">
        <v>40269</v>
      </c>
      <c r="F1732" s="285"/>
    </row>
    <row r="1733" spans="1:6" ht="14.25" thickTop="1" thickBot="1">
      <c r="A1733" s="267" t="str">
        <f t="shared" si="73"/>
        <v>LEONILDO FERNANDO SILVA DOS SANTOS</v>
      </c>
      <c r="B1733" s="67" t="s">
        <v>2406</v>
      </c>
      <c r="C1733" s="66" t="s">
        <v>3618</v>
      </c>
      <c r="D1733" s="65">
        <v>110929</v>
      </c>
      <c r="E1733" s="62">
        <v>44120</v>
      </c>
      <c r="F1733" s="285"/>
    </row>
    <row r="1734" spans="1:6" ht="14.25" thickTop="1" thickBot="1">
      <c r="A1734" s="267" t="str">
        <f t="shared" si="73"/>
        <v>LEONILDO LOURENÇO</v>
      </c>
      <c r="B1734" s="68" t="s">
        <v>1812</v>
      </c>
      <c r="C1734" s="64" t="s">
        <v>1078</v>
      </c>
      <c r="D1734" s="65">
        <v>63827</v>
      </c>
      <c r="E1734" s="62">
        <v>40182</v>
      </c>
      <c r="F1734" s="285"/>
    </row>
    <row r="1735" spans="1:6" ht="14.25" thickTop="1" thickBot="1">
      <c r="A1735" s="267" t="str">
        <f t="shared" si="73"/>
        <v>LEONIR DE JESUS DA SILVA</v>
      </c>
      <c r="B1735" s="68" t="s">
        <v>62</v>
      </c>
      <c r="C1735" s="66" t="s">
        <v>89</v>
      </c>
      <c r="D1735" s="61">
        <v>100492</v>
      </c>
      <c r="E1735" s="62">
        <v>40866</v>
      </c>
      <c r="F1735" s="285"/>
    </row>
    <row r="1736" spans="1:6" ht="14.25" thickTop="1" thickBot="1">
      <c r="A1736" s="267" t="str">
        <f t="shared" si="73"/>
        <v>LEONIR MORAIS LACERDA</v>
      </c>
      <c r="B1736" s="68" t="s">
        <v>62</v>
      </c>
      <c r="C1736" s="66" t="s">
        <v>279</v>
      </c>
      <c r="D1736" s="61">
        <v>3537</v>
      </c>
      <c r="E1736" s="62">
        <v>39566</v>
      </c>
      <c r="F1736" s="285"/>
    </row>
    <row r="1737" spans="1:6" ht="14.25" thickTop="1" thickBot="1">
      <c r="A1737" s="267" t="str">
        <f t="shared" si="73"/>
        <v>LEONIR TEODORO PEREIRA</v>
      </c>
      <c r="B1737" s="68" t="s">
        <v>62</v>
      </c>
      <c r="C1737" s="66" t="s">
        <v>917</v>
      </c>
      <c r="D1737" s="65">
        <v>14255</v>
      </c>
      <c r="E1737" s="70">
        <v>42492</v>
      </c>
      <c r="F1737" s="284"/>
    </row>
    <row r="1738" spans="1:6" ht="14.25" thickTop="1" thickBot="1">
      <c r="A1738" s="267" t="str">
        <f t="shared" si="73"/>
        <v>LEORNES PEREIRA ALVES DOS SANTOS</v>
      </c>
      <c r="B1738" s="68" t="s">
        <v>1812</v>
      </c>
      <c r="C1738" s="66" t="s">
        <v>1408</v>
      </c>
      <c r="D1738" s="61">
        <v>63900</v>
      </c>
      <c r="E1738" s="62">
        <v>41136</v>
      </c>
      <c r="F1738" s="298"/>
    </row>
    <row r="1739" spans="1:6" ht="14.25" thickTop="1" thickBot="1">
      <c r="A1739" s="267"/>
      <c r="B1739" s="68" t="s">
        <v>62</v>
      </c>
      <c r="C1739" s="66" t="s">
        <v>378</v>
      </c>
      <c r="D1739" s="65"/>
      <c r="E1739" s="70">
        <v>42523</v>
      </c>
      <c r="F1739" s="287"/>
    </row>
    <row r="1740" spans="1:6" ht="14.25" thickTop="1" thickBot="1">
      <c r="A1740" s="267" t="str">
        <f>C1742</f>
        <v>LEOVANDIR RODRIGUES RAMOS</v>
      </c>
      <c r="B1740" s="68" t="s">
        <v>2406</v>
      </c>
      <c r="C1740" s="131" t="s">
        <v>2304</v>
      </c>
      <c r="D1740" s="117">
        <v>63544</v>
      </c>
      <c r="E1740" s="62">
        <v>43742</v>
      </c>
      <c r="F1740" s="285"/>
    </row>
    <row r="1741" spans="1:6" ht="14.25" thickTop="1" thickBot="1">
      <c r="A1741" s="267" t="s">
        <v>2401</v>
      </c>
      <c r="B1741" s="68" t="s">
        <v>62</v>
      </c>
      <c r="C1741" s="66" t="s">
        <v>1923</v>
      </c>
      <c r="D1741" s="61">
        <v>27099</v>
      </c>
      <c r="E1741" s="62">
        <v>39966</v>
      </c>
      <c r="F1741" s="285"/>
    </row>
    <row r="1742" spans="1:6" ht="14.25" thickTop="1" thickBot="1">
      <c r="A1742" s="267" t="str">
        <f>C1746</f>
        <v>LINEU FERREIRA DOS SANTOS</v>
      </c>
      <c r="B1742" s="68" t="s">
        <v>126</v>
      </c>
      <c r="C1742" s="66" t="s">
        <v>1490</v>
      </c>
      <c r="D1742" s="61">
        <v>101846</v>
      </c>
      <c r="E1742" s="62">
        <v>43398</v>
      </c>
      <c r="F1742" s="285"/>
    </row>
    <row r="1743" spans="1:6" ht="14.25" thickTop="1" thickBot="1">
      <c r="A1743" s="267" t="str">
        <f>C1746</f>
        <v>LINEU FERREIRA DOS SANTOS</v>
      </c>
      <c r="B1743" s="68" t="s">
        <v>62</v>
      </c>
      <c r="C1743" s="66" t="s">
        <v>455</v>
      </c>
      <c r="D1743" s="65">
        <v>108347</v>
      </c>
      <c r="E1743" s="62">
        <v>41240</v>
      </c>
      <c r="F1743" s="285"/>
    </row>
    <row r="1744" spans="1:6" ht="14.25" thickTop="1" thickBot="1">
      <c r="A1744" s="267" t="str">
        <f>C1747</f>
        <v>LISANDRO KULCHESKI</v>
      </c>
      <c r="B1744" s="68" t="s">
        <v>62</v>
      </c>
      <c r="C1744" s="60" t="s">
        <v>3052</v>
      </c>
      <c r="D1744" s="61">
        <v>147427</v>
      </c>
      <c r="E1744" s="62">
        <v>41624</v>
      </c>
      <c r="F1744" s="285"/>
    </row>
    <row r="1745" spans="1:6" ht="14.25" thickTop="1" thickBot="1">
      <c r="A1745" s="267" t="s">
        <v>2623</v>
      </c>
      <c r="B1745" s="61" t="s">
        <v>62</v>
      </c>
      <c r="C1745" s="66" t="s">
        <v>998</v>
      </c>
      <c r="D1745" s="67"/>
      <c r="E1745" s="62">
        <v>43383</v>
      </c>
      <c r="F1745" s="284"/>
    </row>
    <row r="1746" spans="1:6" ht="14.25" thickTop="1" thickBot="1">
      <c r="A1746" s="267" t="str">
        <f>C1748</f>
        <v>LISSANDRO SANTOS DA SILVA VEIGA</v>
      </c>
      <c r="B1746" s="61" t="s">
        <v>2413</v>
      </c>
      <c r="C1746" s="194" t="s">
        <v>2623</v>
      </c>
      <c r="D1746" s="61">
        <v>164558</v>
      </c>
      <c r="E1746" s="62">
        <v>43767</v>
      </c>
      <c r="F1746" s="284"/>
    </row>
    <row r="1747" spans="1:6" ht="14.25" thickTop="1" thickBot="1">
      <c r="A1747" s="267" t="str">
        <f>C1750</f>
        <v>LOURENÇO DA SILVA SOUZA</v>
      </c>
      <c r="B1747" s="68" t="s">
        <v>62</v>
      </c>
      <c r="C1747" s="64" t="s">
        <v>1079</v>
      </c>
      <c r="D1747" s="65">
        <v>63433</v>
      </c>
      <c r="E1747" s="62">
        <v>41551</v>
      </c>
      <c r="F1747" s="285"/>
    </row>
    <row r="1748" spans="1:6" ht="14.25" thickTop="1" thickBot="1">
      <c r="A1748" s="267" t="str">
        <f>C1751</f>
        <v>LOURENÇO JOB DE OLIVEIRA</v>
      </c>
      <c r="B1748" s="68" t="s">
        <v>62</v>
      </c>
      <c r="C1748" s="66" t="s">
        <v>2366</v>
      </c>
      <c r="D1748" s="191">
        <v>63778</v>
      </c>
      <c r="E1748" s="62">
        <v>39874</v>
      </c>
      <c r="F1748" s="285"/>
    </row>
    <row r="1749" spans="1:6" ht="14.25" thickTop="1" thickBot="1">
      <c r="A1749" s="267"/>
      <c r="B1749" s="68" t="s">
        <v>1812</v>
      </c>
      <c r="C1749" s="66" t="s">
        <v>3439</v>
      </c>
      <c r="D1749" s="61">
        <v>131708</v>
      </c>
      <c r="E1749" s="62">
        <v>44067</v>
      </c>
      <c r="F1749" s="285"/>
    </row>
    <row r="1750" spans="1:6" ht="14.25" thickTop="1" thickBot="1">
      <c r="A1750" s="267" t="e">
        <f>#REF!</f>
        <v>#REF!</v>
      </c>
      <c r="B1750" s="68" t="s">
        <v>62</v>
      </c>
      <c r="C1750" s="66" t="s">
        <v>1474</v>
      </c>
      <c r="D1750" s="67"/>
      <c r="E1750" s="62">
        <v>40028</v>
      </c>
      <c r="F1750" s="285"/>
    </row>
    <row r="1751" spans="1:6" ht="14.25" thickTop="1" thickBot="1">
      <c r="A1751" s="267" t="s">
        <v>2858</v>
      </c>
      <c r="B1751" s="68" t="s">
        <v>546</v>
      </c>
      <c r="C1751" s="66" t="s">
        <v>545</v>
      </c>
      <c r="D1751" s="61">
        <v>27145</v>
      </c>
      <c r="E1751" s="62">
        <v>40686</v>
      </c>
      <c r="F1751" s="285"/>
    </row>
    <row r="1752" spans="1:6" ht="14.25" thickTop="1" thickBot="1">
      <c r="A1752" s="267" t="str">
        <f t="shared" ref="A1752:A1758" si="74">C1754</f>
        <v>LOURIVAL JOSÉ DA LUZ</v>
      </c>
      <c r="B1752" s="68" t="s">
        <v>603</v>
      </c>
      <c r="C1752" s="192" t="s">
        <v>2858</v>
      </c>
      <c r="D1752" s="61">
        <v>170416</v>
      </c>
      <c r="E1752" s="62">
        <v>43809</v>
      </c>
      <c r="F1752" s="285"/>
    </row>
    <row r="1753" spans="1:6" ht="14.25" thickTop="1" thickBot="1">
      <c r="A1753" s="267" t="str">
        <f t="shared" si="74"/>
        <v>LOURIVAL SEMBARSKI</v>
      </c>
      <c r="B1753" s="68" t="s">
        <v>1812</v>
      </c>
      <c r="C1753" s="376" t="s">
        <v>3579</v>
      </c>
      <c r="D1753" s="61">
        <v>170416</v>
      </c>
      <c r="E1753" s="62">
        <v>44095</v>
      </c>
      <c r="F1753" s="285"/>
    </row>
    <row r="1754" spans="1:6" ht="14.25" thickTop="1" thickBot="1">
      <c r="A1754" s="267" t="str">
        <f t="shared" si="74"/>
        <v>LUAN AUGUSTO RODRIGUES RAMOS</v>
      </c>
      <c r="B1754" s="68" t="s">
        <v>62</v>
      </c>
      <c r="C1754" s="66" t="s">
        <v>551</v>
      </c>
      <c r="D1754" s="177">
        <v>50068</v>
      </c>
      <c r="E1754" s="62">
        <v>41192</v>
      </c>
      <c r="F1754" s="285"/>
    </row>
    <row r="1755" spans="1:6" ht="14.25" thickTop="1" thickBot="1">
      <c r="A1755" s="267" t="str">
        <f t="shared" si="74"/>
        <v>LUAN CARNEIRO ALVES        (Piraí)</v>
      </c>
      <c r="B1755" s="68" t="s">
        <v>62</v>
      </c>
      <c r="C1755" s="66" t="s">
        <v>682</v>
      </c>
      <c r="D1755" s="65">
        <v>102262</v>
      </c>
      <c r="E1755" s="62">
        <v>40974</v>
      </c>
      <c r="F1755" s="285"/>
    </row>
    <row r="1756" spans="1:6" ht="14.25" thickTop="1" thickBot="1">
      <c r="A1756" s="267" t="str">
        <f t="shared" si="74"/>
        <v>LUAN MICHAEL FRAGOSO RODRIGUES    (Bolacha)</v>
      </c>
      <c r="B1756" s="68" t="s">
        <v>62</v>
      </c>
      <c r="C1756" s="64" t="s">
        <v>343</v>
      </c>
      <c r="D1756" s="61">
        <v>111061</v>
      </c>
      <c r="E1756" s="62">
        <v>39266</v>
      </c>
      <c r="F1756" s="285"/>
    </row>
    <row r="1757" spans="1:6" ht="14.25" thickTop="1" thickBot="1">
      <c r="A1757" s="267" t="str">
        <f t="shared" si="74"/>
        <v>LUAN PATRICK ALMEIDA DE OLIVEIRA    (Fubá)</v>
      </c>
      <c r="B1757" s="68" t="s">
        <v>351</v>
      </c>
      <c r="C1757" s="66" t="s">
        <v>3053</v>
      </c>
      <c r="D1757" s="61">
        <v>115759</v>
      </c>
      <c r="E1757" s="62">
        <v>40711</v>
      </c>
      <c r="F1757" s="285"/>
    </row>
    <row r="1758" spans="1:6" ht="14.25" thickTop="1" thickBot="1">
      <c r="A1758" s="267" t="str">
        <f t="shared" si="74"/>
        <v>LUAN SILVA RODRIGUES</v>
      </c>
      <c r="B1758" s="68" t="s">
        <v>62</v>
      </c>
      <c r="C1758" s="179" t="s">
        <v>3054</v>
      </c>
      <c r="D1758" s="61">
        <v>101641</v>
      </c>
      <c r="E1758" s="62">
        <v>41379</v>
      </c>
      <c r="F1758" s="285"/>
    </row>
    <row r="1759" spans="1:6" ht="14.25" thickTop="1" thickBot="1">
      <c r="A1759" s="267"/>
      <c r="B1759" s="68" t="s">
        <v>62</v>
      </c>
      <c r="C1759" s="66" t="s">
        <v>3055</v>
      </c>
      <c r="D1759" s="65">
        <v>63789</v>
      </c>
      <c r="E1759" s="62">
        <v>40028</v>
      </c>
      <c r="F1759" s="285"/>
    </row>
    <row r="1760" spans="1:6" ht="14.25" thickTop="1" thickBot="1">
      <c r="A1760" s="267" t="str">
        <f>C1762</f>
        <v>LUCAS APARECIDO FERREIRA</v>
      </c>
      <c r="B1760" s="68" t="s">
        <v>2413</v>
      </c>
      <c r="C1760" s="66" t="s">
        <v>2172</v>
      </c>
      <c r="D1760" s="61">
        <v>142689</v>
      </c>
      <c r="E1760" s="62">
        <v>43749</v>
      </c>
      <c r="F1760" s="285"/>
    </row>
    <row r="1761" spans="1:6" ht="14.25" thickTop="1" thickBot="1">
      <c r="A1761" s="267" t="str">
        <f>C1763</f>
        <v>LUCAS ARRUDA</v>
      </c>
      <c r="B1761" s="68" t="s">
        <v>62</v>
      </c>
      <c r="C1761" s="66" t="s">
        <v>1539</v>
      </c>
      <c r="D1761" s="61">
        <v>27266</v>
      </c>
      <c r="E1761" s="70">
        <v>42709</v>
      </c>
      <c r="F1761" s="287"/>
    </row>
    <row r="1762" spans="1:6" ht="14.25" thickTop="1" thickBot="1">
      <c r="A1762" s="267" t="str">
        <f>C1764</f>
        <v>LUCAS BACHISNKI</v>
      </c>
      <c r="B1762" s="68" t="s">
        <v>62</v>
      </c>
      <c r="C1762" s="66" t="s">
        <v>636</v>
      </c>
      <c r="D1762" s="61">
        <v>112814</v>
      </c>
      <c r="E1762" s="70">
        <v>42922</v>
      </c>
      <c r="F1762" s="284"/>
    </row>
    <row r="1763" spans="1:6" ht="14.25" thickTop="1" thickBot="1">
      <c r="A1763" s="267" t="str">
        <f>C1765</f>
        <v>LUCAS BORGES DE RAMOS</v>
      </c>
      <c r="B1763" s="68" t="s">
        <v>1812</v>
      </c>
      <c r="C1763" s="66" t="s">
        <v>1704</v>
      </c>
      <c r="D1763" s="61">
        <v>27144</v>
      </c>
      <c r="E1763" s="62"/>
      <c r="F1763" s="289"/>
    </row>
    <row r="1764" spans="1:6" ht="14.25" thickTop="1" thickBot="1">
      <c r="A1764" s="267"/>
      <c r="B1764" s="68" t="s">
        <v>62</v>
      </c>
      <c r="C1764" s="66" t="s">
        <v>1360</v>
      </c>
      <c r="D1764" s="61">
        <v>117327</v>
      </c>
      <c r="E1764" s="62">
        <v>40028</v>
      </c>
      <c r="F1764" s="285"/>
    </row>
    <row r="1765" spans="1:6" ht="14.25" thickTop="1" thickBot="1">
      <c r="A1765" s="267"/>
      <c r="B1765" s="68" t="s">
        <v>98</v>
      </c>
      <c r="C1765" s="60" t="s">
        <v>2301</v>
      </c>
      <c r="D1765" s="61">
        <v>133141</v>
      </c>
      <c r="E1765" s="70">
        <v>43599</v>
      </c>
      <c r="F1765" s="285"/>
    </row>
    <row r="1766" spans="1:6" ht="14.25" thickTop="1" thickBot="1">
      <c r="A1766" s="267" t="str">
        <f>C1770</f>
        <v>LUCAS DE LIMA CARDOSO    (Pesadelo)</v>
      </c>
      <c r="B1766" s="68" t="s">
        <v>2406</v>
      </c>
      <c r="C1766" s="66" t="s">
        <v>3056</v>
      </c>
      <c r="D1766" s="61">
        <v>142708</v>
      </c>
      <c r="E1766" s="70">
        <v>43766</v>
      </c>
      <c r="F1766" s="287"/>
    </row>
    <row r="1767" spans="1:6" ht="14.25" thickTop="1" thickBot="1">
      <c r="A1767" s="267"/>
      <c r="B1767" s="68" t="s">
        <v>2413</v>
      </c>
      <c r="C1767" s="60" t="s">
        <v>2335</v>
      </c>
      <c r="D1767" s="61">
        <v>156132</v>
      </c>
      <c r="E1767" s="70">
        <v>43983</v>
      </c>
      <c r="F1767" s="287"/>
    </row>
    <row r="1768" spans="1:6" ht="14.25" thickTop="1" thickBot="1">
      <c r="A1768" s="267" t="str">
        <f>C1771</f>
        <v>LUCAS DOS SANTOS PRADO</v>
      </c>
      <c r="B1768" s="163" t="s">
        <v>62</v>
      </c>
      <c r="C1768" s="66" t="s">
        <v>1856</v>
      </c>
      <c r="D1768" s="61">
        <v>101521</v>
      </c>
      <c r="E1768" s="204">
        <v>43360</v>
      </c>
      <c r="F1768" s="284"/>
    </row>
    <row r="1769" spans="1:6" ht="14.25" thickTop="1" thickBot="1">
      <c r="A1769" s="267" t="str">
        <f>C1771</f>
        <v>LUCAS DOS SANTOS PRADO</v>
      </c>
      <c r="B1769" s="68" t="s">
        <v>351</v>
      </c>
      <c r="C1769" s="60" t="s">
        <v>2586</v>
      </c>
      <c r="D1769" s="61">
        <v>124433</v>
      </c>
      <c r="E1769" s="62">
        <v>40028</v>
      </c>
      <c r="F1769" s="285"/>
    </row>
    <row r="1770" spans="1:6" ht="14.25" thickTop="1" thickBot="1">
      <c r="A1770" s="267" t="str">
        <f>C1772</f>
        <v>LUCAS MITSORO ORION CARVALHO</v>
      </c>
      <c r="B1770" s="68" t="s">
        <v>1812</v>
      </c>
      <c r="C1770" s="66" t="s">
        <v>3057</v>
      </c>
      <c r="D1770" s="61">
        <v>155743</v>
      </c>
      <c r="E1770" s="62">
        <v>40028</v>
      </c>
      <c r="F1770" s="285"/>
    </row>
    <row r="1771" spans="1:6" ht="14.25" thickTop="1" thickBot="1">
      <c r="A1771" s="267" t="str">
        <f>C1773</f>
        <v>LUCAS ROBERTO MOURA</v>
      </c>
      <c r="B1771" s="68" t="s">
        <v>62</v>
      </c>
      <c r="C1771" s="66" t="s">
        <v>2872</v>
      </c>
      <c r="D1771" s="65"/>
      <c r="E1771" s="62">
        <v>40028</v>
      </c>
      <c r="F1771" s="285"/>
    </row>
    <row r="1772" spans="1:6" ht="14.25" thickTop="1" thickBot="1">
      <c r="A1772" s="271"/>
      <c r="B1772" s="68" t="s">
        <v>62</v>
      </c>
      <c r="C1772" s="66" t="s">
        <v>1928</v>
      </c>
      <c r="D1772" s="61">
        <v>112232</v>
      </c>
      <c r="E1772" s="62">
        <v>43294</v>
      </c>
      <c r="F1772" s="285"/>
    </row>
    <row r="1773" spans="1:6" ht="14.25" thickTop="1" thickBot="1">
      <c r="A1773" s="267"/>
      <c r="B1773" s="68" t="s">
        <v>62</v>
      </c>
      <c r="C1773" s="66" t="s">
        <v>1989</v>
      </c>
      <c r="D1773" s="65">
        <v>46630</v>
      </c>
      <c r="E1773" s="62">
        <v>40028</v>
      </c>
      <c r="F1773" s="285"/>
    </row>
    <row r="1774" spans="1:6" ht="14.25" thickTop="1" thickBot="1">
      <c r="A1774" s="267" t="str">
        <f>C1777</f>
        <v>LUCIANO ANTONIO RAMOS</v>
      </c>
      <c r="B1774" s="68" t="s">
        <v>1812</v>
      </c>
      <c r="C1774" s="77" t="s">
        <v>2706</v>
      </c>
      <c r="D1774" s="61">
        <v>102652</v>
      </c>
      <c r="E1774" s="70">
        <v>43808</v>
      </c>
      <c r="F1774" s="287"/>
    </row>
    <row r="1775" spans="1:6" ht="14.25" thickTop="1" thickBot="1">
      <c r="A1775" s="267" t="s">
        <v>1705</v>
      </c>
      <c r="B1775" s="68" t="s">
        <v>846</v>
      </c>
      <c r="C1775" s="66" t="s">
        <v>163</v>
      </c>
      <c r="D1775" s="61">
        <v>27047</v>
      </c>
      <c r="E1775" s="62">
        <v>41242</v>
      </c>
      <c r="F1775" s="285"/>
    </row>
    <row r="1776" spans="1:6" ht="14.25" thickTop="1" thickBot="1">
      <c r="A1776" s="267" t="str">
        <f>C1779</f>
        <v xml:space="preserve">LUCIANO DA SILVA </v>
      </c>
      <c r="B1776" s="68" t="s">
        <v>2406</v>
      </c>
      <c r="C1776" s="60" t="s">
        <v>1705</v>
      </c>
      <c r="D1776" s="61">
        <v>102452</v>
      </c>
      <c r="E1776" s="62">
        <v>43812</v>
      </c>
      <c r="F1776" s="285"/>
    </row>
    <row r="1777" spans="1:6" ht="14.25" thickTop="1" thickBot="1">
      <c r="A1777" s="267" t="str">
        <f t="shared" ref="A1777:A1784" si="75">C1779</f>
        <v xml:space="preserve">LUCIANO DA SILVA </v>
      </c>
      <c r="B1777" s="68" t="s">
        <v>62</v>
      </c>
      <c r="C1777" s="66" t="s">
        <v>1325</v>
      </c>
      <c r="D1777" s="61">
        <v>63838</v>
      </c>
      <c r="E1777" s="62">
        <v>41044</v>
      </c>
      <c r="F1777" s="285"/>
    </row>
    <row r="1778" spans="1:6" ht="14.25" thickTop="1" thickBot="1">
      <c r="A1778" s="267" t="str">
        <f t="shared" si="75"/>
        <v>LUCIANO DE JESUS PEDROSO</v>
      </c>
      <c r="B1778" s="68" t="s">
        <v>62</v>
      </c>
      <c r="C1778" s="66" t="s">
        <v>20</v>
      </c>
      <c r="D1778" s="67"/>
      <c r="E1778" s="70">
        <v>42565</v>
      </c>
      <c r="F1778" s="287"/>
    </row>
    <row r="1779" spans="1:6" ht="14.25" thickTop="1" thickBot="1">
      <c r="A1779" s="267" t="str">
        <f t="shared" si="75"/>
        <v>LUCIANO DE JESUS PEREIRA</v>
      </c>
      <c r="B1779" s="68" t="s">
        <v>62</v>
      </c>
      <c r="C1779" s="64" t="s">
        <v>1125</v>
      </c>
      <c r="D1779" s="65">
        <v>63579</v>
      </c>
      <c r="E1779" s="62">
        <v>39400</v>
      </c>
      <c r="F1779" s="285"/>
    </row>
    <row r="1780" spans="1:6" ht="14.25" thickTop="1" thickBot="1">
      <c r="A1780" s="267" t="str">
        <f t="shared" si="75"/>
        <v>LUCIANO DE SOUZA SERAFIM     (Ferugem)</v>
      </c>
      <c r="B1780" s="68" t="s">
        <v>62</v>
      </c>
      <c r="C1780" s="66" t="s">
        <v>690</v>
      </c>
      <c r="D1780" s="61">
        <v>63307</v>
      </c>
      <c r="E1780" s="62">
        <v>40584</v>
      </c>
      <c r="F1780" s="285"/>
    </row>
    <row r="1781" spans="1:6" ht="14.25" thickTop="1" thickBot="1">
      <c r="A1781" s="267" t="str">
        <f t="shared" si="75"/>
        <v>LUCIANO DOBZINSKI</v>
      </c>
      <c r="B1781" s="68" t="s">
        <v>62</v>
      </c>
      <c r="C1781" s="66" t="s">
        <v>1126</v>
      </c>
      <c r="D1781" s="65">
        <v>63774</v>
      </c>
      <c r="E1781" s="115">
        <v>40742</v>
      </c>
      <c r="F1781" s="288" t="s">
        <v>1460</v>
      </c>
    </row>
    <row r="1782" spans="1:6" ht="14.25" thickTop="1" thickBot="1">
      <c r="A1782" s="267" t="str">
        <f t="shared" si="75"/>
        <v xml:space="preserve">LUCIANO DOMINGUES RAMOS    </v>
      </c>
      <c r="B1782" s="68" t="s">
        <v>62</v>
      </c>
      <c r="C1782" s="66" t="s">
        <v>3058</v>
      </c>
      <c r="D1782" s="61">
        <v>101752</v>
      </c>
      <c r="E1782" s="62">
        <v>41712</v>
      </c>
      <c r="F1782" s="285"/>
    </row>
    <row r="1783" spans="1:6" ht="14.25" thickTop="1" thickBot="1">
      <c r="A1783" s="267" t="str">
        <f t="shared" si="75"/>
        <v>LUCIANO DOS ANJOS DE OLIVEIRA</v>
      </c>
      <c r="B1783" s="68" t="s">
        <v>62</v>
      </c>
      <c r="C1783" s="66" t="s">
        <v>1943</v>
      </c>
      <c r="D1783" s="67"/>
      <c r="E1783" s="62">
        <v>41955</v>
      </c>
      <c r="F1783" s="285"/>
    </row>
    <row r="1784" spans="1:6" ht="14.25" thickTop="1" thickBot="1">
      <c r="A1784" s="267" t="str">
        <f t="shared" si="75"/>
        <v>LUCIANO FERREIRA DA SILVA</v>
      </c>
      <c r="B1784" s="68" t="s">
        <v>62</v>
      </c>
      <c r="C1784" s="64" t="s">
        <v>1475</v>
      </c>
      <c r="D1784" s="65"/>
      <c r="E1784" s="62">
        <v>43364</v>
      </c>
      <c r="F1784" s="285"/>
    </row>
    <row r="1785" spans="1:6" ht="14.25" thickTop="1" thickBot="1">
      <c r="A1785" s="267" t="s">
        <v>2632</v>
      </c>
      <c r="B1785" s="68" t="s">
        <v>3470</v>
      </c>
      <c r="C1785" s="77" t="s">
        <v>3448</v>
      </c>
      <c r="D1785" s="61"/>
      <c r="E1785" s="62">
        <v>43964</v>
      </c>
      <c r="F1785" s="285"/>
    </row>
    <row r="1786" spans="1:6" ht="14.25" thickTop="1" thickBot="1">
      <c r="A1786" s="267" t="str">
        <f t="shared" ref="A1786:A1794" si="76">C1788</f>
        <v>LUCIANO JOSE SAIDE DE MELO    (Lebrão)</v>
      </c>
      <c r="B1786" s="68" t="s">
        <v>62</v>
      </c>
      <c r="C1786" s="66" t="s">
        <v>977</v>
      </c>
      <c r="D1786" s="61">
        <v>123007</v>
      </c>
      <c r="E1786" s="62">
        <v>41816</v>
      </c>
      <c r="F1786" s="285"/>
    </row>
    <row r="1787" spans="1:6" ht="14.25" thickTop="1" thickBot="1">
      <c r="A1787" s="267" t="str">
        <f t="shared" si="76"/>
        <v>LUCIANO MARCELO RIBEIRO</v>
      </c>
      <c r="B1787" s="67" t="s">
        <v>1522</v>
      </c>
      <c r="C1787" s="66" t="s">
        <v>1962</v>
      </c>
      <c r="D1787" s="61">
        <v>134235</v>
      </c>
      <c r="E1787" s="62">
        <v>40140</v>
      </c>
      <c r="F1787" s="285"/>
    </row>
    <row r="1788" spans="1:6" ht="14.25" thickTop="1" thickBot="1">
      <c r="A1788" s="267" t="str">
        <f t="shared" si="76"/>
        <v>LUCIANO MORAIS DE FREITAS</v>
      </c>
      <c r="B1788" s="68" t="s">
        <v>62</v>
      </c>
      <c r="C1788" s="66" t="s">
        <v>3059</v>
      </c>
      <c r="D1788" s="65">
        <v>27013</v>
      </c>
      <c r="E1788" s="115">
        <v>40956</v>
      </c>
      <c r="F1788" s="288" t="s">
        <v>77</v>
      </c>
    </row>
    <row r="1789" spans="1:6" ht="14.25" thickTop="1" thickBot="1">
      <c r="A1789" s="272" t="str">
        <f t="shared" si="76"/>
        <v>LUCIANO NUNES SIQUEIRA</v>
      </c>
      <c r="B1789" s="68" t="s">
        <v>62</v>
      </c>
      <c r="C1789" s="66" t="s">
        <v>1184</v>
      </c>
      <c r="D1789" s="61">
        <v>21844</v>
      </c>
      <c r="E1789" s="62">
        <v>40850</v>
      </c>
      <c r="F1789" s="285"/>
    </row>
    <row r="1790" spans="1:6" ht="14.25" thickTop="1" thickBot="1">
      <c r="A1790" s="267" t="str">
        <f t="shared" si="76"/>
        <v xml:space="preserve">LUCIANO PEDROSO DA SILVA   </v>
      </c>
      <c r="B1790" s="68" t="s">
        <v>62</v>
      </c>
      <c r="C1790" s="66" t="s">
        <v>1762</v>
      </c>
      <c r="D1790" s="67"/>
      <c r="E1790" s="62">
        <v>41634</v>
      </c>
      <c r="F1790" s="285"/>
    </row>
    <row r="1791" spans="1:6" ht="14.25" thickTop="1" thickBot="1">
      <c r="A1791" s="267" t="str">
        <f t="shared" si="76"/>
        <v>LUCIANO ROBSON DE BARROS    (Catarina)</v>
      </c>
      <c r="B1791" s="68" t="s">
        <v>62</v>
      </c>
      <c r="C1791" s="66" t="s">
        <v>1476</v>
      </c>
      <c r="D1791" s="69">
        <v>63261</v>
      </c>
      <c r="E1791" s="62">
        <v>42101</v>
      </c>
      <c r="F1791" s="285"/>
    </row>
    <row r="1792" spans="1:6" ht="14.25" thickTop="1" thickBot="1">
      <c r="A1792" s="267" t="str">
        <f t="shared" si="76"/>
        <v>LUCIANO RODRIGUES DOS SANTOS</v>
      </c>
      <c r="B1792" s="68" t="s">
        <v>2061</v>
      </c>
      <c r="C1792" s="66" t="s">
        <v>1129</v>
      </c>
      <c r="D1792" s="65">
        <v>63374</v>
      </c>
      <c r="E1792" s="62"/>
      <c r="F1792" s="285"/>
    </row>
    <row r="1793" spans="1:6" ht="14.25" thickTop="1" thickBot="1">
      <c r="A1793" s="267" t="str">
        <f t="shared" si="76"/>
        <v>LUCIANO RODRIGUES DOS SANTOS    (Cavalo)</v>
      </c>
      <c r="B1793" s="68" t="s">
        <v>62</v>
      </c>
      <c r="C1793" s="66" t="s">
        <v>3060</v>
      </c>
      <c r="D1793" s="65">
        <v>46005</v>
      </c>
      <c r="E1793" s="62">
        <v>41254</v>
      </c>
      <c r="F1793" s="285"/>
    </row>
    <row r="1794" spans="1:6" ht="14.25" thickTop="1" thickBot="1">
      <c r="A1794" s="267" t="str">
        <f t="shared" si="76"/>
        <v>LUCIANO SILVA CABRAL LOPES</v>
      </c>
      <c r="B1794" s="68" t="s">
        <v>62</v>
      </c>
      <c r="C1794" s="66" t="s">
        <v>2302</v>
      </c>
      <c r="D1794" s="61">
        <v>46005</v>
      </c>
      <c r="E1794" s="62">
        <v>42103</v>
      </c>
      <c r="F1794" s="284"/>
    </row>
    <row r="1795" spans="1:6" ht="14.25" thickTop="1" thickBot="1">
      <c r="A1795" s="267" t="str">
        <f>C1798</f>
        <v>LUCINEI SEBASTIÃO DE ANDRADE</v>
      </c>
      <c r="B1795" s="68" t="s">
        <v>62</v>
      </c>
      <c r="C1795" s="66" t="s">
        <v>3061</v>
      </c>
      <c r="D1795" s="67"/>
      <c r="E1795" s="62">
        <v>41793</v>
      </c>
      <c r="F1795" s="285"/>
    </row>
    <row r="1796" spans="1:6" ht="14.25" thickTop="1" thickBot="1">
      <c r="A1796" s="267"/>
      <c r="B1796" s="68"/>
      <c r="C1796" s="66" t="s">
        <v>3521</v>
      </c>
      <c r="D1796" s="65"/>
      <c r="E1796" s="62">
        <v>44105</v>
      </c>
      <c r="F1796" s="285"/>
    </row>
    <row r="1797" spans="1:6" ht="14.25" thickTop="1" thickBot="1">
      <c r="A1797" s="267" t="str">
        <f>C1800</f>
        <v>LUCIVANIO DOS PASSOS SILVA</v>
      </c>
      <c r="B1797" s="68" t="s">
        <v>62</v>
      </c>
      <c r="C1797" s="64" t="s">
        <v>1130</v>
      </c>
      <c r="D1797" s="61">
        <v>33024</v>
      </c>
      <c r="E1797" s="62">
        <v>40802</v>
      </c>
      <c r="F1797" s="285"/>
    </row>
    <row r="1798" spans="1:6" ht="14.25" thickTop="1" thickBot="1">
      <c r="A1798" s="267"/>
      <c r="B1798" s="68"/>
      <c r="C1798" s="332" t="s">
        <v>3444</v>
      </c>
      <c r="D1798" s="333">
        <v>124991</v>
      </c>
      <c r="E1798" s="70"/>
      <c r="F1798" s="284"/>
    </row>
    <row r="1799" spans="1:6" ht="14.25" thickTop="1" thickBot="1">
      <c r="A1799" s="267" t="str">
        <f>C1801</f>
        <v>LUIDI BARBOSA CAMPOS</v>
      </c>
      <c r="B1799" s="68" t="s">
        <v>62</v>
      </c>
      <c r="C1799" s="64" t="s">
        <v>356</v>
      </c>
      <c r="D1799" s="65">
        <v>63833</v>
      </c>
      <c r="E1799" s="62">
        <v>41624</v>
      </c>
      <c r="F1799" s="285"/>
    </row>
    <row r="1800" spans="1:6" ht="14.25" thickTop="1" thickBot="1">
      <c r="A1800" s="267" t="str">
        <f>C1802</f>
        <v>LUIS ADILSON ANDRADE</v>
      </c>
      <c r="B1800" s="68" t="s">
        <v>62</v>
      </c>
      <c r="C1800" s="66" t="s">
        <v>1059</v>
      </c>
      <c r="D1800" s="65">
        <v>63966</v>
      </c>
      <c r="E1800" s="62">
        <v>41071</v>
      </c>
      <c r="F1800" s="285"/>
    </row>
    <row r="1801" spans="1:6" ht="14.25" thickTop="1" thickBot="1">
      <c r="A1801" s="267" t="str">
        <f>C1806</f>
        <v>LUIS ANTONIO PINTO DOS SANTOS</v>
      </c>
      <c r="B1801" s="68" t="s">
        <v>62</v>
      </c>
      <c r="C1801" s="66" t="s">
        <v>1099</v>
      </c>
      <c r="D1801" s="61">
        <v>63674</v>
      </c>
      <c r="E1801" s="62">
        <v>39904</v>
      </c>
      <c r="F1801" s="285"/>
    </row>
    <row r="1802" spans="1:6" ht="14.25" thickTop="1" thickBot="1">
      <c r="A1802" s="267" t="str">
        <f>C1808</f>
        <v>LUIS CARLOS ALVES MACHADO</v>
      </c>
      <c r="B1802" s="68" t="s">
        <v>1298</v>
      </c>
      <c r="C1802" s="66" t="s">
        <v>1435</v>
      </c>
      <c r="D1802" s="65">
        <v>63228</v>
      </c>
      <c r="E1802" s="62">
        <v>40231</v>
      </c>
      <c r="F1802" s="285"/>
    </row>
    <row r="1803" spans="1:6" ht="14.25" thickTop="1" thickBot="1">
      <c r="A1803" s="267" t="str">
        <f>C1806</f>
        <v>LUIS ANTONIO PINTO DOS SANTOS</v>
      </c>
      <c r="B1803" s="68" t="s">
        <v>62</v>
      </c>
      <c r="C1803" s="66" t="s">
        <v>3062</v>
      </c>
      <c r="D1803" s="67"/>
      <c r="E1803" s="62">
        <v>40854</v>
      </c>
      <c r="F1803" s="285"/>
    </row>
    <row r="1804" spans="1:6" ht="14.25" thickTop="1" thickBot="1">
      <c r="A1804" s="267" t="str">
        <f t="shared" ref="A1804:A1815" si="77">C1806</f>
        <v>LUIS ANTONIO PINTO DOS SANTOS</v>
      </c>
      <c r="B1804" s="68" t="s">
        <v>62</v>
      </c>
      <c r="C1804" s="66" t="s">
        <v>1477</v>
      </c>
      <c r="D1804" s="69">
        <v>63737</v>
      </c>
      <c r="E1804" s="62">
        <v>40763</v>
      </c>
      <c r="F1804" s="285"/>
    </row>
    <row r="1805" spans="1:6" ht="14.25" thickTop="1" thickBot="1">
      <c r="A1805" s="267" t="str">
        <f t="shared" si="77"/>
        <v>LUIS AURELIO DE OLIVEIRA</v>
      </c>
      <c r="B1805" s="61" t="s">
        <v>2413</v>
      </c>
      <c r="C1805" s="66" t="s">
        <v>752</v>
      </c>
      <c r="D1805" s="65">
        <v>64000</v>
      </c>
      <c r="E1805" s="62">
        <v>43537</v>
      </c>
      <c r="F1805" s="284"/>
    </row>
    <row r="1806" spans="1:6" ht="14.25" thickTop="1" thickBot="1">
      <c r="A1806" s="267" t="str">
        <f t="shared" si="77"/>
        <v>LUIS CARLOS ALVES MACHADO</v>
      </c>
      <c r="B1806" s="68" t="s">
        <v>1298</v>
      </c>
      <c r="C1806" s="66" t="s">
        <v>1289</v>
      </c>
      <c r="D1806" s="67"/>
      <c r="E1806" s="62">
        <v>40676</v>
      </c>
      <c r="F1806" s="285"/>
    </row>
    <row r="1807" spans="1:6" ht="14.25" thickTop="1" thickBot="1">
      <c r="A1807" s="267" t="str">
        <f t="shared" si="77"/>
        <v>LUIS CARLOS CARNEIRO</v>
      </c>
      <c r="B1807" s="68" t="s">
        <v>1812</v>
      </c>
      <c r="C1807" s="60" t="s">
        <v>2440</v>
      </c>
      <c r="D1807" s="61">
        <v>145822</v>
      </c>
      <c r="E1807" s="62">
        <v>42522</v>
      </c>
      <c r="F1807" s="285"/>
    </row>
    <row r="1808" spans="1:6" ht="14.25" thickTop="1" thickBot="1">
      <c r="A1808" s="267" t="str">
        <f t="shared" si="77"/>
        <v>LUIS CARLOS DOS SANTOS</v>
      </c>
      <c r="B1808" s="68" t="s">
        <v>62</v>
      </c>
      <c r="C1808" s="66" t="s">
        <v>357</v>
      </c>
      <c r="D1808" s="61">
        <v>27327</v>
      </c>
      <c r="E1808" s="62">
        <v>40757</v>
      </c>
      <c r="F1808" s="285"/>
    </row>
    <row r="1809" spans="1:6" ht="14.25" thickTop="1" thickBot="1">
      <c r="A1809" s="267" t="str">
        <f t="shared" si="77"/>
        <v>LUIS CARLOS FERREIRA</v>
      </c>
      <c r="B1809" s="68" t="s">
        <v>62</v>
      </c>
      <c r="C1809" s="66" t="s">
        <v>137</v>
      </c>
      <c r="D1809" s="67"/>
      <c r="E1809" s="62">
        <v>42921</v>
      </c>
      <c r="F1809" s="285"/>
    </row>
    <row r="1810" spans="1:6" ht="14.25" thickTop="1" thickBot="1">
      <c r="A1810" s="267" t="str">
        <f t="shared" si="77"/>
        <v>LUIS CARLOS MAKOSKI    (Ipiranga)</v>
      </c>
      <c r="B1810" s="68" t="s">
        <v>62</v>
      </c>
      <c r="C1810" s="66" t="s">
        <v>1478</v>
      </c>
      <c r="D1810" s="61">
        <v>9146</v>
      </c>
      <c r="E1810" s="62">
        <v>40493</v>
      </c>
      <c r="F1810" s="285"/>
    </row>
    <row r="1811" spans="1:6" ht="14.25" thickTop="1" thickBot="1">
      <c r="A1811" s="267" t="str">
        <f t="shared" si="77"/>
        <v>LUIS CARLOS PEREIRA</v>
      </c>
      <c r="B1811" s="68" t="s">
        <v>62</v>
      </c>
      <c r="C1811" s="66" t="s">
        <v>1479</v>
      </c>
      <c r="D1811" s="61">
        <v>102040</v>
      </c>
      <c r="E1811" s="62">
        <v>41808</v>
      </c>
      <c r="F1811" s="285"/>
    </row>
    <row r="1812" spans="1:6" ht="14.25" thickTop="1" thickBot="1">
      <c r="A1812" s="267" t="str">
        <f t="shared" si="77"/>
        <v>LUIS CARLOS PORTELA DE MEDEIROS</v>
      </c>
      <c r="B1812" s="68" t="s">
        <v>62</v>
      </c>
      <c r="C1812" s="66" t="s">
        <v>3063</v>
      </c>
      <c r="D1812" s="61">
        <v>63579</v>
      </c>
      <c r="E1812" s="62">
        <v>42608</v>
      </c>
      <c r="F1812" s="285"/>
    </row>
    <row r="1813" spans="1:6" ht="14.25" thickTop="1" thickBot="1">
      <c r="A1813" s="267" t="str">
        <f t="shared" si="77"/>
        <v>LUIS CARLOS SANTOS</v>
      </c>
      <c r="B1813" s="68" t="s">
        <v>62</v>
      </c>
      <c r="C1813" s="66" t="s">
        <v>359</v>
      </c>
      <c r="D1813" s="67"/>
      <c r="E1813" s="62">
        <v>41338</v>
      </c>
      <c r="F1813" s="285"/>
    </row>
    <row r="1814" spans="1:6" ht="14.25" thickTop="1" thickBot="1">
      <c r="A1814" s="267" t="str">
        <f t="shared" si="77"/>
        <v>LUIS CARLOS SOARES DELGADO</v>
      </c>
      <c r="B1814" s="68" t="s">
        <v>62</v>
      </c>
      <c r="C1814" s="66" t="s">
        <v>805</v>
      </c>
      <c r="D1814" s="67"/>
      <c r="E1814" s="62">
        <v>40501</v>
      </c>
      <c r="F1814" s="285"/>
    </row>
    <row r="1815" spans="1:6" ht="14.25" thickTop="1" thickBot="1">
      <c r="A1815" s="267" t="str">
        <f t="shared" si="77"/>
        <v>LUIS EDUARDO CAMARGO MENDES</v>
      </c>
      <c r="B1815" s="68" t="s">
        <v>62</v>
      </c>
      <c r="C1815" s="66" t="s">
        <v>360</v>
      </c>
      <c r="D1815" s="65">
        <v>27094</v>
      </c>
      <c r="E1815" s="62">
        <v>39904</v>
      </c>
      <c r="F1815" s="285"/>
    </row>
    <row r="1816" spans="1:6" ht="14.25" thickTop="1" thickBot="1">
      <c r="A1816" s="267"/>
      <c r="B1816" s="68" t="s">
        <v>62</v>
      </c>
      <c r="C1816" s="66" t="s">
        <v>2058</v>
      </c>
      <c r="D1816" s="69">
        <v>126907</v>
      </c>
      <c r="E1816" s="70">
        <v>42319</v>
      </c>
      <c r="F1816" s="284"/>
    </row>
    <row r="1817" spans="1:6" ht="14.25" thickTop="1" thickBot="1">
      <c r="A1817" s="267" t="str">
        <f>C1819</f>
        <v>LUIS FAUSTINO XAVIER</v>
      </c>
      <c r="B1817" s="68" t="s">
        <v>62</v>
      </c>
      <c r="C1817" s="66" t="s">
        <v>786</v>
      </c>
      <c r="D1817" s="312">
        <v>63418</v>
      </c>
      <c r="E1817" s="62">
        <v>41108</v>
      </c>
      <c r="F1817" s="285"/>
    </row>
    <row r="1818" spans="1:6" ht="14.25" thickTop="1" thickBot="1">
      <c r="A1818" s="359" t="s">
        <v>2135</v>
      </c>
      <c r="B1818" s="68" t="s">
        <v>1865</v>
      </c>
      <c r="C1818" s="66" t="s">
        <v>361</v>
      </c>
      <c r="D1818" s="67"/>
      <c r="E1818" s="62">
        <v>42327</v>
      </c>
      <c r="F1818" s="285"/>
    </row>
    <row r="1819" spans="1:6" ht="14.25" thickTop="1" thickBot="1">
      <c r="A1819" s="267" t="str">
        <f>C1821</f>
        <v>LUIS GUILHERME STRACK BRANCO</v>
      </c>
      <c r="B1819" s="68" t="s">
        <v>2593</v>
      </c>
      <c r="C1819" s="64" t="s">
        <v>362</v>
      </c>
      <c r="D1819" s="61">
        <v>104539</v>
      </c>
      <c r="E1819" s="62">
        <v>43524</v>
      </c>
      <c r="F1819" s="285"/>
    </row>
    <row r="1820" spans="1:6" ht="14.25" thickTop="1" thickBot="1">
      <c r="A1820" s="267" t="str">
        <f>C1822</f>
        <v>LUIS ISMAEL TELES</v>
      </c>
      <c r="B1820" s="68" t="s">
        <v>62</v>
      </c>
      <c r="C1820" s="173" t="s">
        <v>3064</v>
      </c>
      <c r="D1820" s="67"/>
      <c r="E1820" s="62">
        <v>40892</v>
      </c>
      <c r="F1820" s="285"/>
    </row>
    <row r="1821" spans="1:6" ht="14.25" thickTop="1" thickBot="1">
      <c r="A1821" s="267" t="str">
        <f>C1823</f>
        <v>LUIS JOSE NOGUEIRA DOS SANTOS</v>
      </c>
      <c r="B1821" s="67" t="s">
        <v>1522</v>
      </c>
      <c r="C1821" s="78" t="s">
        <v>2135</v>
      </c>
      <c r="D1821" s="198">
        <v>113819</v>
      </c>
      <c r="E1821" s="62">
        <v>42474</v>
      </c>
      <c r="F1821" s="285"/>
    </row>
    <row r="1822" spans="1:6" ht="14.25" thickTop="1" thickBot="1">
      <c r="A1822" s="267" t="s">
        <v>2241</v>
      </c>
      <c r="B1822" s="68" t="s">
        <v>62</v>
      </c>
      <c r="C1822" s="66" t="s">
        <v>1480</v>
      </c>
      <c r="D1822" s="69"/>
      <c r="E1822" s="62">
        <v>39966</v>
      </c>
      <c r="F1822" s="285"/>
    </row>
    <row r="1823" spans="1:6" ht="14.25" thickTop="1" thickBot="1">
      <c r="A1823" s="267" t="str">
        <f>C1825</f>
        <v>LUIS PAULO ZANDER</v>
      </c>
      <c r="B1823" s="68" t="s">
        <v>2413</v>
      </c>
      <c r="C1823" s="64" t="s">
        <v>5</v>
      </c>
      <c r="D1823" s="178">
        <v>51364</v>
      </c>
      <c r="E1823" s="62">
        <v>43560</v>
      </c>
      <c r="F1823" s="285"/>
    </row>
    <row r="1824" spans="1:6" ht="14.25" thickTop="1" thickBot="1">
      <c r="A1824" s="267" t="str">
        <f>C1829</f>
        <v>LUIZ ANDRE MACEDO TAQUES    (Jaguariaiva)</v>
      </c>
      <c r="B1824" s="68" t="s">
        <v>62</v>
      </c>
      <c r="C1824" s="173" t="s">
        <v>3065</v>
      </c>
      <c r="D1824" s="61">
        <v>46632</v>
      </c>
      <c r="E1824" s="70">
        <v>43363</v>
      </c>
      <c r="F1824" s="291"/>
    </row>
    <row r="1825" spans="1:6" ht="14.25" thickTop="1" thickBot="1">
      <c r="A1825" s="267" t="str">
        <f>C1831</f>
        <v>LUIZ BOITA</v>
      </c>
      <c r="B1825" s="68" t="s">
        <v>516</v>
      </c>
      <c r="C1825" s="77" t="s">
        <v>2241</v>
      </c>
      <c r="D1825" s="61">
        <v>129069</v>
      </c>
      <c r="E1825" s="62">
        <v>39553</v>
      </c>
      <c r="F1825" s="285"/>
    </row>
    <row r="1826" spans="1:6" ht="14.25" thickTop="1" thickBot="1">
      <c r="A1826" s="267" t="s">
        <v>2618</v>
      </c>
      <c r="B1826" s="68" t="s">
        <v>351</v>
      </c>
      <c r="C1826" s="192" t="s">
        <v>2018</v>
      </c>
      <c r="D1826" s="61">
        <v>101406</v>
      </c>
      <c r="E1826" s="97">
        <v>42578</v>
      </c>
      <c r="F1826" s="287"/>
    </row>
    <row r="1827" spans="1:6" ht="14.25" thickTop="1" thickBot="1">
      <c r="A1827" s="271"/>
      <c r="B1827" s="68" t="s">
        <v>3425</v>
      </c>
      <c r="C1827" s="77" t="s">
        <v>2587</v>
      </c>
      <c r="D1827" s="198">
        <v>152573</v>
      </c>
      <c r="E1827" s="62">
        <v>43921</v>
      </c>
      <c r="F1827" s="285"/>
    </row>
    <row r="1828" spans="1:6" ht="14.25" thickTop="1" thickBot="1">
      <c r="A1828" s="267" t="str">
        <f>C1830</f>
        <v>LUIZ ANTONIO HORTMAN</v>
      </c>
      <c r="B1828" s="68" t="s">
        <v>2413</v>
      </c>
      <c r="C1828" s="66" t="s">
        <v>1448</v>
      </c>
      <c r="D1828" s="61">
        <v>27330</v>
      </c>
      <c r="E1828" s="62">
        <v>43529</v>
      </c>
      <c r="F1828" s="285"/>
    </row>
    <row r="1829" spans="1:6" ht="14.25" thickTop="1" thickBot="1">
      <c r="A1829" s="267" t="str">
        <f>C1831</f>
        <v>LUIZ BOITA</v>
      </c>
      <c r="B1829" s="68" t="s">
        <v>62</v>
      </c>
      <c r="C1829" s="66" t="s">
        <v>3066</v>
      </c>
      <c r="D1829" s="65">
        <v>8502</v>
      </c>
      <c r="E1829" s="62">
        <v>40763</v>
      </c>
      <c r="F1829" s="285"/>
    </row>
    <row r="1830" spans="1:6" ht="14.25" thickTop="1" thickBot="1">
      <c r="A1830" s="268"/>
      <c r="B1830" s="68" t="s">
        <v>62</v>
      </c>
      <c r="C1830" s="66" t="s">
        <v>2618</v>
      </c>
      <c r="D1830" s="61">
        <v>63737</v>
      </c>
      <c r="E1830" s="62">
        <v>42704</v>
      </c>
      <c r="F1830" s="285"/>
    </row>
    <row r="1831" spans="1:6" ht="14.25" thickTop="1" thickBot="1">
      <c r="A1831" s="267" t="str">
        <f>C1834</f>
        <v>LUIZ CARLOS DA ROSA</v>
      </c>
      <c r="B1831" s="89" t="s">
        <v>2413</v>
      </c>
      <c r="C1831" s="64" t="s">
        <v>1484</v>
      </c>
      <c r="D1831" s="65">
        <v>63648</v>
      </c>
      <c r="E1831" s="70">
        <v>43440</v>
      </c>
      <c r="F1831" s="284"/>
    </row>
    <row r="1832" spans="1:6" ht="14.25" thickTop="1" thickBot="1">
      <c r="A1832" s="267"/>
      <c r="B1832" s="68" t="s">
        <v>62</v>
      </c>
      <c r="C1832" s="66" t="s">
        <v>363</v>
      </c>
      <c r="D1832" s="178">
        <v>63861</v>
      </c>
      <c r="E1832" s="70">
        <v>42870</v>
      </c>
      <c r="F1832" s="284"/>
    </row>
    <row r="1833" spans="1:6" ht="14.25" thickTop="1" thickBot="1">
      <c r="A1833" s="267" t="s">
        <v>2511</v>
      </c>
      <c r="B1833" s="68" t="s">
        <v>62</v>
      </c>
      <c r="C1833" s="77" t="s">
        <v>2057</v>
      </c>
      <c r="D1833" s="61">
        <v>112391</v>
      </c>
      <c r="E1833" s="62">
        <v>41662</v>
      </c>
      <c r="F1833" s="285"/>
    </row>
    <row r="1834" spans="1:6" ht="14.25" thickTop="1" thickBot="1">
      <c r="A1834" s="267"/>
      <c r="B1834" s="68" t="s">
        <v>1812</v>
      </c>
      <c r="C1834" s="60" t="s">
        <v>2511</v>
      </c>
      <c r="D1834" s="61">
        <v>28882</v>
      </c>
      <c r="E1834" s="62">
        <v>43791</v>
      </c>
      <c r="F1834" s="285"/>
    </row>
    <row r="1835" spans="1:6" ht="14.25" thickTop="1" thickBot="1">
      <c r="A1835" s="269" t="s">
        <v>2859</v>
      </c>
      <c r="B1835" s="68"/>
      <c r="C1835" s="66" t="s">
        <v>1335</v>
      </c>
      <c r="D1835" s="69">
        <v>27315</v>
      </c>
      <c r="E1835" s="62">
        <v>43648</v>
      </c>
      <c r="F1835" s="285"/>
    </row>
    <row r="1836" spans="1:6" ht="14.25" thickTop="1" thickBot="1">
      <c r="A1836" s="267" t="str">
        <f>C1838</f>
        <v>LUIZ CARLOS DE PAIVA   (Kaiury)</v>
      </c>
      <c r="B1836" s="68" t="s">
        <v>2413</v>
      </c>
      <c r="C1836" s="192" t="s">
        <v>2859</v>
      </c>
      <c r="D1836" s="61">
        <v>170411</v>
      </c>
      <c r="E1836" s="70">
        <v>43818</v>
      </c>
      <c r="F1836" s="287"/>
    </row>
    <row r="1837" spans="1:6" ht="14.25" thickTop="1" thickBot="1">
      <c r="A1837" s="267"/>
      <c r="B1837" s="68" t="s">
        <v>201</v>
      </c>
      <c r="C1837" s="66" t="s">
        <v>912</v>
      </c>
      <c r="D1837" s="65">
        <v>92933</v>
      </c>
      <c r="E1837" s="62">
        <v>40487</v>
      </c>
      <c r="F1837" s="285"/>
    </row>
    <row r="1838" spans="1:6" ht="14.25" thickTop="1" thickBot="1">
      <c r="A1838" s="267" t="str">
        <f>C1840</f>
        <v>LUIZ CARLOS GAUDENCIO    (Porquinho)</v>
      </c>
      <c r="B1838" s="68" t="s">
        <v>1918</v>
      </c>
      <c r="C1838" s="77" t="s">
        <v>3067</v>
      </c>
      <c r="D1838" s="61">
        <v>27315</v>
      </c>
      <c r="E1838" s="62">
        <v>43798</v>
      </c>
      <c r="F1838" s="287"/>
    </row>
    <row r="1839" spans="1:6" ht="14.25" thickTop="1" thickBot="1">
      <c r="A1839" s="267" t="str">
        <f>C1841</f>
        <v>LUIZ CARLOS GONÇALVES DE ASSUNÇÃO JR    (Galisé)</v>
      </c>
      <c r="B1839" s="68" t="s">
        <v>62</v>
      </c>
      <c r="C1839" s="66" t="s">
        <v>3068</v>
      </c>
      <c r="D1839" s="61">
        <v>35987</v>
      </c>
      <c r="E1839" s="62">
        <v>42179</v>
      </c>
      <c r="F1839" s="285"/>
    </row>
    <row r="1840" spans="1:6" ht="14.25" thickTop="1" thickBot="1">
      <c r="A1840" s="267" t="str">
        <f>C1843</f>
        <v>LUIZ CARLOS MACHADO</v>
      </c>
      <c r="B1840" s="68" t="s">
        <v>1306</v>
      </c>
      <c r="C1840" s="66" t="s">
        <v>3069</v>
      </c>
      <c r="D1840" s="61">
        <v>27058</v>
      </c>
      <c r="E1840" s="62">
        <v>42327</v>
      </c>
      <c r="F1840" s="285"/>
    </row>
    <row r="1841" spans="1:6" ht="14.25" thickTop="1" thickBot="1">
      <c r="A1841" s="271" t="s">
        <v>1996</v>
      </c>
      <c r="B1841" s="68" t="s">
        <v>62</v>
      </c>
      <c r="C1841" s="66" t="s">
        <v>3070</v>
      </c>
      <c r="D1841" s="65">
        <v>10936</v>
      </c>
      <c r="E1841" s="62">
        <v>40814</v>
      </c>
      <c r="F1841" s="285"/>
    </row>
    <row r="1842" spans="1:6" ht="14.25" thickTop="1" thickBot="1">
      <c r="A1842" s="276"/>
      <c r="B1842" s="68" t="s">
        <v>2413</v>
      </c>
      <c r="C1842" s="66" t="s">
        <v>3071</v>
      </c>
      <c r="D1842" s="65">
        <v>27027</v>
      </c>
      <c r="E1842" s="62">
        <v>43647</v>
      </c>
      <c r="F1842" s="285"/>
    </row>
    <row r="1843" spans="1:6" ht="14.25" thickTop="1" thickBot="1">
      <c r="A1843" s="267" t="str">
        <f>C1847</f>
        <v>LUIZ CARLOS RIBEIRO</v>
      </c>
      <c r="B1843" s="68" t="s">
        <v>62</v>
      </c>
      <c r="C1843" s="60" t="s">
        <v>1996</v>
      </c>
      <c r="D1843" s="61">
        <v>109677</v>
      </c>
      <c r="E1843" s="62">
        <v>40325</v>
      </c>
      <c r="F1843" s="285"/>
    </row>
    <row r="1844" spans="1:6" ht="14.25" thickTop="1" thickBot="1">
      <c r="A1844" s="267" t="str">
        <f>C1848</f>
        <v>LUIZ CARLOS RIBEIRO DA CRUZ JUNIOR      (Chicão)</v>
      </c>
      <c r="B1844" s="68" t="s">
        <v>62</v>
      </c>
      <c r="C1844" s="66" t="s">
        <v>37</v>
      </c>
      <c r="D1844" s="65">
        <v>39082</v>
      </c>
      <c r="E1844" s="62">
        <v>40625</v>
      </c>
      <c r="F1844" s="285"/>
    </row>
    <row r="1845" spans="1:6" ht="14.25" thickTop="1" thickBot="1">
      <c r="A1845" s="267" t="str">
        <f t="shared" ref="A1845:A1855" si="78">C1847</f>
        <v>LUIZ CARLOS RIBEIRO</v>
      </c>
      <c r="B1845" s="68" t="s">
        <v>62</v>
      </c>
      <c r="C1845" s="66" t="s">
        <v>1181</v>
      </c>
      <c r="D1845" s="65">
        <v>27017</v>
      </c>
      <c r="E1845" s="62">
        <v>42825</v>
      </c>
      <c r="F1845" s="285"/>
    </row>
    <row r="1846" spans="1:6" ht="14.25" thickTop="1" thickBot="1">
      <c r="A1846" s="267" t="str">
        <f t="shared" si="78"/>
        <v>LUIZ CARLOS RIBEIRO DA CRUZ JUNIOR      (Chicão)</v>
      </c>
      <c r="B1846" s="68" t="s">
        <v>546</v>
      </c>
      <c r="C1846" s="64" t="s">
        <v>3072</v>
      </c>
      <c r="D1846" s="67"/>
      <c r="E1846" s="62">
        <v>42674</v>
      </c>
      <c r="F1846" s="285"/>
    </row>
    <row r="1847" spans="1:6" ht="14.25" thickTop="1" thickBot="1">
      <c r="A1847" s="267" t="str">
        <f t="shared" si="78"/>
        <v>LUIZ CARLOS ROSA</v>
      </c>
      <c r="B1847" s="61" t="s">
        <v>351</v>
      </c>
      <c r="C1847" s="64" t="s">
        <v>1481</v>
      </c>
      <c r="D1847" s="65">
        <v>63699</v>
      </c>
      <c r="E1847" s="62">
        <v>43383</v>
      </c>
      <c r="F1847" s="284"/>
    </row>
    <row r="1848" spans="1:6" ht="14.25" thickTop="1" thickBot="1">
      <c r="A1848" s="267" t="str">
        <f t="shared" si="78"/>
        <v>LUIZ CARLOS SOUZA</v>
      </c>
      <c r="B1848" s="68" t="s">
        <v>62</v>
      </c>
      <c r="C1848" s="66" t="s">
        <v>3073</v>
      </c>
      <c r="D1848" s="65">
        <v>63805</v>
      </c>
      <c r="E1848" s="62">
        <v>42591</v>
      </c>
      <c r="F1848" s="285"/>
    </row>
    <row r="1849" spans="1:6" ht="14.25" thickTop="1" thickBot="1">
      <c r="A1849" s="267" t="str">
        <f t="shared" si="78"/>
        <v>LUIZ CESAR VIRMOND    (Careca/Chacal/Papa-légua)</v>
      </c>
      <c r="B1849" s="68" t="s">
        <v>25</v>
      </c>
      <c r="C1849" s="77" t="s">
        <v>2294</v>
      </c>
      <c r="D1849" s="61">
        <v>28882</v>
      </c>
      <c r="E1849" s="62">
        <v>42704</v>
      </c>
      <c r="F1849" s="285"/>
    </row>
    <row r="1850" spans="1:6" ht="14.25" thickTop="1" thickBot="1">
      <c r="A1850" s="267" t="str">
        <f t="shared" si="78"/>
        <v>LUIZ DIVINO DA CRUZ                                  (Corumbá)</v>
      </c>
      <c r="B1850" s="68" t="s">
        <v>546</v>
      </c>
      <c r="C1850" s="66" t="s">
        <v>854</v>
      </c>
      <c r="D1850" s="65">
        <v>90383</v>
      </c>
      <c r="E1850" s="62">
        <v>42885</v>
      </c>
      <c r="F1850" s="285"/>
    </row>
    <row r="1851" spans="1:6" ht="14.25" thickTop="1" thickBot="1">
      <c r="A1851" s="267" t="str">
        <f t="shared" si="78"/>
        <v>LUIZ EDUARDO DITZEL GORCHACOSKI</v>
      </c>
      <c r="B1851" s="68" t="s">
        <v>62</v>
      </c>
      <c r="C1851" s="64" t="s">
        <v>3074</v>
      </c>
      <c r="D1851" s="65">
        <v>63888</v>
      </c>
      <c r="E1851" s="62">
        <v>42207</v>
      </c>
      <c r="F1851" s="285"/>
    </row>
    <row r="1852" spans="1:6" ht="14.25" thickTop="1" thickBot="1">
      <c r="A1852" s="267" t="str">
        <f t="shared" si="78"/>
        <v>LUIZ EDUARDO SCHENEIDER EUZEBIO    (Dudu)</v>
      </c>
      <c r="B1852" s="68" t="s">
        <v>2347</v>
      </c>
      <c r="C1852" s="66" t="s">
        <v>3334</v>
      </c>
      <c r="D1852" s="61">
        <v>101344</v>
      </c>
      <c r="E1852" s="62">
        <v>43346</v>
      </c>
      <c r="F1852" s="285"/>
    </row>
    <row r="1853" spans="1:6" ht="14.25" thickTop="1" thickBot="1">
      <c r="A1853" s="267" t="str">
        <f t="shared" si="78"/>
        <v>LUIZ ELEANDRO CORREA                        (Capitão)</v>
      </c>
      <c r="B1853" s="68" t="s">
        <v>62</v>
      </c>
      <c r="C1853" s="66" t="s">
        <v>1853</v>
      </c>
      <c r="D1853" s="65">
        <v>63306</v>
      </c>
      <c r="E1853" s="62">
        <v>42704</v>
      </c>
      <c r="F1853" s="285"/>
    </row>
    <row r="1854" spans="1:6" ht="14.25" thickTop="1" thickBot="1">
      <c r="A1854" s="267" t="str">
        <f t="shared" si="78"/>
        <v>LUIZ EMERSON DA LUZ</v>
      </c>
      <c r="B1854" s="68" t="s">
        <v>62</v>
      </c>
      <c r="C1854" s="77" t="s">
        <v>3075</v>
      </c>
      <c r="D1854" s="61">
        <v>127476</v>
      </c>
      <c r="E1854" s="62">
        <v>41586</v>
      </c>
      <c r="F1854" s="285"/>
    </row>
    <row r="1855" spans="1:6" ht="14.25" thickTop="1" thickBot="1">
      <c r="A1855" s="267" t="str">
        <f t="shared" si="78"/>
        <v>LUIZ FELIPE ALVES DE LIMA</v>
      </c>
      <c r="B1855" s="68" t="s">
        <v>62</v>
      </c>
      <c r="C1855" s="66" t="s">
        <v>3333</v>
      </c>
      <c r="D1855" s="69">
        <v>63004</v>
      </c>
      <c r="E1855" s="62">
        <v>41582</v>
      </c>
      <c r="F1855" s="285"/>
    </row>
    <row r="1856" spans="1:6" ht="14.25" thickTop="1" thickBot="1">
      <c r="A1856" s="267"/>
      <c r="B1856" s="68" t="s">
        <v>1306</v>
      </c>
      <c r="C1856" s="66" t="s">
        <v>1449</v>
      </c>
      <c r="D1856" s="67"/>
      <c r="E1856" s="62">
        <v>39855</v>
      </c>
      <c r="F1856" s="285"/>
    </row>
    <row r="1857" spans="1:6" ht="14.25" thickTop="1" thickBot="1">
      <c r="A1857" s="267"/>
      <c r="B1857" s="68" t="s">
        <v>1522</v>
      </c>
      <c r="C1857" s="60" t="s">
        <v>2783</v>
      </c>
      <c r="D1857" s="61">
        <v>171255</v>
      </c>
      <c r="E1857" s="62">
        <v>43868</v>
      </c>
      <c r="F1857" s="285"/>
    </row>
    <row r="1858" spans="1:6" ht="14.25" thickTop="1" thickBot="1">
      <c r="A1858" s="267"/>
      <c r="B1858" s="68" t="s">
        <v>1812</v>
      </c>
      <c r="C1858" s="377" t="s">
        <v>3485</v>
      </c>
      <c r="D1858" s="378">
        <v>167083</v>
      </c>
      <c r="E1858" s="62">
        <v>44092</v>
      </c>
      <c r="F1858" s="285"/>
    </row>
    <row r="1859" spans="1:6" ht="14.25" thickTop="1" thickBot="1">
      <c r="A1859" s="267" t="str">
        <f>C1861</f>
        <v>LUIZ FERNANDO DE MELO          (Ratinho / Pequeno / Diorrá)</v>
      </c>
      <c r="B1859" s="68" t="s">
        <v>15</v>
      </c>
      <c r="C1859" s="64" t="s">
        <v>688</v>
      </c>
      <c r="D1859" s="65">
        <v>2386</v>
      </c>
      <c r="E1859" s="62">
        <v>40581</v>
      </c>
      <c r="F1859" s="285"/>
    </row>
    <row r="1860" spans="1:6" ht="14.25" thickTop="1" thickBot="1">
      <c r="A1860" s="267" t="str">
        <f>C1862</f>
        <v>LUIZ FERNANDO FLECKHAUS</v>
      </c>
      <c r="B1860" s="68" t="s">
        <v>62</v>
      </c>
      <c r="C1860" s="66" t="s">
        <v>3076</v>
      </c>
      <c r="D1860" s="65">
        <v>27146</v>
      </c>
      <c r="E1860" s="62">
        <v>41773</v>
      </c>
      <c r="F1860" s="285"/>
    </row>
    <row r="1861" spans="1:6" ht="14.25" thickTop="1" thickBot="1">
      <c r="A1861" s="267" t="str">
        <f>C1863</f>
        <v>LUIZ FERNANDO SILVA</v>
      </c>
      <c r="B1861" s="68" t="s">
        <v>62</v>
      </c>
      <c r="C1861" s="66" t="s">
        <v>3332</v>
      </c>
      <c r="D1861" s="65">
        <v>63956</v>
      </c>
      <c r="E1861" s="62">
        <v>42272</v>
      </c>
      <c r="F1861" s="285"/>
    </row>
    <row r="1862" spans="1:6" ht="14.25" thickTop="1" thickBot="1">
      <c r="A1862" s="267"/>
      <c r="B1862" s="68" t="s">
        <v>2347</v>
      </c>
      <c r="C1862" s="66" t="s">
        <v>110</v>
      </c>
      <c r="D1862" s="67"/>
      <c r="E1862" s="62">
        <v>43346</v>
      </c>
      <c r="F1862" s="285"/>
    </row>
    <row r="1863" spans="1:6" ht="14.25" thickTop="1" thickBot="1">
      <c r="A1863" s="267"/>
      <c r="B1863" s="68" t="s">
        <v>2347</v>
      </c>
      <c r="C1863" s="66" t="s">
        <v>612</v>
      </c>
      <c r="D1863" s="65">
        <v>63986</v>
      </c>
      <c r="E1863" s="62">
        <v>43346</v>
      </c>
      <c r="F1863" s="285"/>
    </row>
    <row r="1864" spans="1:6" ht="14.25" thickTop="1" thickBot="1">
      <c r="A1864" s="267"/>
      <c r="B1864" s="68" t="s">
        <v>62</v>
      </c>
      <c r="C1864" s="66" t="s">
        <v>2231</v>
      </c>
      <c r="D1864" s="198">
        <v>107531</v>
      </c>
      <c r="E1864" s="62">
        <v>41379</v>
      </c>
      <c r="F1864" s="285"/>
    </row>
    <row r="1865" spans="1:6" ht="14.25" thickTop="1" thickBot="1">
      <c r="A1865" s="267" t="str">
        <f>C1867</f>
        <v>LUIZ HENRIQUE COUTRIN                  (Bad Boy)</v>
      </c>
      <c r="B1865" s="68" t="s">
        <v>62</v>
      </c>
      <c r="C1865" s="66" t="s">
        <v>2242</v>
      </c>
      <c r="D1865" s="61">
        <v>133202</v>
      </c>
      <c r="E1865" s="62">
        <v>42921</v>
      </c>
      <c r="F1865" s="285"/>
    </row>
    <row r="1866" spans="1:6" ht="14.25" thickTop="1" thickBot="1">
      <c r="A1866" s="270"/>
      <c r="B1866" s="68" t="s">
        <v>62</v>
      </c>
      <c r="C1866" s="66" t="s">
        <v>817</v>
      </c>
      <c r="D1866" s="61">
        <v>50949</v>
      </c>
      <c r="E1866" s="62">
        <v>41221</v>
      </c>
      <c r="F1866" s="285"/>
    </row>
    <row r="1867" spans="1:6" ht="14.25" thickTop="1" thickBot="1">
      <c r="A1867" s="267" t="str">
        <f>C1869</f>
        <v>LUIZ HENRIQUE MASSANI YAMAKI</v>
      </c>
      <c r="B1867" s="68" t="s">
        <v>62</v>
      </c>
      <c r="C1867" s="66" t="s">
        <v>3331</v>
      </c>
      <c r="D1867" s="61">
        <v>117079</v>
      </c>
      <c r="E1867" s="62">
        <v>42538</v>
      </c>
      <c r="F1867" s="285"/>
    </row>
    <row r="1868" spans="1:6" ht="14.25" thickTop="1" thickBot="1">
      <c r="A1868" s="267" t="str">
        <f>C1870</f>
        <v>LUIZ HENRIQUE SANTOS G. VALENTIM    (Testa)</v>
      </c>
      <c r="B1868" s="68" t="s">
        <v>351</v>
      </c>
      <c r="C1868" s="114" t="s">
        <v>1634</v>
      </c>
      <c r="D1868" s="65">
        <v>27016</v>
      </c>
      <c r="E1868" s="62">
        <v>42240</v>
      </c>
      <c r="F1868" s="285"/>
    </row>
    <row r="1869" spans="1:6" ht="14.25" thickTop="1" thickBot="1">
      <c r="A1869" s="267" t="str">
        <f>C1872</f>
        <v>LUIZ MARCELO FELIX                          (Sassá)</v>
      </c>
      <c r="B1869" s="68" t="s">
        <v>62</v>
      </c>
      <c r="C1869" s="66" t="s">
        <v>1546</v>
      </c>
      <c r="D1869" s="61">
        <v>101632</v>
      </c>
      <c r="E1869" s="70">
        <v>42338</v>
      </c>
      <c r="F1869" s="284"/>
    </row>
    <row r="1870" spans="1:6" ht="14.25" thickTop="1" thickBot="1">
      <c r="A1870" s="267" t="str">
        <f>C1873</f>
        <v>LUIZ MARIO CARVALHO GARCEZ</v>
      </c>
      <c r="B1870" s="68" t="s">
        <v>546</v>
      </c>
      <c r="C1870" s="66" t="s">
        <v>3077</v>
      </c>
      <c r="D1870" s="67"/>
      <c r="E1870" s="62">
        <v>42766</v>
      </c>
      <c r="F1870" s="285"/>
    </row>
    <row r="1871" spans="1:6" ht="14.25" thickTop="1" thickBot="1">
      <c r="A1871" s="267" t="str">
        <f>C1873</f>
        <v>LUIZ MARIO CARVALHO GARCEZ</v>
      </c>
      <c r="B1871" s="68" t="s">
        <v>62</v>
      </c>
      <c r="C1871" s="64" t="s">
        <v>364</v>
      </c>
      <c r="D1871" s="67"/>
      <c r="E1871" s="62">
        <v>40956</v>
      </c>
      <c r="F1871" s="285"/>
    </row>
    <row r="1872" spans="1:6" ht="14.25" thickTop="1" thickBot="1">
      <c r="A1872" s="267" t="str">
        <f>C1874</f>
        <v>LUIZ MARIO CARVALHO GARCEZ</v>
      </c>
      <c r="B1872" s="68" t="s">
        <v>25</v>
      </c>
      <c r="C1872" s="66" t="s">
        <v>3330</v>
      </c>
      <c r="D1872" s="61">
        <v>101750</v>
      </c>
      <c r="E1872" s="62">
        <v>42880</v>
      </c>
      <c r="F1872" s="285"/>
    </row>
    <row r="1873" spans="1:6" ht="14.25" thickTop="1" thickBot="1">
      <c r="A1873" s="267"/>
      <c r="B1873" s="68" t="s">
        <v>1812</v>
      </c>
      <c r="C1873" s="66" t="s">
        <v>1020</v>
      </c>
      <c r="D1873" s="65">
        <v>27049</v>
      </c>
      <c r="E1873" s="70">
        <v>42936</v>
      </c>
      <c r="F1873" s="284"/>
    </row>
    <row r="1874" spans="1:6" ht="14.25" thickTop="1" thickBot="1">
      <c r="A1874" s="267" t="str">
        <f>C1876</f>
        <v>LUIZ PEDRO LEVANDOSKI</v>
      </c>
      <c r="B1874" s="68" t="s">
        <v>1522</v>
      </c>
      <c r="C1874" s="60" t="s">
        <v>1020</v>
      </c>
      <c r="D1874" s="61">
        <v>101750</v>
      </c>
      <c r="E1874" s="70">
        <v>43808</v>
      </c>
      <c r="F1874" s="287"/>
    </row>
    <row r="1875" spans="1:6" ht="14.25" thickTop="1" thickBot="1">
      <c r="A1875" s="267" t="s">
        <v>2796</v>
      </c>
      <c r="B1875" s="68" t="s">
        <v>351</v>
      </c>
      <c r="C1875" s="64" t="s">
        <v>3329</v>
      </c>
      <c r="D1875" s="65"/>
      <c r="E1875" s="62">
        <v>40050</v>
      </c>
      <c r="F1875" s="285"/>
    </row>
    <row r="1876" spans="1:6" ht="14.25" thickTop="1" thickBot="1">
      <c r="A1876" s="267" t="str">
        <f t="shared" ref="A1876:A1887" si="79">C1878</f>
        <v>LUIZ RICARDO DOS SANTOS    (Zoio)</v>
      </c>
      <c r="B1876" s="68" t="s">
        <v>1812</v>
      </c>
      <c r="C1876" s="64" t="s">
        <v>2796</v>
      </c>
      <c r="D1876" s="65">
        <v>127764</v>
      </c>
      <c r="E1876" s="70">
        <v>43817</v>
      </c>
      <c r="F1876" s="287"/>
    </row>
    <row r="1877" spans="1:6" ht="14.25" thickTop="1" thickBot="1">
      <c r="A1877" s="267" t="str">
        <f t="shared" si="79"/>
        <v>LUIZ ROBERTO PEREIRA</v>
      </c>
      <c r="B1877" s="68" t="s">
        <v>62</v>
      </c>
      <c r="C1877" s="64" t="s">
        <v>1933</v>
      </c>
      <c r="D1877" s="61">
        <v>101699</v>
      </c>
      <c r="E1877" s="62">
        <v>43306</v>
      </c>
      <c r="F1877" s="285"/>
    </row>
    <row r="1878" spans="1:6" ht="14.25" thickTop="1" thickBot="1">
      <c r="A1878" s="267" t="str">
        <f t="shared" si="79"/>
        <v>LUIZ ROBERTO SCHERPINSKI</v>
      </c>
      <c r="B1878" s="68" t="s">
        <v>62</v>
      </c>
      <c r="C1878" s="66" t="s">
        <v>3078</v>
      </c>
      <c r="D1878" s="61">
        <v>68156</v>
      </c>
      <c r="E1878" s="62">
        <v>41884</v>
      </c>
      <c r="F1878" s="285"/>
    </row>
    <row r="1879" spans="1:6" ht="14.25" thickTop="1" thickBot="1">
      <c r="A1879" s="267" t="str">
        <f t="shared" si="79"/>
        <v>LUTIER VIANA</v>
      </c>
      <c r="B1879" s="62" t="s">
        <v>1866</v>
      </c>
      <c r="C1879" s="66" t="s">
        <v>1949</v>
      </c>
      <c r="D1879" s="61">
        <v>108929</v>
      </c>
      <c r="E1879" s="62">
        <v>43075</v>
      </c>
      <c r="F1879" s="293"/>
    </row>
    <row r="1880" spans="1:6" ht="14.25" thickTop="1" thickBot="1">
      <c r="A1880" s="267" t="str">
        <f t="shared" si="79"/>
        <v>LUTIER VIANA</v>
      </c>
      <c r="B1880" s="68" t="s">
        <v>62</v>
      </c>
      <c r="C1880" s="66" t="s">
        <v>1885</v>
      </c>
      <c r="D1880" s="65">
        <v>63630</v>
      </c>
      <c r="E1880" s="62">
        <v>40749</v>
      </c>
      <c r="F1880" s="285"/>
    </row>
    <row r="1881" spans="1:6" ht="14.25" thickTop="1" thickBot="1">
      <c r="A1881" s="267" t="str">
        <f t="shared" si="79"/>
        <v>MACIEL ASSIS DZULINSKI</v>
      </c>
      <c r="B1881" s="61" t="s">
        <v>2413</v>
      </c>
      <c r="C1881" s="156" t="s">
        <v>365</v>
      </c>
      <c r="D1881" s="61">
        <v>63630</v>
      </c>
      <c r="E1881" s="62">
        <v>43538</v>
      </c>
      <c r="F1881" s="284"/>
    </row>
    <row r="1882" spans="1:6" ht="14.25" thickTop="1" thickBot="1">
      <c r="A1882" s="267" t="str">
        <f t="shared" si="79"/>
        <v>MACIO LOPES FERREIRA</v>
      </c>
      <c r="B1882" s="68" t="s">
        <v>1812</v>
      </c>
      <c r="C1882" s="66" t="s">
        <v>365</v>
      </c>
      <c r="D1882" s="65"/>
      <c r="E1882" s="62">
        <v>41625</v>
      </c>
      <c r="F1882" s="285"/>
    </row>
    <row r="1883" spans="1:6" ht="14.25" thickTop="1" thickBot="1">
      <c r="A1883" s="267" t="str">
        <f t="shared" si="79"/>
        <v>MAGNO FREDERICO GRZESZCZAK</v>
      </c>
      <c r="B1883" s="68" t="s">
        <v>62</v>
      </c>
      <c r="C1883" s="77" t="s">
        <v>1976</v>
      </c>
      <c r="D1883" s="61">
        <v>24066</v>
      </c>
      <c r="E1883" s="62">
        <v>40291</v>
      </c>
      <c r="F1883" s="285"/>
    </row>
    <row r="1884" spans="1:6" ht="14.25" thickTop="1" thickBot="1">
      <c r="A1884" s="267" t="str">
        <f t="shared" si="79"/>
        <v>MAGNO RICARDO DE MORAIS SANTANA</v>
      </c>
      <c r="B1884" s="68" t="s">
        <v>62</v>
      </c>
      <c r="C1884" s="64" t="s">
        <v>1930</v>
      </c>
      <c r="D1884" s="65">
        <v>63258</v>
      </c>
      <c r="E1884" s="62">
        <v>43077</v>
      </c>
      <c r="F1884" s="285"/>
    </row>
    <row r="1885" spans="1:6" ht="14.25" thickTop="1" thickBot="1">
      <c r="A1885" s="267" t="str">
        <f t="shared" si="79"/>
        <v>MAICON ALVES FRAGOSO                             (Japer)</v>
      </c>
      <c r="B1885" s="61" t="s">
        <v>351</v>
      </c>
      <c r="C1885" s="66" t="s">
        <v>407</v>
      </c>
      <c r="D1885" s="61">
        <v>101807</v>
      </c>
      <c r="E1885" s="62">
        <v>43587</v>
      </c>
      <c r="F1885" s="285"/>
    </row>
    <row r="1886" spans="1:6" ht="14.25" thickTop="1" thickBot="1">
      <c r="A1886" s="267" t="str">
        <f t="shared" si="79"/>
        <v>MAICON BATISTA</v>
      </c>
      <c r="B1886" s="68" t="s">
        <v>1306</v>
      </c>
      <c r="C1886" s="66" t="s">
        <v>2197</v>
      </c>
      <c r="D1886" s="61">
        <v>101614</v>
      </c>
      <c r="E1886" s="62">
        <v>39309</v>
      </c>
      <c r="F1886" s="285"/>
    </row>
    <row r="1887" spans="1:6" ht="14.25" thickTop="1" thickBot="1">
      <c r="A1887" s="267" t="str">
        <f t="shared" si="79"/>
        <v>MAICON CRISTIAN DE ALMEIDA</v>
      </c>
      <c r="B1887" s="61" t="s">
        <v>351</v>
      </c>
      <c r="C1887" s="60" t="s">
        <v>3328</v>
      </c>
      <c r="D1887" s="61">
        <v>83079</v>
      </c>
      <c r="E1887" s="62">
        <v>43383</v>
      </c>
      <c r="F1887" s="284"/>
    </row>
    <row r="1888" spans="1:6" ht="14.25" thickTop="1" thickBot="1">
      <c r="A1888" s="267"/>
      <c r="B1888" s="68" t="s">
        <v>1306</v>
      </c>
      <c r="C1888" s="66" t="s">
        <v>456</v>
      </c>
      <c r="D1888" s="65">
        <v>63891</v>
      </c>
      <c r="E1888" s="62">
        <v>42921</v>
      </c>
      <c r="F1888" s="285"/>
    </row>
    <row r="1889" spans="1:6" ht="14.25" thickTop="1" thickBot="1">
      <c r="A1889" s="267"/>
      <c r="B1889" s="68" t="s">
        <v>2413</v>
      </c>
      <c r="C1889" s="60" t="s">
        <v>1827</v>
      </c>
      <c r="D1889" s="61">
        <v>126787</v>
      </c>
      <c r="E1889" s="70">
        <v>43847</v>
      </c>
      <c r="F1889" s="284"/>
    </row>
    <row r="1890" spans="1:6" ht="14.25" thickTop="1" thickBot="1">
      <c r="A1890" s="267"/>
      <c r="B1890" s="68" t="s">
        <v>62</v>
      </c>
      <c r="C1890" s="192" t="s">
        <v>3079</v>
      </c>
      <c r="D1890" s="61">
        <v>14610</v>
      </c>
      <c r="E1890" s="62">
        <v>41326</v>
      </c>
      <c r="F1890" s="285"/>
    </row>
    <row r="1891" spans="1:6" ht="14.25" thickTop="1" thickBot="1">
      <c r="A1891" s="267" t="s">
        <v>2491</v>
      </c>
      <c r="B1891" s="68" t="s">
        <v>2413</v>
      </c>
      <c r="C1891" s="64" t="s">
        <v>3327</v>
      </c>
      <c r="D1891" s="65">
        <v>113221</v>
      </c>
      <c r="E1891" s="70">
        <v>43693</v>
      </c>
      <c r="F1891" s="287"/>
    </row>
    <row r="1892" spans="1:6" ht="14.25" thickTop="1" thickBot="1">
      <c r="A1892" s="267" t="str">
        <f>C1894</f>
        <v>MAICON MOREIRA DOS SANTOS</v>
      </c>
      <c r="B1892" s="68" t="s">
        <v>1522</v>
      </c>
      <c r="C1892" s="60" t="s">
        <v>2491</v>
      </c>
      <c r="D1892" s="61">
        <v>161896</v>
      </c>
      <c r="E1892" s="70">
        <v>43713</v>
      </c>
      <c r="F1892" s="287"/>
    </row>
    <row r="1893" spans="1:6" ht="14.25" thickTop="1" thickBot="1">
      <c r="A1893" s="267" t="str">
        <f>C1895</f>
        <v>MAICON PONTES                                   (Barata)</v>
      </c>
      <c r="B1893" s="68" t="s">
        <v>62</v>
      </c>
      <c r="C1893" s="66" t="s">
        <v>189</v>
      </c>
      <c r="D1893" s="61">
        <v>104840</v>
      </c>
      <c r="E1893" s="62">
        <v>39469</v>
      </c>
      <c r="F1893" s="285"/>
    </row>
    <row r="1894" spans="1:6" ht="14.25" thickTop="1" thickBot="1">
      <c r="A1894" s="267" t="str">
        <f>C1896</f>
        <v>MAICON RIBEIRO                       (Gleisi)</v>
      </c>
      <c r="B1894" s="68" t="s">
        <v>62</v>
      </c>
      <c r="C1894" s="66" t="s">
        <v>1688</v>
      </c>
      <c r="D1894" s="65">
        <v>27012</v>
      </c>
      <c r="E1894" s="62">
        <v>40716</v>
      </c>
      <c r="F1894" s="285"/>
    </row>
    <row r="1895" spans="1:6" ht="14.25" thickTop="1" thickBot="1">
      <c r="A1895" s="267" t="str">
        <f>C1897</f>
        <v xml:space="preserve">MAIKO JECKSON DE SOUZA </v>
      </c>
      <c r="B1895" s="68" t="s">
        <v>62</v>
      </c>
      <c r="C1895" s="66" t="s">
        <v>3326</v>
      </c>
      <c r="D1895" s="61">
        <v>102095</v>
      </c>
      <c r="E1895" s="62">
        <v>41757</v>
      </c>
      <c r="F1895" s="285"/>
    </row>
    <row r="1896" spans="1:6" ht="14.25" thickTop="1" thickBot="1">
      <c r="A1896" s="267"/>
      <c r="B1896" s="68" t="s">
        <v>62</v>
      </c>
      <c r="C1896" s="173" t="s">
        <v>3325</v>
      </c>
      <c r="D1896" s="65">
        <v>63547</v>
      </c>
      <c r="E1896" s="62">
        <v>43243</v>
      </c>
      <c r="F1896" s="285"/>
    </row>
    <row r="1897" spans="1:6" ht="14.25" thickTop="1" thickBot="1">
      <c r="A1897" s="267" t="str">
        <f>C1899</f>
        <v>MAIKON RODRIGUES DE CARVALHO</v>
      </c>
      <c r="B1897" s="68" t="s">
        <v>62</v>
      </c>
      <c r="C1897" s="64" t="s">
        <v>782</v>
      </c>
      <c r="D1897" s="65">
        <v>11188</v>
      </c>
      <c r="E1897" s="62">
        <v>42272</v>
      </c>
      <c r="F1897" s="285"/>
    </row>
    <row r="1898" spans="1:6" ht="14.25" thickTop="1" thickBot="1">
      <c r="A1898" s="267" t="str">
        <f>C1900</f>
        <v>MAILON FAGUNDES VICENTE</v>
      </c>
      <c r="B1898" s="67" t="s">
        <v>1522</v>
      </c>
      <c r="C1898" s="66" t="s">
        <v>2120</v>
      </c>
      <c r="D1898" s="61">
        <v>119808</v>
      </c>
      <c r="E1898" s="115">
        <v>40745</v>
      </c>
      <c r="F1898" s="288"/>
    </row>
    <row r="1899" spans="1:6" ht="14.25" thickTop="1" thickBot="1">
      <c r="A1899" s="267" t="str">
        <f>C1901</f>
        <v>MALCON ALLAN BIALUZ</v>
      </c>
      <c r="B1899" s="68" t="s">
        <v>62</v>
      </c>
      <c r="C1899" s="66" t="s">
        <v>811</v>
      </c>
      <c r="D1899" s="65">
        <v>14017</v>
      </c>
      <c r="E1899" s="62">
        <v>41570</v>
      </c>
      <c r="F1899" s="285"/>
    </row>
    <row r="1900" spans="1:6" ht="14.25" thickTop="1" thickBot="1">
      <c r="A1900" s="267"/>
      <c r="B1900" s="68" t="s">
        <v>1812</v>
      </c>
      <c r="C1900" s="60" t="s">
        <v>2468</v>
      </c>
      <c r="D1900" s="203">
        <v>161737</v>
      </c>
      <c r="E1900" s="62">
        <v>43908</v>
      </c>
      <c r="F1900" s="285"/>
    </row>
    <row r="1901" spans="1:6" ht="14.25" thickTop="1" thickBot="1">
      <c r="A1901" s="267"/>
      <c r="B1901" s="68" t="s">
        <v>62</v>
      </c>
      <c r="C1901" s="66" t="s">
        <v>1407</v>
      </c>
      <c r="D1901" s="61">
        <v>101086</v>
      </c>
      <c r="E1901" s="62">
        <v>41162</v>
      </c>
      <c r="F1901" s="285"/>
    </row>
    <row r="1902" spans="1:6" ht="14.25" thickTop="1" thickBot="1">
      <c r="A1902" s="267" t="str">
        <f>C1905</f>
        <v>MANOEL LAURINDO NETO</v>
      </c>
      <c r="B1902" s="68" t="s">
        <v>1812</v>
      </c>
      <c r="C1902" s="60" t="s">
        <v>2482</v>
      </c>
      <c r="D1902" s="61">
        <v>161889</v>
      </c>
      <c r="E1902" s="62">
        <v>43710</v>
      </c>
      <c r="F1902" s="285"/>
    </row>
    <row r="1903" spans="1:6" ht="14.25" thickTop="1" thickBot="1">
      <c r="A1903" s="267" t="str">
        <f>C1907</f>
        <v>MANUEL DIRCEU RODRIGUES</v>
      </c>
      <c r="B1903" s="68" t="s">
        <v>62</v>
      </c>
      <c r="C1903" s="66" t="s">
        <v>3080</v>
      </c>
      <c r="D1903" s="67"/>
      <c r="E1903" s="62">
        <v>40500</v>
      </c>
      <c r="F1903" s="285"/>
    </row>
    <row r="1904" spans="1:6" ht="14.25" thickTop="1" thickBot="1">
      <c r="A1904" s="267"/>
      <c r="B1904" s="68" t="s">
        <v>1306</v>
      </c>
      <c r="C1904" s="64" t="s">
        <v>3081</v>
      </c>
      <c r="D1904" s="67"/>
      <c r="E1904" s="62">
        <v>39966</v>
      </c>
      <c r="F1904" s="285"/>
    </row>
    <row r="1905" spans="1:256" ht="14.25" thickTop="1" thickBot="1">
      <c r="A1905" s="267" t="str">
        <f>C1907</f>
        <v>MANUEL DIRCEU RODRIGUES</v>
      </c>
      <c r="B1905" s="68"/>
      <c r="C1905" s="66" t="s">
        <v>686</v>
      </c>
      <c r="D1905" s="61">
        <v>27071</v>
      </c>
      <c r="E1905" s="62">
        <v>43648</v>
      </c>
      <c r="F1905" s="285"/>
    </row>
    <row r="1906" spans="1:256" ht="14.25" thickTop="1" thickBot="1">
      <c r="A1906" s="267" t="str">
        <f>C1908</f>
        <v>MARCELO ACRENDE</v>
      </c>
      <c r="B1906" s="68" t="s">
        <v>1812</v>
      </c>
      <c r="C1906" s="66" t="s">
        <v>1332</v>
      </c>
      <c r="D1906" s="65">
        <v>63746</v>
      </c>
      <c r="E1906" s="70">
        <v>42283</v>
      </c>
      <c r="F1906" s="284"/>
    </row>
    <row r="1907" spans="1:256" ht="14.25" thickTop="1" thickBot="1">
      <c r="A1907" s="267"/>
      <c r="B1907" s="68" t="s">
        <v>62</v>
      </c>
      <c r="C1907" s="66" t="s">
        <v>2776</v>
      </c>
      <c r="D1907" s="61"/>
      <c r="E1907" s="62">
        <v>40725</v>
      </c>
      <c r="F1907" s="285"/>
    </row>
    <row r="1908" spans="1:256" ht="14.25" thickTop="1" thickBot="1">
      <c r="A1908" s="267" t="str">
        <f>C1910</f>
        <v>MARCELO APARECIDO DE CARVALHO</v>
      </c>
      <c r="B1908" s="68" t="s">
        <v>62</v>
      </c>
      <c r="C1908" s="64" t="s">
        <v>675</v>
      </c>
      <c r="D1908" s="65"/>
      <c r="E1908" s="62">
        <v>39966</v>
      </c>
      <c r="F1908" s="285"/>
    </row>
    <row r="1909" spans="1:256" ht="14.25" thickTop="1" thickBot="1">
      <c r="A1909" s="267"/>
      <c r="B1909" s="68" t="s">
        <v>1812</v>
      </c>
      <c r="C1909" s="64" t="s">
        <v>1819</v>
      </c>
      <c r="D1909" s="61">
        <v>101357</v>
      </c>
      <c r="E1909" s="70">
        <v>42206</v>
      </c>
      <c r="F1909" s="284"/>
    </row>
    <row r="1910" spans="1:256" ht="14.25" thickTop="1" thickBot="1">
      <c r="A1910" s="267" t="str">
        <f>C1912</f>
        <v>MARCELO BATISTA</v>
      </c>
      <c r="B1910" s="68" t="s">
        <v>2406</v>
      </c>
      <c r="C1910" s="192" t="s">
        <v>1593</v>
      </c>
      <c r="D1910" s="61">
        <v>101357</v>
      </c>
      <c r="E1910" s="97">
        <v>43682</v>
      </c>
      <c r="F1910" s="287"/>
    </row>
    <row r="1911" spans="1:256" ht="14.25" thickTop="1" thickBot="1">
      <c r="A1911" s="267" t="str">
        <f>C1913</f>
        <v>MARCELO CAMARGO OLINK</v>
      </c>
      <c r="B1911" s="68" t="s">
        <v>62</v>
      </c>
      <c r="C1911" s="66" t="s">
        <v>1593</v>
      </c>
      <c r="D1911" s="65"/>
      <c r="E1911" s="62">
        <v>41829</v>
      </c>
      <c r="F1911" s="285"/>
    </row>
    <row r="1912" spans="1:256" ht="14.25" thickTop="1" thickBot="1">
      <c r="A1912" s="267" t="str">
        <f>C1914</f>
        <v>MARCELO DA CRUZ NUNES                 (Gordinho)</v>
      </c>
      <c r="B1912" s="68" t="s">
        <v>62</v>
      </c>
      <c r="C1912" s="64" t="s">
        <v>1361</v>
      </c>
      <c r="D1912" s="69">
        <v>63511</v>
      </c>
      <c r="E1912" s="62">
        <v>41207</v>
      </c>
      <c r="F1912" s="296"/>
    </row>
    <row r="1913" spans="1:256" ht="14.25" thickTop="1" thickBot="1">
      <c r="A1913" s="267"/>
      <c r="B1913" s="68" t="s">
        <v>2406</v>
      </c>
      <c r="C1913" s="64" t="s">
        <v>2424</v>
      </c>
      <c r="D1913" s="65">
        <v>115495</v>
      </c>
      <c r="E1913" s="70">
        <v>44130</v>
      </c>
      <c r="F1913" s="287"/>
    </row>
    <row r="1914" spans="1:256" ht="14.25" thickTop="1" thickBot="1">
      <c r="A1914" s="267" t="str">
        <f>C1917</f>
        <v>MARCELO DE FREITAS</v>
      </c>
      <c r="B1914" s="68" t="s">
        <v>1298</v>
      </c>
      <c r="C1914" s="66" t="s">
        <v>3324</v>
      </c>
      <c r="D1914" s="65">
        <v>63553</v>
      </c>
      <c r="E1914" s="62">
        <v>40243</v>
      </c>
      <c r="F1914" s="285"/>
    </row>
    <row r="1915" spans="1:256" ht="14.25" thickTop="1" thickBot="1">
      <c r="A1915" s="267"/>
      <c r="B1915" s="68" t="s">
        <v>546</v>
      </c>
      <c r="C1915" s="66" t="s">
        <v>995</v>
      </c>
      <c r="D1915" s="67"/>
      <c r="E1915" s="62">
        <v>42103</v>
      </c>
      <c r="F1915" s="285"/>
    </row>
    <row r="1916" spans="1:256" ht="14.25" thickTop="1" thickBot="1">
      <c r="A1916" s="267" t="str">
        <f>C1918</f>
        <v>MARCELO DE JESUS ALVES</v>
      </c>
      <c r="B1916" s="67" t="s">
        <v>1522</v>
      </c>
      <c r="C1916" s="66" t="s">
        <v>1487</v>
      </c>
      <c r="D1916" s="67"/>
      <c r="E1916" s="62">
        <v>40290</v>
      </c>
      <c r="F1916" s="285"/>
      <c r="G1916" s="406"/>
      <c r="H1916" s="406"/>
      <c r="I1916" s="406"/>
      <c r="J1916" s="406"/>
      <c r="K1916" s="406"/>
      <c r="L1916" s="406"/>
      <c r="M1916" s="406"/>
      <c r="N1916" s="406"/>
      <c r="O1916" s="406"/>
      <c r="P1916" s="406"/>
      <c r="Q1916" s="406"/>
      <c r="R1916" s="406"/>
      <c r="S1916" s="406"/>
      <c r="T1916" s="406"/>
      <c r="U1916" s="406"/>
      <c r="V1916" s="406"/>
      <c r="W1916" s="406"/>
      <c r="X1916" s="406"/>
      <c r="Y1916" s="406"/>
      <c r="Z1916" s="406"/>
      <c r="AA1916" s="406"/>
      <c r="AB1916" s="406"/>
      <c r="AC1916" s="406"/>
      <c r="AD1916" s="406"/>
      <c r="AE1916" s="406"/>
      <c r="AF1916" s="406"/>
      <c r="AG1916" s="406"/>
      <c r="AH1916" s="406"/>
      <c r="AI1916" s="406"/>
      <c r="AJ1916" s="406"/>
      <c r="AK1916" s="406"/>
      <c r="AL1916" s="406"/>
      <c r="AM1916" s="406"/>
      <c r="AN1916" s="406"/>
      <c r="AO1916" s="406"/>
      <c r="AP1916" s="406"/>
      <c r="AQ1916" s="406"/>
      <c r="AR1916" s="406"/>
      <c r="AS1916" s="406"/>
      <c r="AT1916" s="406"/>
      <c r="AU1916" s="406"/>
      <c r="AV1916" s="406"/>
      <c r="AW1916" s="406"/>
      <c r="AX1916" s="406"/>
      <c r="AY1916" s="406"/>
      <c r="AZ1916" s="406"/>
      <c r="BA1916" s="406"/>
      <c r="BB1916" s="406"/>
      <c r="BC1916" s="406"/>
      <c r="BD1916" s="406"/>
      <c r="BE1916" s="406"/>
      <c r="BF1916" s="406"/>
      <c r="BG1916" s="406"/>
      <c r="BH1916" s="406"/>
      <c r="BI1916" s="406"/>
      <c r="BJ1916" s="406"/>
      <c r="BK1916" s="406"/>
      <c r="BL1916" s="406"/>
      <c r="BM1916" s="406"/>
      <c r="BN1916" s="406"/>
      <c r="BO1916" s="406"/>
      <c r="BP1916" s="406"/>
      <c r="BQ1916" s="406"/>
      <c r="BR1916" s="406"/>
      <c r="BS1916" s="406"/>
      <c r="BT1916" s="406"/>
      <c r="BU1916" s="406"/>
      <c r="BV1916" s="406"/>
      <c r="BW1916" s="406"/>
      <c r="BX1916" s="406"/>
      <c r="BY1916" s="406"/>
      <c r="BZ1916" s="406"/>
      <c r="CA1916" s="406"/>
      <c r="CB1916" s="406"/>
      <c r="CC1916" s="406"/>
      <c r="CD1916" s="406"/>
      <c r="CE1916" s="406"/>
      <c r="CF1916" s="406"/>
      <c r="CG1916" s="406"/>
      <c r="CH1916" s="406"/>
      <c r="CI1916" s="406"/>
      <c r="CJ1916" s="406"/>
      <c r="CK1916" s="406"/>
      <c r="CL1916" s="406"/>
      <c r="CM1916" s="406"/>
      <c r="CN1916" s="406"/>
      <c r="CO1916" s="406"/>
      <c r="CP1916" s="406"/>
      <c r="CQ1916" s="406"/>
      <c r="CR1916" s="406"/>
      <c r="CS1916" s="406"/>
      <c r="CT1916" s="406"/>
      <c r="CU1916" s="406"/>
      <c r="CV1916" s="406"/>
      <c r="CW1916" s="406"/>
      <c r="CX1916" s="406"/>
      <c r="CY1916" s="406"/>
      <c r="CZ1916" s="406"/>
      <c r="DA1916" s="406"/>
      <c r="DB1916" s="406"/>
      <c r="DC1916" s="406"/>
      <c r="DD1916" s="406"/>
      <c r="DE1916" s="406"/>
      <c r="DF1916" s="406"/>
      <c r="DG1916" s="406"/>
      <c r="DH1916" s="406"/>
      <c r="DI1916" s="406"/>
      <c r="DJ1916" s="406"/>
      <c r="DK1916" s="406"/>
      <c r="DL1916" s="406"/>
      <c r="DM1916" s="406"/>
      <c r="DN1916" s="406"/>
      <c r="DO1916" s="406"/>
      <c r="DP1916" s="406"/>
      <c r="DQ1916" s="406"/>
      <c r="DR1916" s="406"/>
      <c r="DS1916" s="406"/>
      <c r="DT1916" s="406"/>
      <c r="DU1916" s="406"/>
      <c r="DV1916" s="406"/>
      <c r="DW1916" s="406"/>
      <c r="DX1916" s="406"/>
      <c r="DY1916" s="406"/>
      <c r="DZ1916" s="406"/>
      <c r="EA1916" s="406"/>
      <c r="EB1916" s="406"/>
      <c r="EC1916" s="406"/>
      <c r="ED1916" s="406"/>
      <c r="EE1916" s="406"/>
      <c r="EF1916" s="406"/>
      <c r="EG1916" s="406"/>
      <c r="EH1916" s="406"/>
      <c r="EI1916" s="406"/>
      <c r="EJ1916" s="406"/>
      <c r="EK1916" s="406"/>
      <c r="EL1916" s="406"/>
      <c r="EM1916" s="406"/>
      <c r="EN1916" s="406"/>
      <c r="EO1916" s="406"/>
      <c r="EP1916" s="406"/>
      <c r="EQ1916" s="406"/>
      <c r="ER1916" s="406"/>
      <c r="ES1916" s="406"/>
      <c r="ET1916" s="406"/>
      <c r="EU1916" s="406"/>
      <c r="EV1916" s="406"/>
      <c r="EW1916" s="406"/>
      <c r="EX1916" s="406"/>
      <c r="EY1916" s="406"/>
      <c r="EZ1916" s="406"/>
      <c r="FA1916" s="406"/>
      <c r="FB1916" s="406"/>
      <c r="FC1916" s="406"/>
      <c r="FD1916" s="406"/>
      <c r="FE1916" s="406"/>
      <c r="FF1916" s="406"/>
      <c r="FG1916" s="406"/>
      <c r="FH1916" s="406"/>
      <c r="FI1916" s="406"/>
      <c r="FJ1916" s="406"/>
      <c r="FK1916" s="406"/>
      <c r="FL1916" s="406"/>
      <c r="FM1916" s="406"/>
      <c r="FN1916" s="406"/>
      <c r="FO1916" s="406"/>
      <c r="FP1916" s="406"/>
      <c r="FQ1916" s="406"/>
      <c r="FR1916" s="406"/>
      <c r="FS1916" s="406"/>
      <c r="FT1916" s="406"/>
      <c r="FU1916" s="406"/>
      <c r="FV1916" s="406"/>
      <c r="FW1916" s="406"/>
      <c r="FX1916" s="406"/>
      <c r="FY1916" s="406"/>
      <c r="FZ1916" s="406"/>
      <c r="GA1916" s="406"/>
      <c r="GB1916" s="406"/>
      <c r="GC1916" s="406"/>
      <c r="GD1916" s="406"/>
      <c r="GE1916" s="406"/>
      <c r="GF1916" s="406"/>
      <c r="GG1916" s="406"/>
      <c r="GH1916" s="406"/>
      <c r="GI1916" s="406"/>
      <c r="GJ1916" s="406"/>
      <c r="GK1916" s="406"/>
      <c r="GL1916" s="406"/>
      <c r="GM1916" s="406"/>
      <c r="GN1916" s="406"/>
      <c r="GO1916" s="406"/>
      <c r="GP1916" s="406"/>
      <c r="GQ1916" s="406"/>
      <c r="GR1916" s="406"/>
      <c r="GS1916" s="406"/>
      <c r="GT1916" s="406"/>
      <c r="GU1916" s="406"/>
      <c r="GV1916" s="406"/>
      <c r="GW1916" s="406"/>
      <c r="GX1916" s="406"/>
      <c r="GY1916" s="406"/>
      <c r="GZ1916" s="406"/>
      <c r="HA1916" s="406"/>
      <c r="HB1916" s="406"/>
      <c r="HC1916" s="406"/>
      <c r="HD1916" s="406"/>
      <c r="HE1916" s="406"/>
      <c r="HF1916" s="406"/>
      <c r="HG1916" s="406"/>
      <c r="HH1916" s="406"/>
      <c r="HI1916" s="406"/>
      <c r="HJ1916" s="406"/>
      <c r="HK1916" s="406"/>
      <c r="HL1916" s="406"/>
      <c r="HM1916" s="406"/>
      <c r="HN1916" s="406"/>
      <c r="HO1916" s="406"/>
      <c r="HP1916" s="406"/>
      <c r="HQ1916" s="406"/>
      <c r="HR1916" s="406"/>
      <c r="HS1916" s="406"/>
      <c r="HT1916" s="406"/>
      <c r="HU1916" s="406"/>
      <c r="HV1916" s="406"/>
      <c r="HW1916" s="406"/>
      <c r="HX1916" s="406"/>
      <c r="HY1916" s="406"/>
      <c r="HZ1916" s="406"/>
      <c r="IA1916" s="406"/>
      <c r="IB1916" s="406"/>
      <c r="IC1916" s="406"/>
      <c r="ID1916" s="406"/>
      <c r="IE1916" s="406"/>
      <c r="IF1916" s="406"/>
      <c r="IG1916" s="406"/>
      <c r="IH1916" s="406"/>
      <c r="II1916" s="406"/>
      <c r="IJ1916" s="406"/>
      <c r="IK1916" s="406"/>
      <c r="IL1916" s="406"/>
      <c r="IM1916" s="406"/>
      <c r="IN1916" s="406"/>
      <c r="IO1916" s="406"/>
      <c r="IP1916" s="406"/>
      <c r="IQ1916" s="406"/>
      <c r="IR1916" s="406"/>
      <c r="IS1916" s="406"/>
      <c r="IT1916" s="406"/>
      <c r="IU1916" s="406"/>
      <c r="IV1916" s="406"/>
    </row>
    <row r="1917" spans="1:256" ht="14.25" thickTop="1" thickBot="1">
      <c r="A1917" s="267" t="str">
        <f>C1919</f>
        <v>MARCELO DE OLIVEIRA BARROS          (Paraná)</v>
      </c>
      <c r="B1917" s="68" t="s">
        <v>62</v>
      </c>
      <c r="C1917" s="66" t="s">
        <v>408</v>
      </c>
      <c r="D1917" s="65">
        <v>63553</v>
      </c>
      <c r="E1917" s="70">
        <v>42199</v>
      </c>
      <c r="F1917" s="284"/>
    </row>
    <row r="1918" spans="1:256" ht="14.25" thickTop="1" thickBot="1">
      <c r="A1918" s="267" t="str">
        <f>C1920</f>
        <v>MARCELO DE SIQUEIRA MACIEL</v>
      </c>
      <c r="B1918" s="68" t="s">
        <v>62</v>
      </c>
      <c r="C1918" s="66" t="s">
        <v>543</v>
      </c>
      <c r="D1918" s="69">
        <v>63229</v>
      </c>
      <c r="E1918" s="62">
        <v>40941</v>
      </c>
      <c r="F1918" s="285"/>
    </row>
    <row r="1919" spans="1:256" ht="14.25" thickTop="1" thickBot="1">
      <c r="A1919" s="267" t="s">
        <v>2603</v>
      </c>
      <c r="B1919" s="68" t="s">
        <v>62</v>
      </c>
      <c r="C1919" s="66" t="s">
        <v>3323</v>
      </c>
      <c r="D1919" s="61">
        <v>101886</v>
      </c>
      <c r="E1919" s="62">
        <v>39191</v>
      </c>
      <c r="F1919" s="285"/>
    </row>
    <row r="1920" spans="1:256" ht="14.25" thickTop="1" thickBot="1">
      <c r="A1920" s="267" t="str">
        <f>C1922</f>
        <v>MARCELO DOS SANTOS BORBA</v>
      </c>
      <c r="B1920" s="68" t="s">
        <v>2406</v>
      </c>
      <c r="C1920" s="66" t="s">
        <v>1270</v>
      </c>
      <c r="D1920" s="65">
        <v>27262</v>
      </c>
      <c r="E1920" s="70">
        <v>43539</v>
      </c>
      <c r="F1920" s="284"/>
    </row>
    <row r="1921" spans="1:256" ht="14.25" thickTop="1" thickBot="1">
      <c r="A1921" s="267" t="str">
        <f>C1923</f>
        <v>MARCELO FERNANDO MARTINS DA SILVA    (Fumaça)</v>
      </c>
      <c r="B1921" s="68" t="s">
        <v>846</v>
      </c>
      <c r="C1921" s="66" t="s">
        <v>368</v>
      </c>
      <c r="D1921" s="65">
        <v>27119</v>
      </c>
      <c r="E1921" s="70">
        <v>42909</v>
      </c>
      <c r="F1921" s="284"/>
    </row>
    <row r="1922" spans="1:256" ht="14.25" thickTop="1" thickBot="1">
      <c r="A1922" s="267" t="str">
        <f>C1924</f>
        <v>MARCELO HENRIQUE SCHIREINER</v>
      </c>
      <c r="B1922" s="68" t="s">
        <v>546</v>
      </c>
      <c r="C1922" s="64" t="s">
        <v>2604</v>
      </c>
      <c r="D1922" s="65">
        <v>119129</v>
      </c>
      <c r="E1922" s="62">
        <v>41323</v>
      </c>
      <c r="F1922" s="285"/>
    </row>
    <row r="1923" spans="1:256" ht="14.25" thickTop="1" thickBot="1">
      <c r="A1923" s="267" t="str">
        <f>C1925</f>
        <v>MARCELO LOPES DE MATOS                    (Burcão)</v>
      </c>
      <c r="B1923" s="68" t="s">
        <v>1860</v>
      </c>
      <c r="C1923" s="66" t="s">
        <v>3082</v>
      </c>
      <c r="D1923" s="67"/>
      <c r="E1923" s="62">
        <v>43011</v>
      </c>
      <c r="F1923" s="285"/>
    </row>
    <row r="1924" spans="1:256" ht="14.25" thickTop="1" thickBot="1">
      <c r="A1924" s="267" t="str">
        <f>C1928</f>
        <v>MARCELO MILA DOS SANTOS</v>
      </c>
      <c r="B1924" s="163" t="s">
        <v>62</v>
      </c>
      <c r="C1924" s="64" t="s">
        <v>614</v>
      </c>
      <c r="D1924" s="65">
        <v>27202</v>
      </c>
      <c r="E1924" s="204">
        <v>43360</v>
      </c>
      <c r="F1924" s="285"/>
    </row>
    <row r="1925" spans="1:256" ht="14.25" thickTop="1" thickBot="1">
      <c r="A1925" s="267" t="str">
        <f t="shared" ref="A1925:A1932" si="80">C1925</f>
        <v>MARCELO LOPES DE MATOS                    (Burcão)</v>
      </c>
      <c r="B1925" s="68" t="s">
        <v>62</v>
      </c>
      <c r="C1925" s="66" t="s">
        <v>3322</v>
      </c>
      <c r="D1925" s="61">
        <v>106716</v>
      </c>
      <c r="E1925" s="62">
        <v>39938</v>
      </c>
      <c r="F1925" s="285"/>
    </row>
    <row r="1926" spans="1:256" ht="14.25" thickTop="1" thickBot="1">
      <c r="A1926" s="267" t="str">
        <f t="shared" si="80"/>
        <v>MARCELO LOURENÇO DE FARIA</v>
      </c>
      <c r="B1926" s="68" t="s">
        <v>1665</v>
      </c>
      <c r="C1926" s="60" t="s">
        <v>2150</v>
      </c>
      <c r="D1926" s="61">
        <v>57180</v>
      </c>
      <c r="E1926" s="62">
        <v>41963</v>
      </c>
      <c r="F1926" s="285"/>
    </row>
    <row r="1927" spans="1:256" ht="14.25" thickTop="1" thickBot="1">
      <c r="A1927" s="272" t="str">
        <f t="shared" si="80"/>
        <v>MARCELO LUIZ MACHADO</v>
      </c>
      <c r="B1927" s="68" t="s">
        <v>15</v>
      </c>
      <c r="C1927" s="335" t="s">
        <v>1797</v>
      </c>
      <c r="D1927" s="61">
        <v>117806</v>
      </c>
      <c r="E1927" s="62">
        <v>42920</v>
      </c>
      <c r="F1927" s="387"/>
      <c r="G1927" s="389"/>
      <c r="H1927" s="389"/>
      <c r="I1927" s="389" t="s">
        <v>65</v>
      </c>
      <c r="J1927" s="389" t="s">
        <v>65</v>
      </c>
      <c r="K1927" s="389" t="s">
        <v>65</v>
      </c>
      <c r="L1927" s="389" t="s">
        <v>65</v>
      </c>
      <c r="M1927" s="389" t="s">
        <v>65</v>
      </c>
      <c r="N1927" s="389" t="s">
        <v>65</v>
      </c>
      <c r="O1927" s="389" t="s">
        <v>65</v>
      </c>
      <c r="P1927" s="389" t="s">
        <v>65</v>
      </c>
      <c r="Q1927" s="389" t="s">
        <v>65</v>
      </c>
      <c r="R1927" s="389" t="s">
        <v>65</v>
      </c>
      <c r="S1927" s="389" t="s">
        <v>65</v>
      </c>
      <c r="T1927" s="389" t="s">
        <v>65</v>
      </c>
      <c r="U1927" s="389" t="s">
        <v>65</v>
      </c>
      <c r="V1927" s="389" t="s">
        <v>65</v>
      </c>
      <c r="W1927" s="389" t="s">
        <v>65</v>
      </c>
      <c r="X1927" s="389" t="s">
        <v>65</v>
      </c>
      <c r="Y1927" s="389" t="s">
        <v>65</v>
      </c>
      <c r="Z1927" s="389" t="s">
        <v>65</v>
      </c>
      <c r="AA1927" s="389" t="s">
        <v>65</v>
      </c>
      <c r="AB1927" s="389" t="s">
        <v>65</v>
      </c>
      <c r="AC1927" s="389" t="s">
        <v>65</v>
      </c>
      <c r="AD1927" s="389" t="s">
        <v>65</v>
      </c>
      <c r="AE1927" s="389" t="s">
        <v>65</v>
      </c>
      <c r="AF1927" s="389" t="s">
        <v>65</v>
      </c>
      <c r="AG1927" s="389" t="s">
        <v>65</v>
      </c>
      <c r="AH1927" s="389" t="s">
        <v>65</v>
      </c>
      <c r="AI1927" s="389" t="s">
        <v>65</v>
      </c>
      <c r="AJ1927" s="389" t="s">
        <v>65</v>
      </c>
      <c r="AK1927" s="389" t="s">
        <v>65</v>
      </c>
      <c r="AL1927" s="389" t="s">
        <v>65</v>
      </c>
      <c r="AM1927" s="389" t="s">
        <v>65</v>
      </c>
      <c r="AN1927" s="389" t="s">
        <v>65</v>
      </c>
      <c r="AO1927" s="389" t="s">
        <v>65</v>
      </c>
      <c r="AP1927" s="389" t="s">
        <v>65</v>
      </c>
      <c r="AQ1927" s="389" t="s">
        <v>65</v>
      </c>
      <c r="AR1927" s="389" t="s">
        <v>65</v>
      </c>
      <c r="AS1927" s="389" t="s">
        <v>65</v>
      </c>
      <c r="AT1927" s="389" t="s">
        <v>65</v>
      </c>
      <c r="AU1927" s="389" t="s">
        <v>65</v>
      </c>
      <c r="AV1927" s="389" t="s">
        <v>65</v>
      </c>
      <c r="AW1927" s="389" t="s">
        <v>65</v>
      </c>
      <c r="AX1927" s="389" t="s">
        <v>65</v>
      </c>
      <c r="AY1927" s="389" t="s">
        <v>65</v>
      </c>
      <c r="AZ1927" s="389" t="s">
        <v>65</v>
      </c>
      <c r="BA1927" s="389" t="s">
        <v>65</v>
      </c>
      <c r="BB1927" s="389" t="s">
        <v>65</v>
      </c>
      <c r="BC1927" s="389" t="s">
        <v>65</v>
      </c>
      <c r="BD1927" s="389" t="s">
        <v>65</v>
      </c>
      <c r="BE1927" s="389" t="s">
        <v>65</v>
      </c>
      <c r="BF1927" s="389" t="s">
        <v>65</v>
      </c>
      <c r="BG1927" s="389" t="s">
        <v>65</v>
      </c>
      <c r="BH1927" s="389" t="s">
        <v>65</v>
      </c>
      <c r="BI1927" s="389" t="s">
        <v>65</v>
      </c>
      <c r="BJ1927" s="389" t="s">
        <v>65</v>
      </c>
      <c r="BK1927" s="389" t="s">
        <v>65</v>
      </c>
      <c r="BL1927" s="389" t="s">
        <v>65</v>
      </c>
      <c r="BM1927" s="389" t="s">
        <v>65</v>
      </c>
      <c r="BN1927" s="389" t="s">
        <v>65</v>
      </c>
      <c r="BO1927" s="389" t="s">
        <v>65</v>
      </c>
      <c r="BP1927" s="389" t="s">
        <v>65</v>
      </c>
      <c r="BQ1927" s="389" t="s">
        <v>65</v>
      </c>
      <c r="BR1927" s="389" t="s">
        <v>65</v>
      </c>
      <c r="BS1927" s="389" t="s">
        <v>65</v>
      </c>
      <c r="BT1927" s="389" t="s">
        <v>65</v>
      </c>
      <c r="BU1927" s="389" t="s">
        <v>65</v>
      </c>
      <c r="BV1927" s="389" t="s">
        <v>65</v>
      </c>
      <c r="BW1927" s="389" t="s">
        <v>65</v>
      </c>
      <c r="BX1927" s="389" t="s">
        <v>65</v>
      </c>
      <c r="BY1927" s="389" t="s">
        <v>65</v>
      </c>
      <c r="BZ1927" s="389" t="s">
        <v>65</v>
      </c>
      <c r="CA1927" s="389" t="s">
        <v>65</v>
      </c>
      <c r="CB1927" s="389" t="s">
        <v>65</v>
      </c>
      <c r="CC1927" s="389" t="s">
        <v>65</v>
      </c>
      <c r="CD1927" s="389" t="s">
        <v>65</v>
      </c>
      <c r="CE1927" s="389" t="s">
        <v>65</v>
      </c>
      <c r="CF1927" s="389" t="s">
        <v>65</v>
      </c>
      <c r="CG1927" s="389" t="s">
        <v>65</v>
      </c>
      <c r="CH1927" s="389" t="s">
        <v>65</v>
      </c>
      <c r="CI1927" s="389" t="s">
        <v>65</v>
      </c>
      <c r="CJ1927" s="389" t="s">
        <v>65</v>
      </c>
      <c r="CK1927" s="389" t="s">
        <v>65</v>
      </c>
      <c r="CL1927" s="389" t="s">
        <v>65</v>
      </c>
      <c r="CM1927" s="389" t="s">
        <v>65</v>
      </c>
      <c r="CN1927" s="389" t="s">
        <v>65</v>
      </c>
      <c r="CO1927" s="389" t="s">
        <v>65</v>
      </c>
      <c r="CP1927" s="389" t="s">
        <v>65</v>
      </c>
      <c r="CQ1927" s="389" t="s">
        <v>65</v>
      </c>
      <c r="CR1927" s="389" t="s">
        <v>65</v>
      </c>
      <c r="CS1927" s="389" t="s">
        <v>65</v>
      </c>
      <c r="CT1927" s="389" t="s">
        <v>65</v>
      </c>
      <c r="CU1927" s="389" t="s">
        <v>65</v>
      </c>
      <c r="CV1927" s="389" t="s">
        <v>65</v>
      </c>
      <c r="CW1927" s="389" t="s">
        <v>65</v>
      </c>
      <c r="CX1927" s="389" t="s">
        <v>65</v>
      </c>
      <c r="CY1927" s="389" t="s">
        <v>65</v>
      </c>
      <c r="CZ1927" s="389" t="s">
        <v>65</v>
      </c>
      <c r="DA1927" s="389" t="s">
        <v>65</v>
      </c>
      <c r="DB1927" s="389" t="s">
        <v>65</v>
      </c>
      <c r="DC1927" s="389" t="s">
        <v>65</v>
      </c>
      <c r="DD1927" s="389" t="s">
        <v>65</v>
      </c>
      <c r="DE1927" s="389" t="s">
        <v>65</v>
      </c>
      <c r="DF1927" s="389" t="s">
        <v>65</v>
      </c>
      <c r="DG1927" s="389" t="s">
        <v>65</v>
      </c>
      <c r="DH1927" s="389" t="s">
        <v>65</v>
      </c>
      <c r="DI1927" s="389" t="s">
        <v>65</v>
      </c>
      <c r="DJ1927" s="389" t="s">
        <v>65</v>
      </c>
      <c r="DK1927" s="389" t="s">
        <v>65</v>
      </c>
      <c r="DL1927" s="389" t="s">
        <v>65</v>
      </c>
      <c r="DM1927" s="389" t="s">
        <v>65</v>
      </c>
      <c r="DN1927" s="389" t="s">
        <v>65</v>
      </c>
      <c r="DO1927" s="389" t="s">
        <v>65</v>
      </c>
      <c r="DP1927" s="389" t="s">
        <v>65</v>
      </c>
      <c r="DQ1927" s="389" t="s">
        <v>65</v>
      </c>
      <c r="DR1927" s="389" t="s">
        <v>65</v>
      </c>
      <c r="DS1927" s="389" t="s">
        <v>65</v>
      </c>
      <c r="DT1927" s="389" t="s">
        <v>65</v>
      </c>
      <c r="DU1927" s="389" t="s">
        <v>65</v>
      </c>
      <c r="DV1927" s="389" t="s">
        <v>65</v>
      </c>
      <c r="DW1927" s="389" t="s">
        <v>65</v>
      </c>
      <c r="DX1927" s="389" t="s">
        <v>65</v>
      </c>
      <c r="DY1927" s="389" t="s">
        <v>65</v>
      </c>
      <c r="DZ1927" s="389" t="s">
        <v>65</v>
      </c>
      <c r="EA1927" s="389" t="s">
        <v>65</v>
      </c>
      <c r="EB1927" s="389" t="s">
        <v>65</v>
      </c>
      <c r="EC1927" s="389" t="s">
        <v>65</v>
      </c>
      <c r="ED1927" s="389" t="s">
        <v>65</v>
      </c>
      <c r="EE1927" s="389" t="s">
        <v>65</v>
      </c>
      <c r="EF1927" s="389" t="s">
        <v>65</v>
      </c>
      <c r="EG1927" s="389" t="s">
        <v>65</v>
      </c>
      <c r="EH1927" s="389" t="s">
        <v>65</v>
      </c>
      <c r="EI1927" s="389" t="s">
        <v>65</v>
      </c>
      <c r="EJ1927" s="389" t="s">
        <v>65</v>
      </c>
      <c r="EK1927" s="389" t="s">
        <v>65</v>
      </c>
      <c r="EL1927" s="389" t="s">
        <v>65</v>
      </c>
      <c r="EM1927" s="389" t="s">
        <v>65</v>
      </c>
      <c r="EN1927" s="389" t="s">
        <v>65</v>
      </c>
      <c r="EO1927" s="389" t="s">
        <v>65</v>
      </c>
      <c r="EP1927" s="389" t="s">
        <v>65</v>
      </c>
      <c r="EQ1927" s="389" t="s">
        <v>65</v>
      </c>
      <c r="ER1927" s="389" t="s">
        <v>65</v>
      </c>
      <c r="ES1927" s="389" t="s">
        <v>65</v>
      </c>
      <c r="ET1927" s="389" t="s">
        <v>65</v>
      </c>
      <c r="EU1927" s="389" t="s">
        <v>65</v>
      </c>
      <c r="EV1927" s="389" t="s">
        <v>65</v>
      </c>
      <c r="EW1927" s="389" t="s">
        <v>65</v>
      </c>
      <c r="EX1927" s="389" t="s">
        <v>65</v>
      </c>
      <c r="EY1927" s="389" t="s">
        <v>65</v>
      </c>
      <c r="EZ1927" s="389" t="s">
        <v>65</v>
      </c>
      <c r="FA1927" s="389" t="s">
        <v>65</v>
      </c>
      <c r="FB1927" s="389" t="s">
        <v>65</v>
      </c>
      <c r="FC1927" s="389" t="s">
        <v>65</v>
      </c>
      <c r="FD1927" s="389" t="s">
        <v>65</v>
      </c>
      <c r="FE1927" s="389" t="s">
        <v>65</v>
      </c>
      <c r="FF1927" s="389" t="s">
        <v>65</v>
      </c>
      <c r="FG1927" s="389" t="s">
        <v>65</v>
      </c>
      <c r="FH1927" s="389" t="s">
        <v>65</v>
      </c>
      <c r="FI1927" s="389" t="s">
        <v>65</v>
      </c>
      <c r="FJ1927" s="389" t="s">
        <v>65</v>
      </c>
      <c r="FK1927" s="389" t="s">
        <v>65</v>
      </c>
      <c r="FL1927" s="389" t="s">
        <v>65</v>
      </c>
      <c r="FM1927" s="389" t="s">
        <v>65</v>
      </c>
      <c r="FN1927" s="389" t="s">
        <v>65</v>
      </c>
      <c r="FO1927" s="389" t="s">
        <v>65</v>
      </c>
      <c r="FP1927" s="389" t="s">
        <v>65</v>
      </c>
      <c r="FQ1927" s="389" t="s">
        <v>65</v>
      </c>
      <c r="FR1927" s="389" t="s">
        <v>65</v>
      </c>
      <c r="FS1927" s="389" t="s">
        <v>65</v>
      </c>
      <c r="FT1927" s="389" t="s">
        <v>65</v>
      </c>
      <c r="FU1927" s="389" t="s">
        <v>65</v>
      </c>
      <c r="FV1927" s="389" t="s">
        <v>65</v>
      </c>
      <c r="FW1927" s="389" t="s">
        <v>65</v>
      </c>
      <c r="FX1927" s="389" t="s">
        <v>65</v>
      </c>
      <c r="FY1927" s="389" t="s">
        <v>65</v>
      </c>
      <c r="FZ1927" s="389" t="s">
        <v>65</v>
      </c>
      <c r="GA1927" s="389" t="s">
        <v>65</v>
      </c>
      <c r="GB1927" s="389" t="s">
        <v>65</v>
      </c>
      <c r="GC1927" s="389" t="s">
        <v>65</v>
      </c>
      <c r="GD1927" s="389" t="s">
        <v>65</v>
      </c>
      <c r="GE1927" s="389" t="s">
        <v>65</v>
      </c>
      <c r="GF1927" s="389" t="s">
        <v>65</v>
      </c>
      <c r="GG1927" s="389" t="s">
        <v>65</v>
      </c>
      <c r="GH1927" s="389" t="s">
        <v>65</v>
      </c>
      <c r="GI1927" s="389" t="s">
        <v>65</v>
      </c>
      <c r="GJ1927" s="389" t="s">
        <v>65</v>
      </c>
      <c r="GK1927" s="389" t="s">
        <v>65</v>
      </c>
      <c r="GL1927" s="389" t="s">
        <v>65</v>
      </c>
      <c r="GM1927" s="389" t="s">
        <v>65</v>
      </c>
      <c r="GN1927" s="389" t="s">
        <v>65</v>
      </c>
      <c r="GO1927" s="389" t="s">
        <v>65</v>
      </c>
      <c r="GP1927" s="389" t="s">
        <v>65</v>
      </c>
      <c r="GQ1927" s="389" t="s">
        <v>65</v>
      </c>
      <c r="GR1927" s="389" t="s">
        <v>65</v>
      </c>
      <c r="GS1927" s="389" t="s">
        <v>65</v>
      </c>
      <c r="GT1927" s="389" t="s">
        <v>65</v>
      </c>
      <c r="GU1927" s="389" t="s">
        <v>65</v>
      </c>
      <c r="GV1927" s="389" t="s">
        <v>65</v>
      </c>
      <c r="GW1927" s="389" t="s">
        <v>65</v>
      </c>
      <c r="GX1927" s="389" t="s">
        <v>65</v>
      </c>
      <c r="GY1927" s="389" t="s">
        <v>65</v>
      </c>
      <c r="GZ1927" s="389" t="s">
        <v>65</v>
      </c>
      <c r="HA1927" s="389" t="s">
        <v>65</v>
      </c>
      <c r="HB1927" s="389" t="s">
        <v>65</v>
      </c>
      <c r="HC1927" s="389" t="s">
        <v>65</v>
      </c>
      <c r="HD1927" s="389" t="s">
        <v>65</v>
      </c>
      <c r="HE1927" s="389" t="s">
        <v>65</v>
      </c>
      <c r="HF1927" s="389" t="s">
        <v>65</v>
      </c>
      <c r="HG1927" s="389" t="s">
        <v>65</v>
      </c>
      <c r="HH1927" s="389" t="s">
        <v>65</v>
      </c>
      <c r="HI1927" s="389" t="s">
        <v>65</v>
      </c>
      <c r="HJ1927" s="389" t="s">
        <v>65</v>
      </c>
      <c r="HK1927" s="389" t="s">
        <v>65</v>
      </c>
      <c r="HL1927" s="389" t="s">
        <v>65</v>
      </c>
      <c r="HM1927" s="389" t="s">
        <v>65</v>
      </c>
      <c r="HN1927" s="389" t="s">
        <v>65</v>
      </c>
      <c r="HO1927" s="389" t="s">
        <v>65</v>
      </c>
      <c r="HP1927" s="389" t="s">
        <v>65</v>
      </c>
      <c r="HQ1927" s="389" t="s">
        <v>65</v>
      </c>
      <c r="HR1927" s="389" t="s">
        <v>65</v>
      </c>
      <c r="HS1927" s="389" t="s">
        <v>65</v>
      </c>
      <c r="HT1927" s="389" t="s">
        <v>65</v>
      </c>
      <c r="HU1927" s="389" t="s">
        <v>65</v>
      </c>
      <c r="HV1927" s="389" t="s">
        <v>65</v>
      </c>
      <c r="HW1927" s="389" t="s">
        <v>65</v>
      </c>
      <c r="HX1927" s="389" t="s">
        <v>65</v>
      </c>
      <c r="HY1927" s="389" t="s">
        <v>65</v>
      </c>
      <c r="HZ1927" s="389" t="s">
        <v>65</v>
      </c>
      <c r="IA1927" s="389" t="s">
        <v>65</v>
      </c>
      <c r="IB1927" s="389" t="s">
        <v>65</v>
      </c>
      <c r="IC1927" s="389" t="s">
        <v>65</v>
      </c>
      <c r="ID1927" s="389" t="s">
        <v>65</v>
      </c>
      <c r="IE1927" s="389" t="s">
        <v>65</v>
      </c>
      <c r="IF1927" s="389" t="s">
        <v>65</v>
      </c>
      <c r="IG1927" s="389" t="s">
        <v>65</v>
      </c>
      <c r="IH1927" s="389" t="s">
        <v>65</v>
      </c>
      <c r="II1927" s="389" t="s">
        <v>65</v>
      </c>
      <c r="IJ1927" s="389" t="s">
        <v>65</v>
      </c>
      <c r="IK1927" s="389" t="s">
        <v>65</v>
      </c>
      <c r="IL1927" s="389" t="s">
        <v>65</v>
      </c>
      <c r="IM1927" s="389" t="s">
        <v>65</v>
      </c>
      <c r="IN1927" s="389" t="s">
        <v>65</v>
      </c>
      <c r="IO1927" s="389" t="s">
        <v>65</v>
      </c>
      <c r="IP1927" s="389" t="s">
        <v>65</v>
      </c>
      <c r="IQ1927" s="389" t="s">
        <v>65</v>
      </c>
      <c r="IR1927" s="389" t="s">
        <v>65</v>
      </c>
      <c r="IS1927" s="389" t="s">
        <v>65</v>
      </c>
      <c r="IT1927" s="389" t="s">
        <v>65</v>
      </c>
      <c r="IU1927" s="389" t="s">
        <v>65</v>
      </c>
      <c r="IV1927" s="389" t="s">
        <v>65</v>
      </c>
    </row>
    <row r="1928" spans="1:256" ht="14.25" thickTop="1" thickBot="1">
      <c r="A1928" s="267" t="str">
        <f t="shared" si="80"/>
        <v>MARCELO MILA DOS SANTOS</v>
      </c>
      <c r="B1928" s="68" t="s">
        <v>62</v>
      </c>
      <c r="C1928" s="66" t="s">
        <v>1649</v>
      </c>
      <c r="D1928" s="61">
        <v>56254</v>
      </c>
      <c r="E1928" s="62">
        <v>41961</v>
      </c>
      <c r="F1928" s="285"/>
    </row>
    <row r="1929" spans="1:256" ht="14.25" thickTop="1" thickBot="1">
      <c r="A1929" s="267" t="str">
        <f t="shared" si="80"/>
        <v>MARCELO MUNHOZ                           (Metal)</v>
      </c>
      <c r="B1929" s="68" t="s">
        <v>2406</v>
      </c>
      <c r="C1929" s="66" t="s">
        <v>3321</v>
      </c>
      <c r="D1929" s="61">
        <v>19513</v>
      </c>
      <c r="E1929" s="62">
        <v>43529</v>
      </c>
      <c r="F1929" s="285"/>
    </row>
    <row r="1930" spans="1:256" ht="14.25" thickTop="1" thickBot="1">
      <c r="A1930" s="267" t="str">
        <f t="shared" si="80"/>
        <v>MARCELO PEDROSO</v>
      </c>
      <c r="B1930" s="68" t="s">
        <v>62</v>
      </c>
      <c r="C1930" s="66" t="s">
        <v>2124</v>
      </c>
      <c r="D1930" s="61">
        <v>10385</v>
      </c>
      <c r="E1930" s="62">
        <v>42341</v>
      </c>
      <c r="F1930" s="285"/>
    </row>
    <row r="1931" spans="1:256" ht="14.25" thickTop="1" thickBot="1">
      <c r="A1931" s="267" t="str">
        <f t="shared" si="80"/>
        <v>MARCELO PEREIRA</v>
      </c>
      <c r="B1931" s="68" t="s">
        <v>2406</v>
      </c>
      <c r="C1931" s="77" t="s">
        <v>1488</v>
      </c>
      <c r="D1931" s="61">
        <v>10385</v>
      </c>
      <c r="E1931" s="70">
        <v>43539</v>
      </c>
      <c r="F1931" s="284"/>
    </row>
    <row r="1932" spans="1:256" ht="14.25" thickTop="1" thickBot="1">
      <c r="A1932" s="267" t="str">
        <f t="shared" si="80"/>
        <v>MARCELO PEREIRA</v>
      </c>
      <c r="B1932" s="68" t="s">
        <v>62</v>
      </c>
      <c r="C1932" s="66" t="s">
        <v>1488</v>
      </c>
      <c r="D1932" s="65">
        <v>11039</v>
      </c>
      <c r="E1932" s="70">
        <v>42523</v>
      </c>
      <c r="F1932" s="287"/>
    </row>
    <row r="1933" spans="1:256" ht="14.25" thickTop="1" thickBot="1">
      <c r="A1933" s="267" t="str">
        <f t="shared" ref="A1933:A1941" si="81">C1935</f>
        <v>MARCELO PINHEIRO PIRES</v>
      </c>
      <c r="B1933" s="68" t="s">
        <v>62</v>
      </c>
      <c r="C1933" s="77" t="s">
        <v>1488</v>
      </c>
      <c r="D1933" s="61">
        <v>10385</v>
      </c>
      <c r="E1933" s="62">
        <v>39938</v>
      </c>
      <c r="F1933" s="285"/>
    </row>
    <row r="1934" spans="1:256" ht="14.25" thickTop="1" thickBot="1">
      <c r="A1934" s="267" t="str">
        <f t="shared" si="81"/>
        <v>MARCELO PORFIRIO MARQUES</v>
      </c>
      <c r="B1934" s="68" t="s">
        <v>62</v>
      </c>
      <c r="C1934" s="64" t="s">
        <v>3083</v>
      </c>
      <c r="D1934" s="65">
        <v>63964</v>
      </c>
      <c r="E1934" s="62">
        <v>39335</v>
      </c>
      <c r="F1934" s="285"/>
    </row>
    <row r="1935" spans="1:256" ht="14.25" thickTop="1" thickBot="1">
      <c r="A1935" s="267" t="str">
        <f t="shared" si="81"/>
        <v xml:space="preserve">MARCELO RAMOS CARVALHO </v>
      </c>
      <c r="B1935" s="68" t="s">
        <v>62</v>
      </c>
      <c r="C1935" s="66" t="s">
        <v>582</v>
      </c>
      <c r="D1935" s="65">
        <v>63201</v>
      </c>
      <c r="E1935" s="62">
        <v>42240</v>
      </c>
      <c r="F1935" s="285"/>
    </row>
    <row r="1936" spans="1:256" ht="14.25" thickTop="1" thickBot="1">
      <c r="A1936" s="267" t="str">
        <f t="shared" si="81"/>
        <v>MARCELO RIBEIRO</v>
      </c>
      <c r="B1936" s="71" t="s">
        <v>1264</v>
      </c>
      <c r="C1936" s="66" t="s">
        <v>1334</v>
      </c>
      <c r="D1936" s="65">
        <v>63236</v>
      </c>
      <c r="E1936" s="70">
        <v>43329</v>
      </c>
      <c r="F1936" s="284"/>
    </row>
    <row r="1937" spans="1:7" ht="14.25" thickTop="1" thickBot="1">
      <c r="A1937" s="267" t="str">
        <f t="shared" si="81"/>
        <v>MARCELO RODRIGUES ASSUNÇÃO</v>
      </c>
      <c r="B1937" s="68" t="s">
        <v>62</v>
      </c>
      <c r="C1937" s="66" t="s">
        <v>410</v>
      </c>
      <c r="D1937" s="65">
        <v>33846</v>
      </c>
      <c r="E1937" s="62">
        <v>40772</v>
      </c>
      <c r="F1937" s="285"/>
    </row>
    <row r="1938" spans="1:7" ht="14.25" thickTop="1" thickBot="1">
      <c r="A1938" s="267" t="str">
        <f t="shared" si="81"/>
        <v>MARCELO STOCO</v>
      </c>
      <c r="B1938" s="68" t="s">
        <v>2347</v>
      </c>
      <c r="C1938" s="78" t="s">
        <v>2221</v>
      </c>
      <c r="D1938" s="170"/>
      <c r="E1938" s="62">
        <v>43346</v>
      </c>
      <c r="F1938" s="285"/>
    </row>
    <row r="1939" spans="1:7" ht="14.25" thickTop="1" thickBot="1">
      <c r="A1939" s="267" t="str">
        <f t="shared" si="81"/>
        <v>MARCELO STOCO</v>
      </c>
      <c r="B1939" s="68" t="s">
        <v>1860</v>
      </c>
      <c r="C1939" s="66" t="s">
        <v>114</v>
      </c>
      <c r="D1939" s="67"/>
      <c r="E1939" s="62"/>
      <c r="F1939" s="285"/>
    </row>
    <row r="1940" spans="1:7" ht="14.25" thickTop="1" thickBot="1">
      <c r="A1940" s="267" t="str">
        <f t="shared" si="81"/>
        <v>MARCELO TEIXEIRA</v>
      </c>
      <c r="B1940" s="68" t="s">
        <v>62</v>
      </c>
      <c r="C1940" s="60" t="s">
        <v>2276</v>
      </c>
      <c r="D1940" s="61">
        <v>143697</v>
      </c>
      <c r="E1940" s="62">
        <v>42321</v>
      </c>
      <c r="F1940" s="285"/>
    </row>
    <row r="1941" spans="1:7" ht="14.25" thickTop="1" thickBot="1">
      <c r="A1941" s="267" t="str">
        <f t="shared" si="81"/>
        <v>MARCELO ZACRESKA</v>
      </c>
      <c r="B1941" s="68" t="s">
        <v>62</v>
      </c>
      <c r="C1941" s="66" t="s">
        <v>2276</v>
      </c>
      <c r="D1941" s="61">
        <v>143697</v>
      </c>
      <c r="E1941" s="62">
        <v>41757</v>
      </c>
      <c r="F1941" s="285"/>
    </row>
    <row r="1942" spans="1:7" ht="14.25" thickTop="1" thickBot="1">
      <c r="A1942" s="267"/>
      <c r="B1942" s="68" t="s">
        <v>1522</v>
      </c>
      <c r="C1942" s="66" t="s">
        <v>3523</v>
      </c>
      <c r="D1942" s="61">
        <v>133577</v>
      </c>
      <c r="E1942" s="62">
        <v>44054</v>
      </c>
      <c r="F1942" s="285"/>
    </row>
    <row r="1943" spans="1:7" ht="14.25" thickTop="1" thickBot="1">
      <c r="A1943" s="267"/>
      <c r="B1943" s="68" t="s">
        <v>15</v>
      </c>
      <c r="C1943" s="66" t="s">
        <v>1489</v>
      </c>
      <c r="D1943" s="67"/>
      <c r="E1943" s="70">
        <v>42488</v>
      </c>
      <c r="F1943" s="284"/>
    </row>
    <row r="1944" spans="1:7" ht="14.25" thickTop="1" thickBot="1">
      <c r="A1944" s="267" t="str">
        <f>C1946</f>
        <v>MARCIO ADRIANO RODRIGUES DOS SANTOS    (Bolacha)</v>
      </c>
      <c r="B1944" s="68" t="s">
        <v>62</v>
      </c>
      <c r="C1944" s="66" t="s">
        <v>1499</v>
      </c>
      <c r="D1944" s="67"/>
      <c r="E1944" s="62">
        <v>40679</v>
      </c>
      <c r="F1944" s="285"/>
    </row>
    <row r="1945" spans="1:7" ht="14.25" thickTop="1" thickBot="1">
      <c r="A1945" s="267" t="str">
        <f>C1947</f>
        <v>MARCIO ADRIANO STOCCO</v>
      </c>
      <c r="B1945" s="61" t="s">
        <v>2413</v>
      </c>
      <c r="C1945" s="66" t="s">
        <v>1492</v>
      </c>
      <c r="D1945" s="67"/>
      <c r="E1945" s="62">
        <v>43539</v>
      </c>
      <c r="F1945" s="284"/>
    </row>
    <row r="1946" spans="1:7" s="38" customFormat="1" ht="14.25" thickTop="1" thickBot="1">
      <c r="A1946" s="267" t="str">
        <f>C1948</f>
        <v>MARCIO ALEXANDRE BARBOSA</v>
      </c>
      <c r="B1946" s="68" t="s">
        <v>62</v>
      </c>
      <c r="C1946" s="66" t="s">
        <v>3084</v>
      </c>
      <c r="D1946" s="65">
        <v>63322</v>
      </c>
      <c r="E1946" s="62">
        <v>42551</v>
      </c>
      <c r="F1946" s="285"/>
      <c r="G1946" s="41"/>
    </row>
    <row r="1947" spans="1:7" s="38" customFormat="1" ht="14.25" thickTop="1" thickBot="1">
      <c r="A1947" s="267"/>
      <c r="B1947" s="68"/>
      <c r="C1947" s="332" t="s">
        <v>800</v>
      </c>
      <c r="D1947" s="334">
        <v>2531</v>
      </c>
      <c r="E1947" s="70"/>
      <c r="F1947" s="284"/>
      <c r="G1947" s="41"/>
    </row>
    <row r="1948" spans="1:7" s="38" customFormat="1" ht="14.25" thickTop="1" thickBot="1">
      <c r="A1948" s="267" t="str">
        <f t="shared" ref="A1948:A1956" si="82">C1950</f>
        <v>MARCIO ANTONIO PINHEIRO</v>
      </c>
      <c r="B1948" s="68" t="s">
        <v>1033</v>
      </c>
      <c r="C1948" s="60" t="s">
        <v>1981</v>
      </c>
      <c r="D1948" s="61">
        <v>111743</v>
      </c>
      <c r="E1948" s="62">
        <v>41044</v>
      </c>
      <c r="F1948" s="296"/>
      <c r="G1948" s="41"/>
    </row>
    <row r="1949" spans="1:7" s="38" customFormat="1" ht="14.25" thickTop="1" thickBot="1">
      <c r="A1949" s="267" t="str">
        <f t="shared" si="82"/>
        <v>MARCIO ANTONIO PINHEIRO                    (Shangrila)</v>
      </c>
      <c r="B1949" s="68" t="s">
        <v>2347</v>
      </c>
      <c r="C1949" s="64" t="s">
        <v>3085</v>
      </c>
      <c r="D1949" s="65">
        <v>63890</v>
      </c>
      <c r="E1949" s="62">
        <v>43346</v>
      </c>
      <c r="F1949" s="285"/>
      <c r="G1949" s="41"/>
    </row>
    <row r="1950" spans="1:7" s="38" customFormat="1" ht="14.25" thickTop="1" thickBot="1">
      <c r="A1950" s="267" t="str">
        <f t="shared" si="82"/>
        <v>MARCIO AURÉLIO MELO XAVIER</v>
      </c>
      <c r="B1950" s="68" t="s">
        <v>62</v>
      </c>
      <c r="C1950" s="66" t="s">
        <v>190</v>
      </c>
      <c r="D1950" s="61">
        <v>52534</v>
      </c>
      <c r="E1950" s="62">
        <v>42837</v>
      </c>
      <c r="F1950" s="296"/>
      <c r="G1950" s="41"/>
    </row>
    <row r="1951" spans="1:7" s="38" customFormat="1" ht="14.25" thickTop="1" thickBot="1">
      <c r="A1951" s="267" t="str">
        <f t="shared" si="82"/>
        <v>MARCIO CLETER DE OLIVEIRA</v>
      </c>
      <c r="B1951" s="68" t="s">
        <v>62</v>
      </c>
      <c r="C1951" s="66" t="s">
        <v>3320</v>
      </c>
      <c r="D1951" s="61">
        <v>63890</v>
      </c>
      <c r="E1951" s="62">
        <v>40231</v>
      </c>
      <c r="F1951" s="285"/>
      <c r="G1951" s="41"/>
    </row>
    <row r="1952" spans="1:7" s="38" customFormat="1" ht="14.25" thickTop="1" thickBot="1">
      <c r="A1952" s="267" t="str">
        <f t="shared" si="82"/>
        <v>MARCIO COSTA MIRANDA</v>
      </c>
      <c r="B1952" s="68" t="s">
        <v>62</v>
      </c>
      <c r="C1952" s="66" t="s">
        <v>1675</v>
      </c>
      <c r="D1952" s="178">
        <v>68930</v>
      </c>
      <c r="E1952" s="70">
        <v>42489</v>
      </c>
      <c r="F1952" s="284"/>
      <c r="G1952" s="41"/>
    </row>
    <row r="1953" spans="1:7" s="38" customFormat="1" ht="14.25" thickTop="1" thickBot="1">
      <c r="A1953" s="267" t="str">
        <f t="shared" si="82"/>
        <v>MARCIO DA SILVA</v>
      </c>
      <c r="B1953" s="68" t="s">
        <v>62</v>
      </c>
      <c r="C1953" s="66" t="s">
        <v>84</v>
      </c>
      <c r="D1953" s="61">
        <v>63326</v>
      </c>
      <c r="E1953" s="62">
        <v>39398</v>
      </c>
      <c r="F1953" s="285"/>
      <c r="G1953" s="41"/>
    </row>
    <row r="1954" spans="1:7" s="38" customFormat="1" ht="14.25" thickTop="1" thickBot="1">
      <c r="A1954" s="267" t="str">
        <f t="shared" si="82"/>
        <v>MARCIO DARCI BUENO</v>
      </c>
      <c r="B1954" s="68" t="s">
        <v>62</v>
      </c>
      <c r="C1954" s="66" t="s">
        <v>813</v>
      </c>
      <c r="D1954" s="65">
        <v>11189</v>
      </c>
      <c r="E1954" s="62">
        <v>39909</v>
      </c>
      <c r="F1954" s="285"/>
      <c r="G1954" s="41"/>
    </row>
    <row r="1955" spans="1:7" s="38" customFormat="1" ht="14.25" thickTop="1" thickBot="1">
      <c r="A1955" s="267" t="str">
        <f t="shared" si="82"/>
        <v>MARCIO DE CARVALHO</v>
      </c>
      <c r="B1955" s="68" t="s">
        <v>62</v>
      </c>
      <c r="C1955" s="66" t="s">
        <v>619</v>
      </c>
      <c r="D1955" s="65"/>
      <c r="E1955" s="70">
        <v>42326</v>
      </c>
      <c r="F1955" s="284"/>
      <c r="G1955" s="41"/>
    </row>
    <row r="1956" spans="1:7" s="38" customFormat="1" ht="14.25" thickTop="1" thickBot="1">
      <c r="A1956" s="267" t="str">
        <f t="shared" si="82"/>
        <v>MARCIO DE FREITAS</v>
      </c>
      <c r="B1956" s="68" t="s">
        <v>62</v>
      </c>
      <c r="C1956" s="64" t="s">
        <v>930</v>
      </c>
      <c r="D1956" s="67"/>
      <c r="E1956" s="62">
        <v>40856</v>
      </c>
      <c r="F1956" s="285"/>
      <c r="G1956" s="41"/>
    </row>
    <row r="1957" spans="1:7" s="38" customFormat="1" ht="14.25" thickTop="1" thickBot="1">
      <c r="A1957" s="267" t="s">
        <v>2619</v>
      </c>
      <c r="B1957" s="68" t="s">
        <v>62</v>
      </c>
      <c r="C1957" s="64" t="s">
        <v>411</v>
      </c>
      <c r="D1957" s="65">
        <v>63723</v>
      </c>
      <c r="E1957" s="62">
        <v>42391</v>
      </c>
      <c r="F1957" s="287"/>
      <c r="G1957" s="41"/>
    </row>
    <row r="1958" spans="1:7" s="38" customFormat="1" ht="14.25" thickTop="1" thickBot="1">
      <c r="A1958" s="267"/>
      <c r="B1958" s="68"/>
      <c r="C1958" s="60" t="s">
        <v>2441</v>
      </c>
      <c r="D1958" s="61">
        <v>151777</v>
      </c>
      <c r="E1958" s="62">
        <v>43978</v>
      </c>
      <c r="F1958" s="285" t="s">
        <v>2406</v>
      </c>
      <c r="G1958" s="41"/>
    </row>
    <row r="1959" spans="1:7" s="38" customFormat="1" ht="14.25" thickTop="1" thickBot="1">
      <c r="A1959" s="267" t="str">
        <f>C1961</f>
        <v>MARCIO FARIA DOS SANTOS</v>
      </c>
      <c r="B1959" s="68" t="s">
        <v>2413</v>
      </c>
      <c r="C1959" s="66" t="s">
        <v>631</v>
      </c>
      <c r="D1959" s="61">
        <v>102104</v>
      </c>
      <c r="E1959" s="62">
        <v>43529</v>
      </c>
      <c r="F1959" s="285"/>
      <c r="G1959" s="41"/>
    </row>
    <row r="1960" spans="1:7" s="38" customFormat="1" ht="14.25" thickTop="1" thickBot="1">
      <c r="A1960" s="271" t="s">
        <v>2121</v>
      </c>
      <c r="B1960" s="68" t="s">
        <v>62</v>
      </c>
      <c r="C1960" s="66" t="s">
        <v>548</v>
      </c>
      <c r="D1960" s="65">
        <v>8060</v>
      </c>
      <c r="E1960" s="62">
        <v>39478</v>
      </c>
      <c r="F1960" s="285"/>
      <c r="G1960" s="41"/>
    </row>
    <row r="1961" spans="1:7" s="38" customFormat="1" ht="14.25" thickTop="1" thickBot="1">
      <c r="A1961" s="267" t="str">
        <f>C1963</f>
        <v>MARCIO INACIO VIEIRA</v>
      </c>
      <c r="B1961" s="68" t="s">
        <v>2593</v>
      </c>
      <c r="C1961" s="66" t="s">
        <v>2619</v>
      </c>
      <c r="D1961" s="61">
        <v>127470</v>
      </c>
      <c r="E1961" s="62">
        <v>43524</v>
      </c>
      <c r="F1961" s="285"/>
      <c r="G1961" s="41"/>
    </row>
    <row r="1962" spans="1:7" s="38" customFormat="1" ht="14.25" thickTop="1" thickBot="1">
      <c r="A1962" s="267" t="str">
        <f>C1964</f>
        <v>MARCIO JOSE BONNET DE AMORIM</v>
      </c>
      <c r="B1962" s="68" t="s">
        <v>62</v>
      </c>
      <c r="C1962" s="64" t="s">
        <v>412</v>
      </c>
      <c r="D1962" s="67"/>
      <c r="E1962" s="62">
        <v>42703</v>
      </c>
      <c r="F1962" s="285"/>
      <c r="G1962" s="41"/>
    </row>
    <row r="1963" spans="1:7" s="38" customFormat="1" ht="14.25" thickTop="1" thickBot="1">
      <c r="A1963" s="267" t="str">
        <f>C1965</f>
        <v>MARCIO JOSE CAMARGO</v>
      </c>
      <c r="B1963" s="68" t="s">
        <v>62</v>
      </c>
      <c r="C1963" s="60" t="s">
        <v>2121</v>
      </c>
      <c r="D1963" s="61">
        <v>104039</v>
      </c>
      <c r="E1963" s="62">
        <v>41971</v>
      </c>
      <c r="F1963" s="285"/>
      <c r="G1963" s="41"/>
    </row>
    <row r="1964" spans="1:7" s="38" customFormat="1" ht="14.25" thickTop="1" thickBot="1">
      <c r="A1964" s="267"/>
      <c r="B1964" s="68" t="s">
        <v>2406</v>
      </c>
      <c r="C1964" s="60" t="s">
        <v>2677</v>
      </c>
      <c r="D1964" s="61">
        <v>103323</v>
      </c>
      <c r="E1964" s="62">
        <v>44036</v>
      </c>
      <c r="F1964" s="285"/>
      <c r="G1964" s="41"/>
    </row>
    <row r="1965" spans="1:7" s="38" customFormat="1" ht="14.25" thickTop="1" thickBot="1">
      <c r="A1965" s="267" t="str">
        <f t="shared" ref="A1965:A1970" si="83">C1967</f>
        <v>MARCIO JOSÉ DOS SANTOS</v>
      </c>
      <c r="B1965" s="68" t="s">
        <v>62</v>
      </c>
      <c r="C1965" s="64" t="s">
        <v>413</v>
      </c>
      <c r="D1965" s="67"/>
      <c r="E1965" s="62">
        <v>41417</v>
      </c>
      <c r="F1965" s="285"/>
      <c r="G1965" s="41"/>
    </row>
    <row r="1966" spans="1:7" s="38" customFormat="1" ht="14.25" thickTop="1" thickBot="1">
      <c r="A1966" s="267" t="str">
        <f t="shared" si="83"/>
        <v>MARCIO JOSE PINTO RIBEIRO</v>
      </c>
      <c r="B1966" s="68" t="s">
        <v>1033</v>
      </c>
      <c r="C1966" s="66" t="s">
        <v>414</v>
      </c>
      <c r="D1966" s="61">
        <v>63975</v>
      </c>
      <c r="E1966" s="62">
        <v>42108</v>
      </c>
      <c r="F1966" s="285"/>
      <c r="G1966" s="41"/>
    </row>
    <row r="1967" spans="1:7" s="38" customFormat="1" ht="14.25" thickTop="1" thickBot="1">
      <c r="A1967" s="267" t="str">
        <f t="shared" si="83"/>
        <v>MARCIO JOSE RIBEIRO</v>
      </c>
      <c r="B1967" s="68" t="s">
        <v>62</v>
      </c>
      <c r="C1967" s="66" t="s">
        <v>1652</v>
      </c>
      <c r="D1967" s="65">
        <v>27001</v>
      </c>
      <c r="E1967" s="70">
        <v>42769</v>
      </c>
      <c r="F1967" s="284"/>
      <c r="G1967" s="41"/>
    </row>
    <row r="1968" spans="1:7" s="38" customFormat="1" ht="14.25" thickTop="1" thickBot="1">
      <c r="A1968" s="267" t="str">
        <f t="shared" si="83"/>
        <v>MARCIO LOPES FERREIRA</v>
      </c>
      <c r="B1968" s="68" t="s">
        <v>634</v>
      </c>
      <c r="C1968" s="64" t="s">
        <v>1441</v>
      </c>
      <c r="D1968" s="69">
        <v>63094</v>
      </c>
      <c r="E1968" s="62">
        <v>41960</v>
      </c>
      <c r="F1968" s="285"/>
      <c r="G1968" s="41"/>
    </row>
    <row r="1969" spans="1:7" s="38" customFormat="1" ht="14.25" thickTop="1" thickBot="1">
      <c r="A1969" s="267" t="str">
        <f t="shared" si="83"/>
        <v>MARCIO LUIZ CAMPOS ALVES</v>
      </c>
      <c r="B1969" s="68" t="s">
        <v>62</v>
      </c>
      <c r="C1969" s="66" t="s">
        <v>49</v>
      </c>
      <c r="D1969" s="65"/>
      <c r="E1969" s="70">
        <v>42328</v>
      </c>
      <c r="F1969" s="284"/>
      <c r="G1969" s="41"/>
    </row>
    <row r="1970" spans="1:7" s="38" customFormat="1" ht="14.25" thickTop="1" thickBot="1">
      <c r="A1970" s="267" t="str">
        <f t="shared" si="83"/>
        <v>MARCIO LUIZ CAMPOS ALVES</v>
      </c>
      <c r="B1970" s="68" t="s">
        <v>62</v>
      </c>
      <c r="C1970" s="64" t="s">
        <v>416</v>
      </c>
      <c r="D1970" s="61">
        <v>10368</v>
      </c>
      <c r="E1970" s="62">
        <v>43648</v>
      </c>
      <c r="F1970" s="285"/>
      <c r="G1970" s="41"/>
    </row>
    <row r="1971" spans="1:7" s="38" customFormat="1" ht="14.25" thickTop="1" thickBot="1">
      <c r="A1971" s="267"/>
      <c r="B1971" s="67" t="s">
        <v>1522</v>
      </c>
      <c r="C1971" s="66" t="s">
        <v>65</v>
      </c>
      <c r="D1971" s="61">
        <v>63653</v>
      </c>
      <c r="E1971" s="70">
        <v>42922</v>
      </c>
      <c r="F1971" s="284"/>
      <c r="G1971" s="41"/>
    </row>
    <row r="1972" spans="1:7" s="38" customFormat="1" ht="14.25" thickTop="1" thickBot="1">
      <c r="A1972" s="267" t="str">
        <f>C1974</f>
        <v>MARCIO ROBERTO SOARES DO NASCIMENTO    (Peruca)</v>
      </c>
      <c r="B1972" s="68" t="s">
        <v>62</v>
      </c>
      <c r="C1972" s="66" t="s">
        <v>65</v>
      </c>
      <c r="D1972" s="61">
        <v>10368</v>
      </c>
      <c r="E1972" s="62">
        <v>42342</v>
      </c>
      <c r="F1972" s="285"/>
      <c r="G1972" s="41"/>
    </row>
    <row r="1973" spans="1:7" s="38" customFormat="1" ht="14.25" thickTop="1" thickBot="1">
      <c r="A1973" s="267" t="str">
        <f>C1975</f>
        <v>MARCIO RODRIGO RIBEIRO CAMARGO</v>
      </c>
      <c r="B1973" s="68" t="s">
        <v>62</v>
      </c>
      <c r="C1973" s="66" t="s">
        <v>418</v>
      </c>
      <c r="D1973" s="61">
        <v>5086</v>
      </c>
      <c r="E1973" s="70">
        <v>42664</v>
      </c>
      <c r="F1973" s="284"/>
      <c r="G1973" s="41"/>
    </row>
    <row r="1974" spans="1:7" s="38" customFormat="1" ht="14.25" thickTop="1" thickBot="1">
      <c r="A1974" s="267"/>
      <c r="B1974" s="68" t="s">
        <v>62</v>
      </c>
      <c r="C1974" s="66" t="s">
        <v>3086</v>
      </c>
      <c r="D1974" s="61">
        <v>27003</v>
      </c>
      <c r="E1974" s="62">
        <v>40044</v>
      </c>
      <c r="F1974" s="285"/>
      <c r="G1974" s="41"/>
    </row>
    <row r="1975" spans="1:7" s="38" customFormat="1" ht="14.25" thickTop="1" thickBot="1">
      <c r="A1975" s="267" t="str">
        <f>C1977</f>
        <v>MARCIO RODRIGO RIBEIRO CAMARGO</v>
      </c>
      <c r="B1975" s="68" t="s">
        <v>62</v>
      </c>
      <c r="C1975" s="66" t="s">
        <v>1357</v>
      </c>
      <c r="D1975" s="67"/>
      <c r="E1975" s="70">
        <v>43077</v>
      </c>
      <c r="F1975" s="284"/>
      <c r="G1975" s="41"/>
    </row>
    <row r="1976" spans="1:7" s="38" customFormat="1" ht="14.25" thickTop="1" thickBot="1">
      <c r="A1976" s="267" t="str">
        <f>C1978</f>
        <v>MARCIO TIAGO PATEK</v>
      </c>
      <c r="B1976" s="68" t="s">
        <v>62</v>
      </c>
      <c r="C1976" s="66" t="s">
        <v>1357</v>
      </c>
      <c r="D1976" s="65">
        <v>27003</v>
      </c>
      <c r="E1976" s="62">
        <v>39993</v>
      </c>
      <c r="F1976" s="285"/>
      <c r="G1976" s="41"/>
    </row>
    <row r="1977" spans="1:7" s="38" customFormat="1" ht="14.25" thickTop="1" thickBot="1">
      <c r="A1977" s="267"/>
      <c r="B1977" s="68" t="s">
        <v>2413</v>
      </c>
      <c r="C1977" s="131" t="s">
        <v>1357</v>
      </c>
      <c r="D1977" s="477">
        <v>27003</v>
      </c>
      <c r="E1977" s="62">
        <v>43846</v>
      </c>
      <c r="F1977" s="285"/>
      <c r="G1977" s="41"/>
    </row>
    <row r="1978" spans="1:7" s="38" customFormat="1" ht="14.25" thickTop="1" thickBot="1">
      <c r="A1978" s="267" t="str">
        <f t="shared" ref="A1978:A1985" si="84">C1980</f>
        <v>MARCO ALZIRO FERREIRA DE SOUZA    (Polaco)</v>
      </c>
      <c r="B1978" s="68" t="s">
        <v>62</v>
      </c>
      <c r="C1978" s="66" t="s">
        <v>1040</v>
      </c>
      <c r="D1978" s="61">
        <v>101402</v>
      </c>
      <c r="E1978" s="62">
        <v>41789</v>
      </c>
      <c r="F1978" s="285"/>
      <c r="G1978" s="41"/>
    </row>
    <row r="1979" spans="1:7" s="38" customFormat="1" ht="14.25" thickTop="1" thickBot="1">
      <c r="A1979" s="267" t="str">
        <f t="shared" si="84"/>
        <v>MARCO ANTONIO DA SILVA</v>
      </c>
      <c r="B1979" s="68" t="s">
        <v>62</v>
      </c>
      <c r="C1979" s="64" t="s">
        <v>1493</v>
      </c>
      <c r="D1979" s="61">
        <v>122965</v>
      </c>
      <c r="E1979" s="115">
        <v>41551</v>
      </c>
      <c r="F1979" s="288" t="s">
        <v>757</v>
      </c>
      <c r="G1979" s="41"/>
    </row>
    <row r="1980" spans="1:7" s="38" customFormat="1" ht="14.25" thickTop="1" thickBot="1">
      <c r="A1980" s="267" t="str">
        <f t="shared" si="84"/>
        <v>MARCO ANTONIO MENDONÇA</v>
      </c>
      <c r="B1980" s="68" t="s">
        <v>62</v>
      </c>
      <c r="C1980" s="66" t="s">
        <v>3087</v>
      </c>
      <c r="D1980" s="65">
        <v>27158</v>
      </c>
      <c r="E1980" s="62">
        <v>40326</v>
      </c>
      <c r="F1980" s="285"/>
      <c r="G1980" s="41"/>
    </row>
    <row r="1981" spans="1:7" s="38" customFormat="1" ht="14.25" thickTop="1" thickBot="1">
      <c r="A1981" s="267" t="str">
        <f t="shared" si="84"/>
        <v>MARCO AURELIO AMADOR                          (Buiu)</v>
      </c>
      <c r="B1981" s="68" t="s">
        <v>62</v>
      </c>
      <c r="C1981" s="66" t="s">
        <v>711</v>
      </c>
      <c r="D1981" s="67"/>
      <c r="E1981" s="62">
        <v>42485</v>
      </c>
      <c r="F1981" s="285"/>
      <c r="G1981" s="41"/>
    </row>
    <row r="1982" spans="1:7" s="38" customFormat="1" ht="14.25" thickTop="1" thickBot="1">
      <c r="A1982" s="272" t="str">
        <f t="shared" si="84"/>
        <v>MARCO AURELIO ROBERTI LEMES</v>
      </c>
      <c r="B1982" s="68" t="s">
        <v>62</v>
      </c>
      <c r="C1982" s="66" t="s">
        <v>1494</v>
      </c>
      <c r="D1982" s="65">
        <v>55726</v>
      </c>
      <c r="E1982" s="62">
        <v>41255</v>
      </c>
      <c r="F1982" s="285"/>
      <c r="G1982" s="41"/>
    </row>
    <row r="1983" spans="1:7" s="38" customFormat="1" ht="18" thickTop="1" thickBot="1">
      <c r="A1983" s="267" t="str">
        <f t="shared" si="84"/>
        <v xml:space="preserve">MARCO AURELIO TABOR   </v>
      </c>
      <c r="B1983" s="68" t="s">
        <v>62</v>
      </c>
      <c r="C1983" s="64" t="s">
        <v>3319</v>
      </c>
      <c r="D1983" s="69">
        <v>46173</v>
      </c>
      <c r="E1983" s="70">
        <v>42523</v>
      </c>
      <c r="F1983" s="287"/>
      <c r="G1983" s="41"/>
    </row>
    <row r="1984" spans="1:7" s="38" customFormat="1" ht="14.25" thickTop="1" thickBot="1">
      <c r="A1984" s="267" t="str">
        <f t="shared" si="84"/>
        <v>MARCOS ACACIO NASCIMENTO</v>
      </c>
      <c r="B1984" s="68" t="s">
        <v>62</v>
      </c>
      <c r="C1984" s="66" t="s">
        <v>1283</v>
      </c>
      <c r="D1984" s="67"/>
      <c r="E1984" s="70">
        <v>42919</v>
      </c>
      <c r="F1984" s="284"/>
      <c r="G1984" s="41"/>
    </row>
    <row r="1985" spans="1:7" s="38" customFormat="1" ht="14.25" thickTop="1" thickBot="1">
      <c r="A1985" s="267" t="str">
        <f t="shared" si="84"/>
        <v>MARCOS ADRIANO BRANCO</v>
      </c>
      <c r="B1985" s="89" t="s">
        <v>62</v>
      </c>
      <c r="C1985" s="64" t="s">
        <v>419</v>
      </c>
      <c r="D1985" s="65">
        <v>63627</v>
      </c>
      <c r="E1985" s="70">
        <v>42416</v>
      </c>
      <c r="F1985" s="287"/>
      <c r="G1985" s="41"/>
    </row>
    <row r="1986" spans="1:7" s="38" customFormat="1" ht="14.25" thickTop="1" thickBot="1">
      <c r="A1986" s="267" t="str">
        <f>C1989</f>
        <v>MARCOS AGOSTINHO DE SOUSA</v>
      </c>
      <c r="B1986" s="68" t="s">
        <v>62</v>
      </c>
      <c r="C1986" s="66" t="s">
        <v>420</v>
      </c>
      <c r="D1986" s="61">
        <v>101636</v>
      </c>
      <c r="E1986" s="62">
        <v>39875</v>
      </c>
      <c r="F1986" s="285"/>
      <c r="G1986" s="41"/>
    </row>
    <row r="1987" spans="1:7" s="38" customFormat="1" ht="14.25" thickTop="1" thickBot="1">
      <c r="A1987" s="274" t="s">
        <v>65</v>
      </c>
      <c r="B1987" s="68" t="s">
        <v>62</v>
      </c>
      <c r="C1987" s="66" t="s">
        <v>1594</v>
      </c>
      <c r="D1987" s="65">
        <v>58398</v>
      </c>
      <c r="E1987" s="62">
        <v>42389</v>
      </c>
      <c r="F1987" s="285"/>
      <c r="G1987" s="41"/>
    </row>
    <row r="1988" spans="1:7" s="38" customFormat="1" ht="14.25" thickTop="1" thickBot="1">
      <c r="A1988" s="267" t="str">
        <f>C1991</f>
        <v>MARCOS ALEXANDRE SOARES</v>
      </c>
      <c r="B1988" s="80" t="s">
        <v>2773</v>
      </c>
      <c r="C1988" s="66" t="s">
        <v>3318</v>
      </c>
      <c r="D1988" s="69">
        <v>101024</v>
      </c>
      <c r="E1988" s="156" t="s">
        <v>2774</v>
      </c>
      <c r="F1988" s="289"/>
      <c r="G1988" s="41"/>
    </row>
    <row r="1989" spans="1:7" s="38" customFormat="1" ht="14.25" thickTop="1" thickBot="1">
      <c r="A1989" s="267" t="str">
        <f>C1992</f>
        <v>MARCOS ANTONIO ALVES</v>
      </c>
      <c r="B1989" s="68" t="s">
        <v>62</v>
      </c>
      <c r="C1989" s="66" t="s">
        <v>1717</v>
      </c>
      <c r="D1989" s="61">
        <v>108493</v>
      </c>
      <c r="E1989" s="70">
        <v>42909</v>
      </c>
      <c r="F1989" s="284"/>
      <c r="G1989" s="41"/>
    </row>
    <row r="1990" spans="1:7" s="38" customFormat="1" ht="14.25" thickTop="1" thickBot="1">
      <c r="A1990" s="267" t="str">
        <f>C1992</f>
        <v>MARCOS ANTONIO ALVES</v>
      </c>
      <c r="B1990" s="68" t="s">
        <v>62</v>
      </c>
      <c r="C1990" s="66" t="s">
        <v>3317</v>
      </c>
      <c r="D1990" s="67"/>
      <c r="E1990" s="62">
        <v>40253</v>
      </c>
      <c r="F1990" s="285"/>
      <c r="G1990" s="41"/>
    </row>
    <row r="1991" spans="1:7" s="38" customFormat="1" ht="14.25" thickTop="1" thickBot="1">
      <c r="A1991" s="267" t="s">
        <v>2844</v>
      </c>
      <c r="B1991" s="68" t="s">
        <v>1812</v>
      </c>
      <c r="C1991" s="66" t="s">
        <v>2311</v>
      </c>
      <c r="D1991" s="61">
        <v>109638</v>
      </c>
      <c r="E1991" s="70">
        <v>44085</v>
      </c>
      <c r="F1991" s="284"/>
      <c r="G1991" s="41"/>
    </row>
    <row r="1992" spans="1:7" s="38" customFormat="1" ht="14.25" thickTop="1" thickBot="1">
      <c r="A1992" s="267" t="str">
        <f t="shared" ref="A1992:A2008" si="85">C1994</f>
        <v>MARCOS ANTONIO DA SILVA</v>
      </c>
      <c r="B1992" s="68" t="s">
        <v>1665</v>
      </c>
      <c r="C1992" s="66" t="s">
        <v>421</v>
      </c>
      <c r="D1992" s="67"/>
      <c r="E1992" s="62">
        <v>42914</v>
      </c>
      <c r="F1992" s="285"/>
      <c r="G1992" s="41"/>
    </row>
    <row r="1993" spans="1:7" s="38" customFormat="1" ht="14.25" thickTop="1" thickBot="1">
      <c r="A1993" s="267" t="str">
        <f t="shared" si="85"/>
        <v>MARCOS ANTONIO DOROSXI</v>
      </c>
      <c r="B1993" s="68" t="s">
        <v>62</v>
      </c>
      <c r="C1993" s="66" t="s">
        <v>3088</v>
      </c>
      <c r="D1993" s="61">
        <v>27158</v>
      </c>
      <c r="E1993" s="62">
        <v>40161</v>
      </c>
      <c r="F1993" s="285"/>
      <c r="G1993" s="41"/>
    </row>
    <row r="1994" spans="1:7" s="38" customFormat="1" ht="14.25" thickTop="1" thickBot="1">
      <c r="A1994" s="267" t="str">
        <f t="shared" si="85"/>
        <v>MARCOS ANTONIO DOS SANTOS</v>
      </c>
      <c r="B1994" s="68" t="s">
        <v>62</v>
      </c>
      <c r="C1994" s="66" t="s">
        <v>1650</v>
      </c>
      <c r="D1994" s="61">
        <v>101901</v>
      </c>
      <c r="E1994" s="62">
        <v>41773</v>
      </c>
      <c r="F1994" s="285"/>
      <c r="G1994" s="41"/>
    </row>
    <row r="1995" spans="1:7" s="38" customFormat="1" ht="14.25" thickTop="1" thickBot="1">
      <c r="A1995" s="267" t="str">
        <f t="shared" si="85"/>
        <v>MARCOS ANTONIO KUBINSKI</v>
      </c>
      <c r="B1995" s="68" t="s">
        <v>1306</v>
      </c>
      <c r="C1995" s="66" t="s">
        <v>1224</v>
      </c>
      <c r="D1995" s="65"/>
      <c r="E1995" s="62">
        <v>42914</v>
      </c>
      <c r="F1995" s="285"/>
      <c r="G1995" s="41"/>
    </row>
    <row r="1996" spans="1:7" s="38" customFormat="1" ht="14.25" thickTop="1" thickBot="1">
      <c r="A1996" s="267" t="str">
        <f t="shared" si="85"/>
        <v>MARCOS ANTONIO MANDU</v>
      </c>
      <c r="B1996" s="68" t="s">
        <v>62</v>
      </c>
      <c r="C1996" s="66" t="s">
        <v>1468</v>
      </c>
      <c r="D1996" s="61">
        <v>53552</v>
      </c>
      <c r="E1996" s="62">
        <v>40893</v>
      </c>
      <c r="F1996" s="285"/>
      <c r="G1996" s="41"/>
    </row>
    <row r="1997" spans="1:7" s="38" customFormat="1" ht="14.25" thickTop="1" thickBot="1">
      <c r="A1997" s="267" t="str">
        <f t="shared" si="85"/>
        <v>MARCOS ANTONIO REVELIM                         (Jabá)</v>
      </c>
      <c r="B1997" s="68" t="s">
        <v>1033</v>
      </c>
      <c r="C1997" s="66" t="s">
        <v>422</v>
      </c>
      <c r="D1997" s="61">
        <v>47134</v>
      </c>
      <c r="E1997" s="62">
        <v>40550</v>
      </c>
      <c r="F1997" s="285"/>
      <c r="G1997" s="41"/>
    </row>
    <row r="1998" spans="1:7" s="38" customFormat="1" ht="14.25" thickTop="1" thickBot="1">
      <c r="A1998" s="267" t="str">
        <f t="shared" si="85"/>
        <v>MARCOS ANTONIO SIQUEIRA</v>
      </c>
      <c r="B1998" s="68" t="s">
        <v>62</v>
      </c>
      <c r="C1998" s="66" t="s">
        <v>770</v>
      </c>
      <c r="D1998" s="65">
        <v>25508</v>
      </c>
      <c r="E1998" s="70">
        <v>42283</v>
      </c>
      <c r="F1998" s="284"/>
      <c r="G1998" s="41"/>
    </row>
    <row r="1999" spans="1:7" s="38" customFormat="1" ht="14.25" thickTop="1" thickBot="1">
      <c r="A1999" s="267" t="str">
        <f t="shared" si="85"/>
        <v>MARCOS ASSPUNÇÃO TAQUES    (Assunção / Jeca)</v>
      </c>
      <c r="B1999" s="68" t="s">
        <v>62</v>
      </c>
      <c r="C1999" s="66" t="s">
        <v>3316</v>
      </c>
      <c r="D1999" s="61">
        <v>27095</v>
      </c>
      <c r="E1999" s="62">
        <v>42101</v>
      </c>
      <c r="F1999" s="285"/>
      <c r="G1999" s="41"/>
    </row>
    <row r="2000" spans="1:7" s="38" customFormat="1" ht="14.25" thickTop="1" thickBot="1">
      <c r="A2000" s="267" t="str">
        <f t="shared" si="85"/>
        <v>MARCOS ASSUMPÇÃO TAQUES</v>
      </c>
      <c r="B2000" s="68" t="s">
        <v>2347</v>
      </c>
      <c r="C2000" s="66" t="s">
        <v>734</v>
      </c>
      <c r="D2000" s="65">
        <v>50545</v>
      </c>
      <c r="E2000" s="62">
        <v>43346</v>
      </c>
      <c r="F2000" s="285"/>
      <c r="G2000" s="41"/>
    </row>
    <row r="2001" spans="1:7" s="38" customFormat="1" ht="14.25" thickTop="1" thickBot="1">
      <c r="A2001" s="267" t="str">
        <f t="shared" si="85"/>
        <v>MARCOS AUGUSTO FELIX</v>
      </c>
      <c r="B2001" s="68" t="s">
        <v>62</v>
      </c>
      <c r="C2001" s="64" t="s">
        <v>3089</v>
      </c>
      <c r="D2001" s="65">
        <v>27157</v>
      </c>
      <c r="E2001" s="62">
        <v>41885</v>
      </c>
      <c r="F2001" s="285"/>
      <c r="G2001" s="41"/>
    </row>
    <row r="2002" spans="1:7" s="38" customFormat="1" ht="14.25" thickTop="1" thickBot="1">
      <c r="A2002" s="267" t="str">
        <f t="shared" si="85"/>
        <v>MARCOS AUGUSTO GRITTEN</v>
      </c>
      <c r="B2002" s="68" t="s">
        <v>62</v>
      </c>
      <c r="C2002" s="77" t="s">
        <v>713</v>
      </c>
      <c r="D2002" s="61">
        <v>50545</v>
      </c>
      <c r="E2002" s="62">
        <v>42061</v>
      </c>
      <c r="F2002" s="285"/>
      <c r="G2002" s="41"/>
    </row>
    <row r="2003" spans="1:7" s="38" customFormat="1" ht="14.25" thickTop="1" thickBot="1">
      <c r="A2003" s="267" t="str">
        <f t="shared" si="85"/>
        <v>MARCOS AURELIO DOS SANTOS</v>
      </c>
      <c r="B2003" s="68" t="s">
        <v>62</v>
      </c>
      <c r="C2003" s="66" t="s">
        <v>673</v>
      </c>
      <c r="D2003" s="312">
        <v>63453</v>
      </c>
      <c r="E2003" s="62">
        <v>40077</v>
      </c>
      <c r="F2003" s="285"/>
      <c r="G2003" s="41"/>
    </row>
    <row r="2004" spans="1:7" s="38" customFormat="1" ht="14.25" thickTop="1" thickBot="1">
      <c r="A2004" s="267" t="str">
        <f t="shared" si="85"/>
        <v>MARCOS AURELIO LEITE</v>
      </c>
      <c r="B2004" s="68" t="s">
        <v>546</v>
      </c>
      <c r="C2004" s="66" t="s">
        <v>907</v>
      </c>
      <c r="D2004" s="312">
        <v>24063</v>
      </c>
      <c r="E2004" s="62">
        <v>39603</v>
      </c>
      <c r="F2004" s="285"/>
      <c r="G2004" s="41"/>
    </row>
    <row r="2005" spans="1:7" s="38" customFormat="1" ht="14.25" thickTop="1" thickBot="1">
      <c r="A2005" s="267" t="str">
        <f t="shared" si="85"/>
        <v>MARCOS AURELIO OPATA</v>
      </c>
      <c r="B2005" s="68" t="s">
        <v>62</v>
      </c>
      <c r="C2005" s="66" t="s">
        <v>1920</v>
      </c>
      <c r="D2005" s="65">
        <v>63698</v>
      </c>
      <c r="E2005" s="62">
        <v>40518</v>
      </c>
      <c r="F2005" s="285"/>
      <c r="G2005" s="41"/>
    </row>
    <row r="2006" spans="1:7" s="38" customFormat="1" ht="14.25" thickTop="1" thickBot="1">
      <c r="A2006" s="267" t="str">
        <f t="shared" si="85"/>
        <v>MARCOS BONFIM</v>
      </c>
      <c r="B2006" s="68" t="s">
        <v>62</v>
      </c>
      <c r="C2006" s="66" t="s">
        <v>529</v>
      </c>
      <c r="D2006" s="61">
        <v>63996</v>
      </c>
      <c r="E2006" s="62">
        <v>40702</v>
      </c>
      <c r="F2006" s="285"/>
      <c r="G2006" s="41"/>
    </row>
    <row r="2007" spans="1:7" s="38" customFormat="1" ht="14.25" thickTop="1" thickBot="1">
      <c r="A2007" s="267" t="str">
        <f t="shared" si="85"/>
        <v>MARCOS CRISTOVÃO</v>
      </c>
      <c r="B2007" s="68" t="s">
        <v>846</v>
      </c>
      <c r="C2007" s="66" t="s">
        <v>436</v>
      </c>
      <c r="D2007" s="67"/>
      <c r="E2007" s="62">
        <v>40044</v>
      </c>
      <c r="F2007" s="285"/>
      <c r="G2007" s="41"/>
    </row>
    <row r="2008" spans="1:7" s="38" customFormat="1" ht="14.25" thickTop="1" thickBot="1">
      <c r="A2008" s="267" t="str">
        <f t="shared" si="85"/>
        <v>MARCOS DE LIMA CARDOSO</v>
      </c>
      <c r="B2008" s="68" t="s">
        <v>62</v>
      </c>
      <c r="C2008" s="66" t="s">
        <v>1495</v>
      </c>
      <c r="D2008" s="67"/>
      <c r="E2008" s="62">
        <v>42466</v>
      </c>
      <c r="F2008" s="285"/>
      <c r="G2008" s="41"/>
    </row>
    <row r="2009" spans="1:7" s="38" customFormat="1" ht="14.25" thickTop="1" thickBot="1">
      <c r="A2009" s="267" t="s">
        <v>2624</v>
      </c>
      <c r="B2009" s="67" t="s">
        <v>1522</v>
      </c>
      <c r="C2009" s="66" t="s">
        <v>760</v>
      </c>
      <c r="D2009" s="61">
        <v>63504</v>
      </c>
      <c r="E2009" s="62">
        <v>41177</v>
      </c>
      <c r="F2009" s="285"/>
      <c r="G2009" s="41"/>
    </row>
    <row r="2010" spans="1:7" s="38" customFormat="1" ht="14.25" thickTop="1" thickBot="1">
      <c r="A2010" s="267"/>
      <c r="B2010" s="68" t="s">
        <v>2413</v>
      </c>
      <c r="C2010" s="64" t="s">
        <v>794</v>
      </c>
      <c r="D2010" s="65">
        <v>47336</v>
      </c>
      <c r="E2010" s="62"/>
      <c r="F2010" s="285"/>
      <c r="G2010" s="41"/>
    </row>
    <row r="2011" spans="1:7" ht="14.25" thickTop="1" thickBot="1">
      <c r="A2011" s="267" t="str">
        <f t="shared" ref="A2011:A2019" si="86">C2013</f>
        <v>MARCOS EDENILSON MONTEIRO DA LUZ</v>
      </c>
      <c r="B2011" s="68" t="s">
        <v>2413</v>
      </c>
      <c r="C2011" s="64" t="s">
        <v>38</v>
      </c>
      <c r="D2011" s="61">
        <v>101619</v>
      </c>
      <c r="E2011" s="70">
        <v>43544</v>
      </c>
      <c r="F2011" s="284"/>
    </row>
    <row r="2012" spans="1:7" ht="14.25" thickTop="1" thickBot="1">
      <c r="A2012" s="267" t="str">
        <f t="shared" si="86"/>
        <v>MARCOS ELIEL FLORENSKI</v>
      </c>
      <c r="B2012" s="68" t="s">
        <v>1002</v>
      </c>
      <c r="C2012" s="64" t="s">
        <v>2624</v>
      </c>
      <c r="D2012" s="61"/>
      <c r="E2012" s="62">
        <v>41726</v>
      </c>
      <c r="F2012" s="285"/>
    </row>
    <row r="2013" spans="1:7" ht="14.25" thickTop="1" thickBot="1">
      <c r="A2013" s="267" t="str">
        <f t="shared" si="86"/>
        <v>MARCOS ELIZANDRO DE OLIVEIRA</v>
      </c>
      <c r="B2013" s="68" t="s">
        <v>1298</v>
      </c>
      <c r="C2013" s="60" t="s">
        <v>2624</v>
      </c>
      <c r="D2013" s="61">
        <v>293692</v>
      </c>
      <c r="E2013" s="62">
        <v>41914</v>
      </c>
      <c r="F2013" s="285"/>
    </row>
    <row r="2014" spans="1:7" ht="14.25" thickTop="1" thickBot="1">
      <c r="A2014" s="267" t="str">
        <f t="shared" si="86"/>
        <v>MARCOS FABRICIO JUSCZAK                           (Fabio)</v>
      </c>
      <c r="B2014" s="68" t="s">
        <v>62</v>
      </c>
      <c r="C2014" s="66" t="s">
        <v>1595</v>
      </c>
      <c r="D2014" s="67"/>
      <c r="E2014" s="62">
        <v>42480</v>
      </c>
      <c r="F2014" s="285"/>
    </row>
    <row r="2015" spans="1:7" ht="14.25" thickTop="1" thickBot="1">
      <c r="A2015" s="267" t="str">
        <f t="shared" si="86"/>
        <v>MARCOS FELIPE DOS SANTOS ALVES</v>
      </c>
      <c r="B2015" s="68" t="s">
        <v>1306</v>
      </c>
      <c r="C2015" s="66" t="s">
        <v>761</v>
      </c>
      <c r="D2015" s="61">
        <v>63705</v>
      </c>
      <c r="E2015" s="62">
        <v>43238</v>
      </c>
      <c r="F2015" s="285"/>
    </row>
    <row r="2016" spans="1:7" ht="14.25" thickTop="1" thickBot="1">
      <c r="A2016" s="267" t="str">
        <f t="shared" si="86"/>
        <v>MARCOS FELIPE DOS SANTOS ALVES</v>
      </c>
      <c r="B2016" s="68" t="s">
        <v>1812</v>
      </c>
      <c r="C2016" s="66" t="s">
        <v>3315</v>
      </c>
      <c r="D2016" s="65"/>
      <c r="E2016" s="62">
        <v>42341</v>
      </c>
      <c r="F2016" s="285"/>
    </row>
    <row r="2017" spans="1:6" ht="14.25" thickTop="1" thickBot="1">
      <c r="A2017" s="267" t="str">
        <f t="shared" si="86"/>
        <v>MARCOS FERNANDO GARCIA</v>
      </c>
      <c r="B2017" s="68" t="s">
        <v>2347</v>
      </c>
      <c r="C2017" s="114" t="s">
        <v>1882</v>
      </c>
      <c r="D2017" s="61">
        <v>117480</v>
      </c>
      <c r="E2017" s="62">
        <v>43346</v>
      </c>
      <c r="F2017" s="285"/>
    </row>
    <row r="2018" spans="1:6" ht="14.25" thickTop="1" thickBot="1">
      <c r="A2018" s="267" t="str">
        <f t="shared" si="86"/>
        <v>MARCOS FERNANDO GARCIA                    (Fefê)</v>
      </c>
      <c r="B2018" s="68" t="s">
        <v>1033</v>
      </c>
      <c r="C2018" s="66" t="s">
        <v>1882</v>
      </c>
      <c r="D2018" s="69">
        <v>63965</v>
      </c>
      <c r="E2018" s="70">
        <v>42718</v>
      </c>
      <c r="F2018" s="287"/>
    </row>
    <row r="2019" spans="1:6" ht="14.25" thickTop="1" thickBot="1">
      <c r="A2019" s="267" t="str">
        <f t="shared" si="86"/>
        <v>MARCOS FERREIRA</v>
      </c>
      <c r="B2019" s="68" t="s">
        <v>62</v>
      </c>
      <c r="C2019" s="66" t="s">
        <v>2278</v>
      </c>
      <c r="D2019" s="61">
        <v>63965</v>
      </c>
      <c r="E2019" s="62">
        <v>41884</v>
      </c>
      <c r="F2019" s="285"/>
    </row>
    <row r="2020" spans="1:6" ht="14.25" thickTop="1" thickBot="1">
      <c r="A2020" s="270"/>
      <c r="B2020" s="68" t="s">
        <v>62</v>
      </c>
      <c r="C2020" s="66" t="s">
        <v>3314</v>
      </c>
      <c r="D2020" s="67"/>
      <c r="E2020" s="62">
        <v>40854</v>
      </c>
      <c r="F2020" s="285"/>
    </row>
    <row r="2021" spans="1:6" ht="14.25" thickTop="1" thickBot="1">
      <c r="A2021" s="267" t="s">
        <v>1969</v>
      </c>
      <c r="B2021" s="67" t="s">
        <v>1522</v>
      </c>
      <c r="C2021" s="64" t="s">
        <v>975</v>
      </c>
      <c r="D2021" s="61">
        <v>27103</v>
      </c>
      <c r="E2021" s="62">
        <v>41417</v>
      </c>
      <c r="F2021" s="285"/>
    </row>
    <row r="2022" spans="1:6" ht="14.25" thickTop="1" thickBot="1">
      <c r="A2022" s="267" t="str">
        <f>C2024</f>
        <v>MARCOS LEANDRO DE OLIVEIRA</v>
      </c>
      <c r="B2022" s="68" t="s">
        <v>2413</v>
      </c>
      <c r="C2022" s="66" t="s">
        <v>1140</v>
      </c>
      <c r="D2022" s="67"/>
      <c r="E2022" s="62">
        <v>43529</v>
      </c>
      <c r="F2022" s="285"/>
    </row>
    <row r="2023" spans="1:6" ht="14.25" thickTop="1" thickBot="1">
      <c r="A2023" s="267"/>
      <c r="B2023" s="89" t="s">
        <v>1522</v>
      </c>
      <c r="C2023" s="66" t="s">
        <v>762</v>
      </c>
      <c r="D2023" s="61">
        <v>9288</v>
      </c>
      <c r="E2023" s="62">
        <v>40060</v>
      </c>
      <c r="F2023" s="285"/>
    </row>
    <row r="2024" spans="1:6" ht="14.25" thickTop="1" thickBot="1">
      <c r="A2024" s="267" t="str">
        <f>C2026</f>
        <v>MARCOS LOPES FERREIRA</v>
      </c>
      <c r="B2024" s="68" t="s">
        <v>62</v>
      </c>
      <c r="C2024" s="66" t="s">
        <v>1969</v>
      </c>
      <c r="D2024" s="61">
        <v>134272</v>
      </c>
      <c r="E2024" s="62">
        <v>41992</v>
      </c>
      <c r="F2024" s="285"/>
    </row>
    <row r="2025" spans="1:6" ht="14.25" thickTop="1" thickBot="1">
      <c r="A2025" s="267"/>
      <c r="B2025" s="68" t="s">
        <v>62</v>
      </c>
      <c r="C2025" s="66" t="s">
        <v>3313</v>
      </c>
      <c r="D2025" s="65">
        <v>63451</v>
      </c>
      <c r="E2025" s="62"/>
      <c r="F2025" s="285"/>
    </row>
    <row r="2026" spans="1:6" ht="14.25" thickTop="1" thickBot="1">
      <c r="A2026" s="267" t="str">
        <f t="shared" ref="A2026:A2039" si="87">C2028</f>
        <v>MARCOS MARCIANO BANFI DE JESUS</v>
      </c>
      <c r="B2026" s="68" t="s">
        <v>1812</v>
      </c>
      <c r="C2026" s="64" t="s">
        <v>1436</v>
      </c>
      <c r="D2026" s="61">
        <v>24060</v>
      </c>
      <c r="E2026" s="62">
        <v>41043</v>
      </c>
      <c r="F2026" s="285"/>
    </row>
    <row r="2027" spans="1:6" ht="14.25" thickTop="1" thickBot="1">
      <c r="A2027" s="267" t="str">
        <f t="shared" si="87"/>
        <v>MARCOS MAURICIO JUSCZAK</v>
      </c>
      <c r="B2027" s="68" t="s">
        <v>846</v>
      </c>
      <c r="C2027" s="66" t="s">
        <v>1046</v>
      </c>
      <c r="D2027" s="65"/>
      <c r="E2027" s="62">
        <v>42658</v>
      </c>
      <c r="F2027" s="285"/>
    </row>
    <row r="2028" spans="1:6" ht="14.25" thickTop="1" thickBot="1">
      <c r="A2028" s="267" t="str">
        <f t="shared" si="87"/>
        <v>MARCOS PIRES DE ALMEIDA</v>
      </c>
      <c r="B2028" s="68" t="s">
        <v>62</v>
      </c>
      <c r="C2028" s="64" t="s">
        <v>1931</v>
      </c>
      <c r="D2028" s="67"/>
      <c r="E2028" s="70">
        <v>42515</v>
      </c>
      <c r="F2028" s="284"/>
    </row>
    <row r="2029" spans="1:6" ht="14.25" thickTop="1" thickBot="1">
      <c r="A2029" s="267" t="str">
        <f t="shared" si="87"/>
        <v>MARCOS ROBERTO CORREIA DA LUZ</v>
      </c>
      <c r="B2029" s="68" t="s">
        <v>62</v>
      </c>
      <c r="C2029" s="64" t="s">
        <v>388</v>
      </c>
      <c r="D2029" s="67"/>
      <c r="E2029" s="62">
        <v>41834</v>
      </c>
      <c r="F2029" s="285"/>
    </row>
    <row r="2030" spans="1:6" ht="14.25" thickTop="1" thickBot="1">
      <c r="A2030" s="267" t="str">
        <f t="shared" si="87"/>
        <v>MARCOS ROBERTO SCHULTZ</v>
      </c>
      <c r="B2030" s="68" t="s">
        <v>1912</v>
      </c>
      <c r="C2030" s="66" t="s">
        <v>763</v>
      </c>
      <c r="D2030" s="67"/>
      <c r="E2030" s="70">
        <v>43355</v>
      </c>
      <c r="F2030" s="284"/>
    </row>
    <row r="2031" spans="1:6" ht="14.25" thickTop="1" thickBot="1">
      <c r="A2031" s="267" t="str">
        <f t="shared" si="87"/>
        <v>MARCOS ROBERTO SCHULTZ</v>
      </c>
      <c r="B2031" s="68" t="s">
        <v>62</v>
      </c>
      <c r="C2031" s="66" t="s">
        <v>389</v>
      </c>
      <c r="D2031" s="69">
        <v>31730</v>
      </c>
      <c r="E2031" s="62">
        <v>42038</v>
      </c>
      <c r="F2031" s="285"/>
    </row>
    <row r="2032" spans="1:6" ht="14.25" thickTop="1" thickBot="1">
      <c r="A2032" s="267" t="str">
        <f t="shared" si="87"/>
        <v>MARCOS ROGERIO CORREIA DE MELO    (Cachorro)</v>
      </c>
      <c r="B2032" s="68" t="s">
        <v>62</v>
      </c>
      <c r="C2032" s="66" t="s">
        <v>347</v>
      </c>
      <c r="D2032" s="61">
        <v>31730</v>
      </c>
      <c r="E2032" s="62">
        <v>40590</v>
      </c>
      <c r="F2032" s="285"/>
    </row>
    <row r="2033" spans="1:6" ht="14.25" thickTop="1" thickBot="1">
      <c r="A2033" s="267" t="str">
        <f t="shared" si="87"/>
        <v>MARCOS SANTANA DE SOUZA</v>
      </c>
      <c r="B2033" s="68" t="s">
        <v>62</v>
      </c>
      <c r="C2033" s="66" t="s">
        <v>347</v>
      </c>
      <c r="D2033" s="177">
        <v>44019</v>
      </c>
      <c r="E2033" s="62">
        <v>41712</v>
      </c>
      <c r="F2033" s="285"/>
    </row>
    <row r="2034" spans="1:6" ht="14.25" thickTop="1" thickBot="1">
      <c r="A2034" s="267" t="str">
        <f t="shared" si="87"/>
        <v>MARCOS SEBASTIAO VASCO</v>
      </c>
      <c r="B2034" s="68" t="s">
        <v>62</v>
      </c>
      <c r="C2034" s="66" t="s">
        <v>3090</v>
      </c>
      <c r="D2034" s="61">
        <v>8023</v>
      </c>
      <c r="E2034" s="70">
        <v>42467</v>
      </c>
      <c r="F2034" s="284"/>
    </row>
    <row r="2035" spans="1:6" ht="14.25" thickTop="1" thickBot="1">
      <c r="A2035" s="267" t="str">
        <f t="shared" si="87"/>
        <v>MARCOS VINICIUS BOGUTTE                            (Pichinga)</v>
      </c>
      <c r="B2035" s="68" t="s">
        <v>62</v>
      </c>
      <c r="C2035" s="66" t="s">
        <v>764</v>
      </c>
      <c r="D2035" s="65"/>
      <c r="E2035" s="70">
        <v>42837</v>
      </c>
      <c r="F2035" s="284"/>
    </row>
    <row r="2036" spans="1:6" ht="14.25" thickTop="1" thickBot="1">
      <c r="A2036" s="267" t="str">
        <f t="shared" si="87"/>
        <v>MARCOS VINICIUS DA SILVA CARNEIRO</v>
      </c>
      <c r="B2036" s="68" t="s">
        <v>62</v>
      </c>
      <c r="C2036" s="66" t="s">
        <v>771</v>
      </c>
      <c r="D2036" s="65">
        <v>9279</v>
      </c>
      <c r="E2036" s="62">
        <v>39959</v>
      </c>
      <c r="F2036" s="285"/>
    </row>
    <row r="2037" spans="1:6" ht="14.25" thickTop="1" thickBot="1">
      <c r="A2037" s="267" t="str">
        <f t="shared" si="87"/>
        <v>MARCOS VINICIUS LACERDA SOBRINHO</v>
      </c>
      <c r="B2037" s="68" t="s">
        <v>1264</v>
      </c>
      <c r="C2037" s="66" t="s">
        <v>3312</v>
      </c>
      <c r="D2037" s="61">
        <v>101946</v>
      </c>
      <c r="E2037" s="62">
        <v>40605</v>
      </c>
      <c r="F2037" s="285"/>
    </row>
    <row r="2038" spans="1:6" ht="14.25" thickTop="1" thickBot="1">
      <c r="A2038" s="267" t="str">
        <f t="shared" si="87"/>
        <v>MARCOS VINICIUS MEHRET                       ( Natural )</v>
      </c>
      <c r="B2038" s="68" t="s">
        <v>2347</v>
      </c>
      <c r="C2038" s="66" t="s">
        <v>1607</v>
      </c>
      <c r="D2038" s="61">
        <v>123262</v>
      </c>
      <c r="E2038" s="62">
        <v>43346</v>
      </c>
      <c r="F2038" s="285"/>
    </row>
    <row r="2039" spans="1:6" ht="14.25" thickTop="1" thickBot="1">
      <c r="A2039" s="267" t="str">
        <f t="shared" si="87"/>
        <v>MARCOS VINICIUS SACH</v>
      </c>
      <c r="B2039" s="68" t="s">
        <v>62</v>
      </c>
      <c r="C2039" s="66" t="s">
        <v>1728</v>
      </c>
      <c r="D2039" s="67"/>
      <c r="E2039" s="62">
        <v>41963</v>
      </c>
      <c r="F2039" s="285"/>
    </row>
    <row r="2040" spans="1:6" ht="14.25" thickTop="1" thickBot="1">
      <c r="A2040" s="267" t="str">
        <f>C2043</f>
        <v>MARCOS WILLIAN SANTOS DA SILVA              (Marquinhos)</v>
      </c>
      <c r="B2040" s="68" t="s">
        <v>1812</v>
      </c>
      <c r="C2040" s="66" t="s">
        <v>3311</v>
      </c>
      <c r="D2040" s="61">
        <v>115242</v>
      </c>
      <c r="E2040" s="62">
        <v>43490</v>
      </c>
      <c r="F2040" s="285"/>
    </row>
    <row r="2041" spans="1:6" ht="14.25" thickTop="1" thickBot="1">
      <c r="A2041" s="270" t="s">
        <v>2071</v>
      </c>
      <c r="B2041" s="68" t="s">
        <v>62</v>
      </c>
      <c r="C2041" s="66" t="s">
        <v>508</v>
      </c>
      <c r="D2041" s="61">
        <v>10301</v>
      </c>
      <c r="E2041" s="62">
        <v>39966</v>
      </c>
      <c r="F2041" s="285"/>
    </row>
    <row r="2042" spans="1:6" ht="14.25" thickTop="1" thickBot="1">
      <c r="A2042" s="267" t="str">
        <f t="shared" ref="A2042:A2052" si="88">C2044</f>
        <v>MARCUS MARTINS DE BARROS FILHO            (Boita)</v>
      </c>
      <c r="B2042" s="68" t="s">
        <v>2413</v>
      </c>
      <c r="C2042" s="60" t="s">
        <v>2464</v>
      </c>
      <c r="D2042" s="65">
        <v>63847</v>
      </c>
      <c r="E2042" s="62">
        <v>43647</v>
      </c>
      <c r="F2042" s="285"/>
    </row>
    <row r="2043" spans="1:6" ht="14.25" thickTop="1" thickBot="1">
      <c r="A2043" s="267" t="str">
        <f t="shared" si="88"/>
        <v>MARCUS VINICIUS COSTA PINTO                  (Nariz)</v>
      </c>
      <c r="B2043" s="68" t="s">
        <v>62</v>
      </c>
      <c r="C2043" s="77" t="s">
        <v>3308</v>
      </c>
      <c r="D2043" s="61">
        <v>103899</v>
      </c>
      <c r="E2043" s="62">
        <v>43270</v>
      </c>
      <c r="F2043" s="285"/>
    </row>
    <row r="2044" spans="1:6" ht="14.25" thickTop="1" thickBot="1">
      <c r="A2044" s="267" t="str">
        <f t="shared" si="88"/>
        <v>MARIANO MALETZ</v>
      </c>
      <c r="B2044" s="68" t="s">
        <v>62</v>
      </c>
      <c r="C2044" s="66" t="s">
        <v>3309</v>
      </c>
      <c r="D2044" s="61">
        <v>63757</v>
      </c>
      <c r="E2044" s="62">
        <v>42706</v>
      </c>
      <c r="F2044" s="285"/>
    </row>
    <row r="2045" spans="1:6" ht="14.25" thickTop="1" thickBot="1">
      <c r="A2045" s="267" t="str">
        <f t="shared" si="88"/>
        <v>MARIO ANDERSON KRIKI DOS SANTOS</v>
      </c>
      <c r="B2045" s="68" t="s">
        <v>62</v>
      </c>
      <c r="C2045" s="66" t="s">
        <v>3310</v>
      </c>
      <c r="D2045" s="61">
        <v>101948</v>
      </c>
      <c r="E2045" s="62">
        <v>41687</v>
      </c>
      <c r="F2045" s="285"/>
    </row>
    <row r="2046" spans="1:6" ht="14.25" thickTop="1" thickBot="1">
      <c r="A2046" s="267" t="str">
        <f t="shared" si="88"/>
        <v>MARIO ANTONIO SARABIA GARRAY                  (Paraguaio)</v>
      </c>
      <c r="B2046" s="68" t="s">
        <v>1180</v>
      </c>
      <c r="C2046" s="66" t="s">
        <v>1515</v>
      </c>
      <c r="D2046" s="61">
        <v>114585</v>
      </c>
      <c r="E2046" s="62">
        <v>40679</v>
      </c>
      <c r="F2046" s="285"/>
    </row>
    <row r="2047" spans="1:6" ht="14.25" thickTop="1" thickBot="1">
      <c r="A2047" s="267" t="str">
        <f t="shared" si="88"/>
        <v>MARIO BORGES LEITE</v>
      </c>
      <c r="B2047" s="68" t="s">
        <v>62</v>
      </c>
      <c r="C2047" s="66" t="s">
        <v>1891</v>
      </c>
      <c r="D2047" s="65">
        <v>63455</v>
      </c>
      <c r="E2047" s="62">
        <v>42914</v>
      </c>
      <c r="F2047" s="285"/>
    </row>
    <row r="2048" spans="1:6" ht="14.25" thickTop="1" thickBot="1">
      <c r="A2048" s="267" t="str">
        <f t="shared" si="88"/>
        <v>MARIO CESAR VALENTIN JUNIOR</v>
      </c>
      <c r="B2048" s="68" t="s">
        <v>62</v>
      </c>
      <c r="C2048" s="66" t="s">
        <v>3307</v>
      </c>
      <c r="D2048" s="67"/>
      <c r="E2048" s="62">
        <v>41968</v>
      </c>
      <c r="F2048" s="285"/>
    </row>
    <row r="2049" spans="1:6" ht="14.25" thickTop="1" thickBot="1">
      <c r="A2049" s="267" t="str">
        <f t="shared" si="88"/>
        <v>MARIO CEZAR DA SILVA</v>
      </c>
      <c r="B2049" s="68" t="s">
        <v>62</v>
      </c>
      <c r="C2049" s="64" t="s">
        <v>390</v>
      </c>
      <c r="D2049" s="65">
        <v>102109</v>
      </c>
      <c r="E2049" s="62">
        <v>42437</v>
      </c>
      <c r="F2049" s="285"/>
    </row>
    <row r="2050" spans="1:6" ht="14.25" thickTop="1" thickBot="1">
      <c r="A2050" s="267" t="str">
        <f t="shared" si="88"/>
        <v>MARIO FERREIRA</v>
      </c>
      <c r="B2050" s="68" t="s">
        <v>62</v>
      </c>
      <c r="C2050" s="64" t="s">
        <v>2115</v>
      </c>
      <c r="D2050" s="65">
        <v>63796</v>
      </c>
      <c r="E2050" s="62">
        <v>41726</v>
      </c>
      <c r="F2050" s="285"/>
    </row>
    <row r="2051" spans="1:6" ht="14.25" thickTop="1" thickBot="1">
      <c r="A2051" s="267" t="str">
        <f t="shared" si="88"/>
        <v xml:space="preserve">MARIO JOSE CARVALHO </v>
      </c>
      <c r="B2051" s="68" t="s">
        <v>62</v>
      </c>
      <c r="C2051" s="66" t="s">
        <v>740</v>
      </c>
      <c r="D2051" s="69">
        <v>72569</v>
      </c>
      <c r="E2051" s="62">
        <v>42844</v>
      </c>
      <c r="F2051" s="285"/>
    </row>
    <row r="2052" spans="1:6" ht="14.25" thickTop="1" thickBot="1">
      <c r="A2052" s="267" t="str">
        <f t="shared" si="88"/>
        <v xml:space="preserve">MARIO JOSE DA CUNHA </v>
      </c>
      <c r="B2052" s="68" t="s">
        <v>2347</v>
      </c>
      <c r="C2052" s="66" t="s">
        <v>1461</v>
      </c>
      <c r="D2052" s="67"/>
      <c r="E2052" s="62">
        <v>43346</v>
      </c>
      <c r="F2052" s="285"/>
    </row>
    <row r="2053" spans="1:6" ht="14.25" thickTop="1" thickBot="1">
      <c r="A2053" s="271"/>
      <c r="B2053" s="68" t="s">
        <v>62</v>
      </c>
      <c r="C2053" s="64" t="s">
        <v>391</v>
      </c>
      <c r="D2053" s="65">
        <v>63055</v>
      </c>
      <c r="E2053" s="62">
        <v>41726</v>
      </c>
      <c r="F2053" s="285"/>
    </row>
    <row r="2054" spans="1:6" ht="14.25" thickTop="1" thickBot="1">
      <c r="A2054" s="267" t="str">
        <f t="shared" ref="A2054:A2059" si="89">C2056</f>
        <v xml:space="preserve">MARIOZAN MENDES </v>
      </c>
      <c r="B2054" s="67" t="s">
        <v>1522</v>
      </c>
      <c r="C2054" s="66" t="s">
        <v>2226</v>
      </c>
      <c r="D2054" s="61">
        <v>147666</v>
      </c>
      <c r="E2054" s="62">
        <v>43315</v>
      </c>
      <c r="F2054" s="285"/>
    </row>
    <row r="2055" spans="1:6" ht="14.25" thickTop="1" thickBot="1">
      <c r="A2055" s="267" t="str">
        <f t="shared" si="89"/>
        <v>MARLLON SANTI GOMES DE RAMOS</v>
      </c>
      <c r="B2055" s="68" t="s">
        <v>62</v>
      </c>
      <c r="C2055" s="66" t="s">
        <v>555</v>
      </c>
      <c r="D2055" s="65">
        <v>63850</v>
      </c>
      <c r="E2055" s="62">
        <v>41071</v>
      </c>
      <c r="F2055" s="285"/>
    </row>
    <row r="2056" spans="1:6" ht="14.25" thickTop="1" thickBot="1">
      <c r="A2056" s="267" t="str">
        <f t="shared" si="89"/>
        <v>MARLON ADRIAN SOUZA DA SILVA</v>
      </c>
      <c r="B2056" s="68" t="s">
        <v>62</v>
      </c>
      <c r="C2056" s="66" t="s">
        <v>1982</v>
      </c>
      <c r="D2056" s="65">
        <v>63055</v>
      </c>
      <c r="E2056" s="62">
        <v>41417</v>
      </c>
      <c r="F2056" s="285"/>
    </row>
    <row r="2057" spans="1:6" ht="14.25" thickTop="1" thickBot="1">
      <c r="A2057" s="267" t="str">
        <f t="shared" si="89"/>
        <v>MARLON AUGUSTO RODRIGUES</v>
      </c>
      <c r="B2057" s="68" t="s">
        <v>62</v>
      </c>
      <c r="C2057" s="66" t="s">
        <v>809</v>
      </c>
      <c r="D2057" s="61">
        <v>21858</v>
      </c>
      <c r="E2057" s="62">
        <v>42705</v>
      </c>
      <c r="F2057" s="285"/>
    </row>
    <row r="2058" spans="1:6" ht="14.25" thickTop="1" thickBot="1">
      <c r="A2058" s="267" t="str">
        <f t="shared" si="89"/>
        <v>MARLON CARDOSO</v>
      </c>
      <c r="B2058" s="68" t="s">
        <v>62</v>
      </c>
      <c r="C2058" s="66" t="s">
        <v>1632</v>
      </c>
      <c r="D2058" s="65">
        <v>27161</v>
      </c>
      <c r="E2058" s="62">
        <v>43243</v>
      </c>
      <c r="F2058" s="285"/>
    </row>
    <row r="2059" spans="1:6" ht="14.25" thickTop="1" thickBot="1">
      <c r="A2059" s="267" t="str">
        <f t="shared" si="89"/>
        <v>MARLON FABIANO FERREIRA</v>
      </c>
      <c r="B2059" s="68" t="s">
        <v>62</v>
      </c>
      <c r="C2059" s="66" t="s">
        <v>703</v>
      </c>
      <c r="D2059" s="65">
        <v>101812</v>
      </c>
      <c r="E2059" s="62">
        <v>41757</v>
      </c>
      <c r="F2059" s="285"/>
    </row>
    <row r="2060" spans="1:6" ht="14.25" thickTop="1" thickBot="1">
      <c r="A2060" s="268"/>
      <c r="B2060" s="68" t="s">
        <v>62</v>
      </c>
      <c r="C2060" s="66" t="s">
        <v>1967</v>
      </c>
      <c r="D2060" s="61">
        <v>14815</v>
      </c>
      <c r="E2060" s="62">
        <v>42719</v>
      </c>
      <c r="F2060" s="287"/>
    </row>
    <row r="2061" spans="1:6" ht="14.25" thickTop="1" thickBot="1">
      <c r="A2061" s="267" t="str">
        <f>C2064</f>
        <v>MARLON MENSEN</v>
      </c>
      <c r="B2061" s="61" t="s">
        <v>2406</v>
      </c>
      <c r="C2061" s="64" t="s">
        <v>1039</v>
      </c>
      <c r="D2061" s="65">
        <v>27309</v>
      </c>
      <c r="E2061" s="70">
        <v>43504</v>
      </c>
      <c r="F2061" s="284"/>
    </row>
    <row r="2062" spans="1:6" ht="14.25" thickTop="1" thickBot="1">
      <c r="A2062" s="267" t="s">
        <v>2697</v>
      </c>
      <c r="B2062" s="68" t="s">
        <v>2347</v>
      </c>
      <c r="C2062" s="66" t="s">
        <v>908</v>
      </c>
      <c r="D2062" s="67"/>
      <c r="E2062" s="62">
        <v>43346</v>
      </c>
      <c r="F2062" s="285"/>
    </row>
    <row r="2063" spans="1:6" ht="14.25" thickTop="1" thickBot="1">
      <c r="A2063" s="267" t="str">
        <f>C2065</f>
        <v>MARLON SEVERO DOS SANTOS    (M.B.)</v>
      </c>
      <c r="B2063" s="68" t="s">
        <v>2413</v>
      </c>
      <c r="C2063" s="194" t="s">
        <v>2697</v>
      </c>
      <c r="D2063" s="61">
        <v>103446</v>
      </c>
      <c r="E2063" s="62">
        <v>43767</v>
      </c>
      <c r="F2063" s="285"/>
    </row>
    <row r="2064" spans="1:6" ht="14.25" thickTop="1" thickBot="1">
      <c r="A2064" s="267" t="str">
        <f>C2066</f>
        <v>MATEUS ANTONIO NAZARIO</v>
      </c>
      <c r="B2064" s="68" t="s">
        <v>62</v>
      </c>
      <c r="C2064" s="60" t="s">
        <v>2588</v>
      </c>
      <c r="D2064" s="61">
        <v>107741</v>
      </c>
      <c r="E2064" s="62">
        <v>42895</v>
      </c>
      <c r="F2064" s="285"/>
    </row>
    <row r="2065" spans="1:6" ht="14.25" thickTop="1" thickBot="1">
      <c r="A2065" s="267" t="s">
        <v>2187</v>
      </c>
      <c r="B2065" s="68" t="s">
        <v>62</v>
      </c>
      <c r="C2065" s="66" t="s">
        <v>3091</v>
      </c>
      <c r="D2065" s="61">
        <v>10107</v>
      </c>
      <c r="E2065" s="62">
        <v>42474</v>
      </c>
      <c r="F2065" s="285"/>
    </row>
    <row r="2066" spans="1:6" ht="14.25" thickTop="1" thickBot="1">
      <c r="A2066" s="267" t="str">
        <f>C2068</f>
        <v>MATEUS DE RAMOS</v>
      </c>
      <c r="B2066" s="68" t="s">
        <v>2413</v>
      </c>
      <c r="C2066" s="64" t="s">
        <v>392</v>
      </c>
      <c r="D2066" s="65">
        <v>63392</v>
      </c>
      <c r="E2066" s="62">
        <v>43529</v>
      </c>
      <c r="F2066" s="285"/>
    </row>
    <row r="2067" spans="1:6" ht="14.25" thickTop="1" thickBot="1">
      <c r="A2067" s="267" t="str">
        <f>C2068</f>
        <v>MATEUS DE RAMOS</v>
      </c>
      <c r="B2067" s="68" t="s">
        <v>1812</v>
      </c>
      <c r="C2067" s="196" t="s">
        <v>3493</v>
      </c>
      <c r="D2067" s="61">
        <v>148668</v>
      </c>
      <c r="E2067" s="62">
        <v>43991</v>
      </c>
      <c r="F2067" s="285"/>
    </row>
    <row r="2068" spans="1:6" ht="14.25" thickTop="1" thickBot="1">
      <c r="A2068" s="267" t="str">
        <f>C2070</f>
        <v>MATHEUS AMARAL GOES</v>
      </c>
      <c r="B2068" s="61" t="s">
        <v>2413</v>
      </c>
      <c r="C2068" s="66" t="s">
        <v>1507</v>
      </c>
      <c r="D2068" s="67"/>
      <c r="E2068" s="62">
        <v>43540</v>
      </c>
      <c r="F2068" s="284"/>
    </row>
    <row r="2069" spans="1:6" ht="14.25" thickTop="1" thickBot="1">
      <c r="A2069" s="267" t="str">
        <f>C2071</f>
        <v>MATHEUS BONET DOS SANTOS</v>
      </c>
      <c r="B2069" s="68" t="s">
        <v>62</v>
      </c>
      <c r="C2069" s="66" t="s">
        <v>2187</v>
      </c>
      <c r="D2069" s="61">
        <v>89885</v>
      </c>
      <c r="E2069" s="62">
        <v>41207</v>
      </c>
      <c r="F2069" s="296"/>
    </row>
    <row r="2070" spans="1:6" ht="14.25" thickTop="1" thickBot="1">
      <c r="A2070" s="267"/>
      <c r="B2070" s="68" t="s">
        <v>1812</v>
      </c>
      <c r="C2070" s="66" t="s">
        <v>2793</v>
      </c>
      <c r="D2070" s="61">
        <v>106301</v>
      </c>
      <c r="E2070" s="62">
        <v>43998</v>
      </c>
      <c r="F2070" s="285"/>
    </row>
    <row r="2071" spans="1:6" ht="14.25" thickTop="1" thickBot="1">
      <c r="A2071" s="267"/>
      <c r="B2071" s="68" t="s">
        <v>62</v>
      </c>
      <c r="C2071" s="77" t="s">
        <v>2589</v>
      </c>
      <c r="D2071" s="61">
        <v>102400</v>
      </c>
      <c r="E2071" s="62">
        <v>40235</v>
      </c>
      <c r="F2071" s="285"/>
    </row>
    <row r="2072" spans="1:6" ht="14.25" thickTop="1" thickBot="1">
      <c r="A2072" s="267"/>
      <c r="B2072" s="68" t="s">
        <v>2406</v>
      </c>
      <c r="C2072" s="64" t="s">
        <v>2719</v>
      </c>
      <c r="D2072" s="61">
        <v>101974</v>
      </c>
      <c r="E2072" s="62">
        <v>43850</v>
      </c>
      <c r="F2072" s="285"/>
    </row>
    <row r="2073" spans="1:6" ht="14.25" thickTop="1" thickBot="1">
      <c r="A2073" s="267"/>
      <c r="B2073" s="68" t="s">
        <v>2413</v>
      </c>
      <c r="C2073" s="66" t="s">
        <v>2442</v>
      </c>
      <c r="D2073" s="61">
        <v>152988</v>
      </c>
      <c r="E2073" s="62">
        <v>44062</v>
      </c>
      <c r="F2073" s="285"/>
    </row>
    <row r="2074" spans="1:6" ht="14.25" thickTop="1" thickBot="1">
      <c r="A2074" s="267" t="str">
        <f>C2076</f>
        <v>MAURI BATISTA DA SILVA</v>
      </c>
      <c r="B2074" s="348" t="s">
        <v>1812</v>
      </c>
      <c r="C2074" s="584" t="s">
        <v>2104</v>
      </c>
      <c r="D2074" s="343">
        <v>101660</v>
      </c>
      <c r="E2074" s="70">
        <v>44146</v>
      </c>
      <c r="F2074" s="287"/>
    </row>
    <row r="2075" spans="1:6" ht="14.25" thickTop="1" thickBot="1">
      <c r="A2075" s="267"/>
      <c r="B2075" s="68"/>
      <c r="C2075" s="332" t="s">
        <v>3428</v>
      </c>
      <c r="D2075" s="333">
        <v>152709</v>
      </c>
      <c r="E2075" s="600"/>
      <c r="F2075" s="284"/>
    </row>
    <row r="2076" spans="1:6" ht="14.25" thickTop="1" thickBot="1">
      <c r="A2076" s="267" t="str">
        <f>C2078</f>
        <v>MAURI SOARES DA SILVA</v>
      </c>
      <c r="B2076" s="68" t="s">
        <v>62</v>
      </c>
      <c r="C2076" s="64" t="s">
        <v>393</v>
      </c>
      <c r="D2076" s="65">
        <v>63898</v>
      </c>
      <c r="E2076" s="293">
        <v>42914</v>
      </c>
      <c r="F2076" s="285"/>
    </row>
    <row r="2077" spans="1:6" ht="14.25" thickTop="1" thickBot="1">
      <c r="A2077" s="267" t="str">
        <f>C2080</f>
        <v>MAURICIO ANTONIO MACHADO</v>
      </c>
      <c r="B2077" s="68" t="s">
        <v>62</v>
      </c>
      <c r="C2077" s="66" t="s">
        <v>195</v>
      </c>
      <c r="D2077" s="65">
        <v>63972</v>
      </c>
      <c r="E2077" s="293">
        <v>42108</v>
      </c>
      <c r="F2077" s="285"/>
    </row>
    <row r="2078" spans="1:6" ht="14.25" thickTop="1" thickBot="1">
      <c r="A2078" s="267"/>
      <c r="B2078" s="67" t="s">
        <v>1522</v>
      </c>
      <c r="C2078" s="66" t="s">
        <v>1096</v>
      </c>
      <c r="D2078" s="65">
        <v>10057</v>
      </c>
      <c r="E2078" s="62">
        <v>39938</v>
      </c>
      <c r="F2078" s="285"/>
    </row>
    <row r="2079" spans="1:6" ht="14.25" thickTop="1" thickBot="1">
      <c r="A2079" s="267" t="str">
        <f>C2092</f>
        <v>MAURILIO ROSA NETO</v>
      </c>
      <c r="B2079" s="68" t="s">
        <v>62</v>
      </c>
      <c r="C2079" s="64" t="s">
        <v>765</v>
      </c>
      <c r="D2079" s="65">
        <v>63571</v>
      </c>
      <c r="E2079" s="62">
        <v>42485</v>
      </c>
      <c r="F2079" s="285"/>
    </row>
    <row r="2080" spans="1:6" ht="14.25" thickTop="1" thickBot="1">
      <c r="A2080" s="267" t="str">
        <f>C2093</f>
        <v>MAURINEI ALVES DOS SANTOS</v>
      </c>
      <c r="B2080" s="68" t="s">
        <v>62</v>
      </c>
      <c r="C2080" s="66" t="s">
        <v>1659</v>
      </c>
      <c r="D2080" s="61">
        <v>27080</v>
      </c>
      <c r="E2080" s="62">
        <v>42074</v>
      </c>
      <c r="F2080" s="285"/>
    </row>
    <row r="2081" spans="1:6" ht="14.25" thickTop="1" thickBot="1">
      <c r="A2081" s="267" t="str">
        <f>C2084</f>
        <v>MAURICIO DE QUADROS                                (Bugiu)</v>
      </c>
      <c r="B2081" s="68" t="s">
        <v>62</v>
      </c>
      <c r="C2081" s="66" t="s">
        <v>780</v>
      </c>
      <c r="D2081" s="67"/>
      <c r="E2081" s="62">
        <v>40311</v>
      </c>
      <c r="F2081" s="285"/>
    </row>
    <row r="2082" spans="1:6" ht="14.25" thickTop="1" thickBot="1">
      <c r="A2082" s="267"/>
      <c r="B2082" s="61" t="s">
        <v>2413</v>
      </c>
      <c r="C2082" s="64" t="s">
        <v>507</v>
      </c>
      <c r="D2082" s="65">
        <v>63982</v>
      </c>
      <c r="E2082" s="62">
        <v>43541</v>
      </c>
      <c r="F2082" s="284"/>
    </row>
    <row r="2083" spans="1:6" ht="14.25" thickTop="1" thickBot="1">
      <c r="A2083" s="267" t="str">
        <f>C2087</f>
        <v>MAURICIO JORGE BRENNER</v>
      </c>
      <c r="B2083" s="61"/>
      <c r="C2083" s="66" t="s">
        <v>1510</v>
      </c>
      <c r="D2083" s="65">
        <v>63886</v>
      </c>
      <c r="E2083" s="62">
        <v>43528</v>
      </c>
      <c r="F2083" s="284"/>
    </row>
    <row r="2084" spans="1:6" ht="14.25" thickTop="1" thickBot="1">
      <c r="A2084" s="267" t="str">
        <f t="shared" ref="A2084:A2097" si="90">C2086</f>
        <v>MAURICIO GALVAO NEVES                               (Apagâo)</v>
      </c>
      <c r="B2084" s="68" t="s">
        <v>62</v>
      </c>
      <c r="C2084" s="192" t="s">
        <v>3306</v>
      </c>
      <c r="D2084" s="61">
        <v>135604</v>
      </c>
      <c r="E2084" s="62">
        <v>43077</v>
      </c>
      <c r="F2084" s="285"/>
    </row>
    <row r="2085" spans="1:6" ht="14.25" thickTop="1" thickBot="1">
      <c r="A2085" s="267" t="str">
        <f t="shared" si="90"/>
        <v>MAURICIO JORGE BRENNER</v>
      </c>
      <c r="B2085" s="68" t="s">
        <v>126</v>
      </c>
      <c r="C2085" s="77" t="s">
        <v>2032</v>
      </c>
      <c r="D2085" s="61">
        <v>101875</v>
      </c>
      <c r="E2085" s="62">
        <v>40866</v>
      </c>
      <c r="F2085" s="285"/>
    </row>
    <row r="2086" spans="1:6" ht="14.25" thickTop="1" thickBot="1">
      <c r="A2086" s="267" t="str">
        <f t="shared" si="90"/>
        <v>MAURICIO JOSE MARTINS</v>
      </c>
      <c r="B2086" s="68" t="s">
        <v>62</v>
      </c>
      <c r="C2086" s="66" t="s">
        <v>3305</v>
      </c>
      <c r="D2086" s="172">
        <v>113894</v>
      </c>
      <c r="E2086" s="62">
        <v>41732</v>
      </c>
      <c r="F2086" s="285"/>
    </row>
    <row r="2087" spans="1:6" ht="14.25" thickTop="1" thickBot="1">
      <c r="A2087" s="267" t="str">
        <f t="shared" si="90"/>
        <v>MAURICIO RIBEIRO</v>
      </c>
      <c r="B2087" s="68" t="s">
        <v>62</v>
      </c>
      <c r="C2087" s="66" t="s">
        <v>116</v>
      </c>
      <c r="D2087" s="67"/>
      <c r="E2087" s="62">
        <v>42921</v>
      </c>
      <c r="F2087" s="285"/>
    </row>
    <row r="2088" spans="1:6" ht="14.25" thickTop="1" thickBot="1">
      <c r="A2088" s="267" t="str">
        <f t="shared" si="90"/>
        <v>MAURICIO TADEU DOS SANTOS</v>
      </c>
      <c r="B2088" s="68" t="s">
        <v>62</v>
      </c>
      <c r="C2088" s="66" t="s">
        <v>766</v>
      </c>
      <c r="D2088" s="61">
        <v>102293</v>
      </c>
      <c r="E2088" s="62">
        <v>42921</v>
      </c>
      <c r="F2088" s="285"/>
    </row>
    <row r="2089" spans="1:6" ht="14.25" thickTop="1" thickBot="1">
      <c r="A2089" s="267" t="str">
        <f t="shared" si="90"/>
        <v>MAURILIO ROSA NETO</v>
      </c>
      <c r="B2089" s="68" t="s">
        <v>62</v>
      </c>
      <c r="C2089" s="66" t="s">
        <v>1610</v>
      </c>
      <c r="D2089" s="61">
        <v>102039</v>
      </c>
      <c r="E2089" s="62">
        <v>42133</v>
      </c>
      <c r="F2089" s="285"/>
    </row>
    <row r="2090" spans="1:6" ht="14.25" thickTop="1" thickBot="1">
      <c r="A2090" s="267" t="str">
        <f t="shared" si="90"/>
        <v>MAURILIO ROSA NETO</v>
      </c>
      <c r="B2090" s="68" t="s">
        <v>62</v>
      </c>
      <c r="C2090" s="66" t="s">
        <v>1222</v>
      </c>
      <c r="D2090" s="69">
        <v>27238</v>
      </c>
      <c r="E2090" s="62">
        <v>40242</v>
      </c>
      <c r="F2090" s="285"/>
    </row>
    <row r="2091" spans="1:6" ht="14.25" thickTop="1" thickBot="1">
      <c r="A2091" s="267" t="str">
        <f t="shared" si="90"/>
        <v>MAURINEI ALVES DOS SANTOS</v>
      </c>
      <c r="B2091" s="68" t="s">
        <v>351</v>
      </c>
      <c r="C2091" s="66" t="s">
        <v>712</v>
      </c>
      <c r="D2091" s="61">
        <v>3102</v>
      </c>
      <c r="E2091" s="62">
        <v>42704</v>
      </c>
      <c r="F2091" s="285"/>
    </row>
    <row r="2092" spans="1:6" ht="14.25" thickTop="1" thickBot="1">
      <c r="A2092" s="267" t="str">
        <f t="shared" si="90"/>
        <v>MAURO ANTONIO PAES DE ALMEIDA                      (Boiadeiro)</v>
      </c>
      <c r="B2092" s="68" t="s">
        <v>62</v>
      </c>
      <c r="C2092" s="114" t="s">
        <v>712</v>
      </c>
      <c r="D2092" s="69">
        <v>27238</v>
      </c>
      <c r="E2092" s="115">
        <v>41101</v>
      </c>
      <c r="F2092" s="288" t="s">
        <v>187</v>
      </c>
    </row>
    <row r="2093" spans="1:6" ht="14.25" thickTop="1" thickBot="1">
      <c r="A2093" s="267" t="str">
        <f t="shared" si="90"/>
        <v>MAURO APARECIDO GONÇALVES DOS SANTOS</v>
      </c>
      <c r="B2093" s="68" t="s">
        <v>62</v>
      </c>
      <c r="C2093" s="131" t="s">
        <v>1948</v>
      </c>
      <c r="D2093" s="202">
        <v>27114</v>
      </c>
      <c r="E2093" s="62">
        <v>40259</v>
      </c>
      <c r="F2093" s="285"/>
    </row>
    <row r="2094" spans="1:6" ht="14.25" thickTop="1" thickBot="1">
      <c r="A2094" s="267" t="str">
        <f t="shared" si="90"/>
        <v>MAURO CESAR HARTMANN</v>
      </c>
      <c r="B2094" s="68" t="s">
        <v>516</v>
      </c>
      <c r="C2094" s="66" t="s">
        <v>3304</v>
      </c>
      <c r="D2094" s="65">
        <v>63819</v>
      </c>
      <c r="E2094" s="62">
        <v>42046</v>
      </c>
      <c r="F2094" s="285"/>
    </row>
    <row r="2095" spans="1:6" ht="14.25" thickTop="1" thickBot="1">
      <c r="A2095" s="267" t="str">
        <f t="shared" si="90"/>
        <v>MAURO CEZAR MARIANO DA SILVA</v>
      </c>
      <c r="B2095" s="68" t="s">
        <v>62</v>
      </c>
      <c r="C2095" s="66" t="s">
        <v>549</v>
      </c>
      <c r="D2095" s="67"/>
      <c r="E2095" s="62">
        <v>42471</v>
      </c>
      <c r="F2095" s="285"/>
    </row>
    <row r="2096" spans="1:6" ht="14.25" thickTop="1" thickBot="1">
      <c r="A2096" s="267" t="str">
        <f t="shared" si="90"/>
        <v>MAURO CORREA LOURENÇO</v>
      </c>
      <c r="B2096" s="68" t="s">
        <v>62</v>
      </c>
      <c r="C2096" s="66" t="s">
        <v>767</v>
      </c>
      <c r="D2096" s="67"/>
      <c r="E2096" s="62">
        <v>41207</v>
      </c>
      <c r="F2096" s="296"/>
    </row>
    <row r="2097" spans="1:6" ht="14.25" thickTop="1" thickBot="1">
      <c r="A2097" s="267" t="str">
        <f t="shared" si="90"/>
        <v>MAURO GOIS</v>
      </c>
      <c r="B2097" s="68" t="s">
        <v>15</v>
      </c>
      <c r="C2097" s="66" t="s">
        <v>976</v>
      </c>
      <c r="D2097" s="67"/>
      <c r="E2097" s="62">
        <v>40351</v>
      </c>
      <c r="F2097" s="285"/>
    </row>
    <row r="2098" spans="1:6" ht="14.25" thickTop="1" thickBot="1">
      <c r="A2098" s="267" t="str">
        <f>C2101</f>
        <v>mauro miguel</v>
      </c>
      <c r="B2098" s="68" t="s">
        <v>62</v>
      </c>
      <c r="C2098" s="66" t="s">
        <v>394</v>
      </c>
      <c r="D2098" s="69">
        <v>101654</v>
      </c>
      <c r="E2098" s="62">
        <v>41757</v>
      </c>
      <c r="F2098" s="285"/>
    </row>
    <row r="2099" spans="1:6" ht="14.25" thickTop="1" thickBot="1">
      <c r="A2099" s="267" t="str">
        <f>C2102</f>
        <v>MAURO NABOSNY</v>
      </c>
      <c r="B2099" s="68" t="s">
        <v>62</v>
      </c>
      <c r="C2099" s="66" t="s">
        <v>1196</v>
      </c>
      <c r="D2099" s="65">
        <v>8148</v>
      </c>
      <c r="E2099" s="62">
        <v>42272</v>
      </c>
      <c r="F2099" s="285"/>
    </row>
    <row r="2100" spans="1:6" ht="14.25" thickTop="1" thickBot="1">
      <c r="A2100" s="267" t="str">
        <f>C2102</f>
        <v>MAURO NABOSNY</v>
      </c>
      <c r="B2100" s="68" t="s">
        <v>62</v>
      </c>
      <c r="C2100" s="66" t="s">
        <v>6</v>
      </c>
      <c r="D2100" s="67"/>
      <c r="E2100" s="62">
        <v>43055</v>
      </c>
      <c r="F2100" s="285"/>
    </row>
    <row r="2101" spans="1:6" ht="14.25" thickTop="1" thickBot="1">
      <c r="A2101" s="267"/>
      <c r="B2101" s="68" t="s">
        <v>3594</v>
      </c>
      <c r="C2101" s="64" t="s">
        <v>3595</v>
      </c>
      <c r="D2101" s="65"/>
      <c r="E2101" s="70"/>
      <c r="F2101" s="287"/>
    </row>
    <row r="2102" spans="1:6" ht="14.25" thickTop="1" thickBot="1">
      <c r="A2102" s="267"/>
      <c r="B2102" s="68" t="s">
        <v>3470</v>
      </c>
      <c r="C2102" s="77" t="s">
        <v>3471</v>
      </c>
      <c r="D2102" s="61"/>
      <c r="E2102" s="62">
        <v>43964</v>
      </c>
      <c r="F2102" s="285"/>
    </row>
    <row r="2103" spans="1:6" ht="14.25" thickTop="1" thickBot="1">
      <c r="A2103" s="267"/>
      <c r="B2103" s="68" t="s">
        <v>126</v>
      </c>
      <c r="C2103" s="66" t="s">
        <v>768</v>
      </c>
      <c r="D2103" s="65">
        <v>27102</v>
      </c>
      <c r="E2103" s="62">
        <v>40763</v>
      </c>
      <c r="F2103" s="285"/>
    </row>
    <row r="2104" spans="1:6" ht="14.25" thickTop="1" thickBot="1">
      <c r="A2104" s="267" t="str">
        <f>C2106</f>
        <v>MAYCO DE SOUZA MORETTE                (B.O. / Rapadura)</v>
      </c>
      <c r="B2104" s="68" t="s">
        <v>351</v>
      </c>
      <c r="C2104" s="64" t="s">
        <v>905</v>
      </c>
      <c r="D2104" s="65">
        <v>78619</v>
      </c>
      <c r="E2104" s="62">
        <v>43613</v>
      </c>
      <c r="F2104" s="287"/>
    </row>
    <row r="2105" spans="1:6" ht="14.25" thickTop="1" thickBot="1">
      <c r="A2105" s="267" t="str">
        <f>C2107</f>
        <v>MAYCON CESAR BARRADAS</v>
      </c>
      <c r="B2105" s="68" t="s">
        <v>1906</v>
      </c>
      <c r="C2105" s="64" t="s">
        <v>2207</v>
      </c>
      <c r="D2105" s="61"/>
      <c r="E2105" s="62">
        <v>40703</v>
      </c>
      <c r="F2105" s="285"/>
    </row>
    <row r="2106" spans="1:6" ht="14.25" thickTop="1" thickBot="1">
      <c r="A2106" s="267" t="str">
        <f>C2108</f>
        <v>MAYCON CEZAR BARRADAS</v>
      </c>
      <c r="B2106" s="68" t="s">
        <v>62</v>
      </c>
      <c r="C2106" s="194" t="s">
        <v>3303</v>
      </c>
      <c r="D2106" s="61">
        <v>78619</v>
      </c>
      <c r="E2106" s="62">
        <v>41802</v>
      </c>
      <c r="F2106" s="285"/>
    </row>
    <row r="2107" spans="1:6" ht="14.25" thickTop="1" thickBot="1">
      <c r="A2107" s="267" t="str">
        <f>C2109</f>
        <v>MAYCON DA SILVA PINHEIRO                    (Menor)</v>
      </c>
      <c r="B2107" s="61" t="s">
        <v>351</v>
      </c>
      <c r="C2107" s="66" t="s">
        <v>1901</v>
      </c>
      <c r="D2107" s="65">
        <v>63816</v>
      </c>
      <c r="E2107" s="62">
        <v>43383</v>
      </c>
      <c r="F2107" s="284"/>
    </row>
    <row r="2108" spans="1:6" ht="14.25" thickTop="1" thickBot="1">
      <c r="A2108" s="267"/>
      <c r="B2108" s="68" t="s">
        <v>62</v>
      </c>
      <c r="C2108" s="66" t="s">
        <v>1153</v>
      </c>
      <c r="D2108" s="65">
        <v>63779</v>
      </c>
      <c r="E2108" s="70">
        <v>42328</v>
      </c>
      <c r="F2108" s="284"/>
    </row>
    <row r="2109" spans="1:6" ht="14.25" thickTop="1" thickBot="1">
      <c r="A2109" s="267" t="str">
        <f>C2111</f>
        <v>MAYCON PEREIRA BARBOSA</v>
      </c>
      <c r="B2109" s="68" t="s">
        <v>415</v>
      </c>
      <c r="C2109" s="66" t="s">
        <v>3302</v>
      </c>
      <c r="D2109" s="61">
        <v>155739</v>
      </c>
      <c r="E2109" s="62">
        <v>41984</v>
      </c>
      <c r="F2109" s="285"/>
    </row>
    <row r="2110" spans="1:6" ht="14.25" thickTop="1" thickBot="1">
      <c r="A2110" s="267" t="str">
        <f>C2112</f>
        <v>MAYLSON DIEGO RIBAS DE PAULA</v>
      </c>
      <c r="B2110" s="68" t="s">
        <v>62</v>
      </c>
      <c r="C2110" s="64" t="s">
        <v>1530</v>
      </c>
      <c r="D2110" s="65">
        <v>101189</v>
      </c>
      <c r="E2110" s="62">
        <v>41991</v>
      </c>
      <c r="F2110" s="285"/>
    </row>
    <row r="2111" spans="1:6" ht="14.25" thickTop="1" thickBot="1">
      <c r="A2111" s="267" t="str">
        <f>C2113</f>
        <v>MEIRISOM FLORENTINO SKRENKOVICZ</v>
      </c>
      <c r="B2111" s="68" t="s">
        <v>1306</v>
      </c>
      <c r="C2111" s="66" t="s">
        <v>1003</v>
      </c>
      <c r="D2111" s="65">
        <v>63985</v>
      </c>
      <c r="E2111" s="62">
        <v>43241</v>
      </c>
      <c r="F2111" s="285"/>
    </row>
    <row r="2112" spans="1:6" ht="14.25" thickTop="1" thickBot="1">
      <c r="A2112" s="267" t="str">
        <f>C2114</f>
        <v>MESSIAS ROCHA</v>
      </c>
      <c r="B2112" s="68" t="s">
        <v>62</v>
      </c>
      <c r="C2112" s="66" t="s">
        <v>471</v>
      </c>
      <c r="D2112" s="65">
        <v>63916</v>
      </c>
      <c r="E2112" s="62">
        <v>43084</v>
      </c>
      <c r="F2112" s="293"/>
    </row>
    <row r="2113" spans="1:6" ht="14.25" thickTop="1" thickBot="1">
      <c r="A2113" s="267" t="str">
        <f>C2115</f>
        <v>MICHAEL ALEXANDRE DE FREITAS</v>
      </c>
      <c r="B2113" s="68" t="s">
        <v>62</v>
      </c>
      <c r="C2113" s="66" t="s">
        <v>2267</v>
      </c>
      <c r="D2113" s="65"/>
      <c r="E2113" s="62">
        <v>40725</v>
      </c>
      <c r="F2113" s="285"/>
    </row>
    <row r="2114" spans="1:6" ht="14.25" thickTop="1" thickBot="1">
      <c r="A2114" s="269" t="s">
        <v>1250</v>
      </c>
      <c r="B2114" s="89" t="s">
        <v>1812</v>
      </c>
      <c r="C2114" s="66" t="s">
        <v>290</v>
      </c>
      <c r="D2114" s="68">
        <v>101365</v>
      </c>
      <c r="E2114" s="62">
        <v>37587</v>
      </c>
      <c r="F2114" s="285"/>
    </row>
    <row r="2115" spans="1:6" ht="14.25" thickTop="1" thickBot="1">
      <c r="A2115" s="267" t="str">
        <f t="shared" ref="A2115:A2127" si="91">C2117</f>
        <v>MICHAEL EDUARDO CARNEIRO</v>
      </c>
      <c r="B2115" s="68" t="s">
        <v>2406</v>
      </c>
      <c r="C2115" s="77" t="s">
        <v>1250</v>
      </c>
      <c r="D2115" s="61">
        <v>63916</v>
      </c>
      <c r="E2115" s="81">
        <v>43782</v>
      </c>
      <c r="F2115" s="285"/>
    </row>
    <row r="2116" spans="1:6" ht="14.25" thickTop="1" thickBot="1">
      <c r="A2116" s="267" t="str">
        <f t="shared" si="91"/>
        <v>MICHAEL FERRAZ DOS SANTOS</v>
      </c>
      <c r="B2116" s="89" t="s">
        <v>62</v>
      </c>
      <c r="C2116" s="66" t="s">
        <v>1250</v>
      </c>
      <c r="D2116" s="61"/>
      <c r="E2116" s="62">
        <v>40301</v>
      </c>
      <c r="F2116" s="285"/>
    </row>
    <row r="2117" spans="1:6" ht="14.25" thickTop="1" thickBot="1">
      <c r="A2117" s="267" t="str">
        <f t="shared" si="91"/>
        <v>MICHAEL LUIZ GAUDENCIO</v>
      </c>
      <c r="B2117" s="177" t="s">
        <v>1298</v>
      </c>
      <c r="C2117" s="66" t="s">
        <v>1804</v>
      </c>
      <c r="D2117" s="61">
        <v>102304</v>
      </c>
      <c r="E2117" s="62">
        <v>41957</v>
      </c>
      <c r="F2117" s="285"/>
    </row>
    <row r="2118" spans="1:6" ht="14.25" thickTop="1" thickBot="1">
      <c r="A2118" s="267" t="str">
        <f t="shared" si="91"/>
        <v>MICHEL MACHADO CARNEIRO                 (Maluco)</v>
      </c>
      <c r="B2118" s="68" t="s">
        <v>62</v>
      </c>
      <c r="C2118" s="66" t="s">
        <v>1237</v>
      </c>
      <c r="D2118" s="177"/>
      <c r="E2118" s="62">
        <v>40242</v>
      </c>
      <c r="F2118" s="285"/>
    </row>
    <row r="2119" spans="1:6" ht="14.25" thickTop="1" thickBot="1">
      <c r="A2119" s="267" t="str">
        <f t="shared" si="91"/>
        <v>MICHEL PEREIRA EVANGELISTA</v>
      </c>
      <c r="B2119" s="61" t="s">
        <v>351</v>
      </c>
      <c r="C2119" s="64" t="s">
        <v>395</v>
      </c>
      <c r="D2119" s="67"/>
      <c r="E2119" s="62">
        <v>43383</v>
      </c>
      <c r="F2119" s="284"/>
    </row>
    <row r="2120" spans="1:6" ht="14.25" thickTop="1" thickBot="1">
      <c r="A2120" s="267" t="str">
        <f t="shared" si="91"/>
        <v>MIGUEL ALESSANDRO LOPES DA LUZ</v>
      </c>
      <c r="B2120" s="68" t="s">
        <v>62</v>
      </c>
      <c r="C2120" s="195" t="s">
        <v>3301</v>
      </c>
      <c r="D2120" s="61">
        <v>124952</v>
      </c>
      <c r="E2120" s="115">
        <v>40181</v>
      </c>
      <c r="F2120" s="288" t="s">
        <v>757</v>
      </c>
    </row>
    <row r="2121" spans="1:6" ht="14.25" thickTop="1" thickBot="1">
      <c r="A2121" s="267" t="str">
        <f t="shared" si="91"/>
        <v xml:space="preserve">MIGUEL ALFREDO GONCALVES      </v>
      </c>
      <c r="B2121" s="68" t="s">
        <v>62</v>
      </c>
      <c r="C2121" s="66" t="s">
        <v>2016</v>
      </c>
      <c r="D2121" s="61">
        <v>53128</v>
      </c>
      <c r="E2121" s="62">
        <v>41625</v>
      </c>
      <c r="F2121" s="285"/>
    </row>
    <row r="2122" spans="1:6" ht="14.25" thickTop="1" thickBot="1">
      <c r="A2122" s="267" t="str">
        <f t="shared" si="91"/>
        <v>MIGUEL ALVES RIBEIRO</v>
      </c>
      <c r="B2122" s="68" t="s">
        <v>62</v>
      </c>
      <c r="C2122" s="66" t="s">
        <v>769</v>
      </c>
      <c r="D2122" s="67"/>
      <c r="E2122" s="70">
        <v>42919</v>
      </c>
      <c r="F2122" s="284"/>
    </row>
    <row r="2123" spans="1:6" ht="14.25" thickTop="1" thickBot="1">
      <c r="A2123" s="267" t="str">
        <f t="shared" si="91"/>
        <v>MIGUEL ANGELO LINZING</v>
      </c>
      <c r="B2123" s="89" t="s">
        <v>62</v>
      </c>
      <c r="C2123" s="64" t="s">
        <v>397</v>
      </c>
      <c r="D2123" s="65">
        <v>63761</v>
      </c>
      <c r="E2123" s="115">
        <v>40431</v>
      </c>
      <c r="F2123" s="288" t="s">
        <v>757</v>
      </c>
    </row>
    <row r="2124" spans="1:6" ht="14.25" thickTop="1" thickBot="1">
      <c r="A2124" s="267" t="str">
        <f t="shared" si="91"/>
        <v>MIGUEL CUNHA MACHADO</v>
      </c>
      <c r="B2124" s="68" t="s">
        <v>62</v>
      </c>
      <c r="C2124" s="66" t="s">
        <v>691</v>
      </c>
      <c r="D2124" s="61">
        <v>27245</v>
      </c>
      <c r="E2124" s="62">
        <v>41646</v>
      </c>
      <c r="F2124" s="285"/>
    </row>
    <row r="2125" spans="1:6" ht="14.25" thickTop="1" thickBot="1">
      <c r="A2125" s="267" t="str">
        <f t="shared" si="91"/>
        <v>MIGUEL DOLCI</v>
      </c>
      <c r="B2125" s="68" t="s">
        <v>62</v>
      </c>
      <c r="C2125" s="66" t="s">
        <v>910</v>
      </c>
      <c r="D2125" s="69">
        <v>63866</v>
      </c>
      <c r="E2125" s="62">
        <v>40742</v>
      </c>
      <c r="F2125" s="288" t="s">
        <v>757</v>
      </c>
    </row>
    <row r="2126" spans="1:6" ht="14.25" thickTop="1" thickBot="1">
      <c r="A2126" s="267" t="str">
        <f t="shared" si="91"/>
        <v>MIGUEL DOS ANJOS</v>
      </c>
      <c r="B2126" s="68" t="s">
        <v>1812</v>
      </c>
      <c r="C2126" s="66" t="s">
        <v>152</v>
      </c>
      <c r="D2126" s="69">
        <v>11245</v>
      </c>
      <c r="E2126" s="62">
        <v>42914</v>
      </c>
      <c r="F2126" s="285"/>
    </row>
    <row r="2127" spans="1:6" ht="14.25" thickTop="1" thickBot="1">
      <c r="A2127" s="267" t="str">
        <f t="shared" si="91"/>
        <v>MIGUEL FRANCO FERREIRA</v>
      </c>
      <c r="B2127" s="68" t="s">
        <v>62</v>
      </c>
      <c r="C2127" s="66" t="s">
        <v>1017</v>
      </c>
      <c r="D2127" s="61">
        <v>10024</v>
      </c>
      <c r="E2127" s="62">
        <v>40242</v>
      </c>
      <c r="F2127" s="285"/>
    </row>
    <row r="2128" spans="1:6" ht="14.25" thickTop="1" thickBot="1">
      <c r="A2128" s="267"/>
      <c r="B2128" s="68" t="s">
        <v>62</v>
      </c>
      <c r="C2128" s="66" t="s">
        <v>398</v>
      </c>
      <c r="D2128" s="61">
        <v>21412</v>
      </c>
      <c r="E2128" s="62">
        <v>41773</v>
      </c>
      <c r="F2128" s="285"/>
    </row>
    <row r="2129" spans="1:6" ht="14.25" thickTop="1" thickBot="1">
      <c r="A2129" s="267" t="str">
        <f>C2131</f>
        <v>MIGUEL LUIS DE LIMA</v>
      </c>
      <c r="B2129" s="68" t="s">
        <v>2406</v>
      </c>
      <c r="C2129" s="66" t="s">
        <v>728</v>
      </c>
      <c r="D2129" s="198">
        <v>27083</v>
      </c>
      <c r="E2129" s="70">
        <v>43689</v>
      </c>
      <c r="F2129" s="287"/>
    </row>
    <row r="2130" spans="1:6" ht="14.25" thickTop="1" thickBot="1">
      <c r="A2130" s="267" t="str">
        <f>C2132</f>
        <v>MIGUEL NUNES PEREIRA</v>
      </c>
      <c r="B2130" s="68" t="s">
        <v>62</v>
      </c>
      <c r="C2130" s="66" t="s">
        <v>2113</v>
      </c>
      <c r="D2130" s="65">
        <v>63064</v>
      </c>
      <c r="E2130" s="70">
        <v>42326</v>
      </c>
      <c r="F2130" s="284"/>
    </row>
    <row r="2131" spans="1:6" ht="14.25" thickTop="1" thickBot="1">
      <c r="A2131" s="267" t="str">
        <f>C2133</f>
        <v>MIGUEL PINHEIRO DOS SANTOS</v>
      </c>
      <c r="B2131" s="68" t="s">
        <v>62</v>
      </c>
      <c r="C2131" s="64" t="s">
        <v>772</v>
      </c>
      <c r="D2131" s="65">
        <v>63744</v>
      </c>
      <c r="E2131" s="62">
        <v>40107</v>
      </c>
      <c r="F2131" s="285"/>
    </row>
    <row r="2132" spans="1:6" ht="14.25" thickTop="1" thickBot="1">
      <c r="A2132" s="267"/>
      <c r="B2132" s="68" t="s">
        <v>1298</v>
      </c>
      <c r="C2132" s="64" t="s">
        <v>722</v>
      </c>
      <c r="D2132" s="67"/>
      <c r="E2132" s="62">
        <v>41372</v>
      </c>
      <c r="F2132" s="285"/>
    </row>
    <row r="2133" spans="1:6" ht="14.25" thickTop="1" thickBot="1">
      <c r="A2133" s="267" t="str">
        <f t="shared" ref="A2133:A2140" si="92">C2135</f>
        <v>MILTON JOSE DOS SANTOS VAZ                   (Moranga)</v>
      </c>
      <c r="B2133" s="68" t="s">
        <v>62</v>
      </c>
      <c r="C2133" s="64" t="s">
        <v>400</v>
      </c>
      <c r="D2133" s="67"/>
      <c r="E2133" s="62">
        <v>41417</v>
      </c>
      <c r="F2133" s="285"/>
    </row>
    <row r="2134" spans="1:6" ht="14.25" thickTop="1" thickBot="1">
      <c r="A2134" s="267" t="str">
        <f t="shared" si="92"/>
        <v>MIQUEIAS DE MORAES                           (Pesadelo)</v>
      </c>
      <c r="B2134" s="68" t="s">
        <v>62</v>
      </c>
      <c r="C2134" s="64" t="s">
        <v>402</v>
      </c>
      <c r="D2134" s="61">
        <v>63207</v>
      </c>
      <c r="E2134" s="62">
        <v>43033</v>
      </c>
      <c r="F2134" s="289"/>
    </row>
    <row r="2135" spans="1:6" ht="14.25" thickTop="1" thickBot="1">
      <c r="A2135" s="267" t="str">
        <f t="shared" si="92"/>
        <v>MIQUEIAS MARTINS</v>
      </c>
      <c r="B2135" s="68" t="s">
        <v>351</v>
      </c>
      <c r="C2135" s="66" t="s">
        <v>3299</v>
      </c>
      <c r="D2135" s="65">
        <v>120487</v>
      </c>
      <c r="E2135" s="70">
        <v>42328</v>
      </c>
      <c r="F2135" s="284"/>
    </row>
    <row r="2136" spans="1:6" ht="14.25" thickTop="1" thickBot="1">
      <c r="A2136" s="267" t="str">
        <f t="shared" si="92"/>
        <v>MISAEL ODAIR GALVAO POLAK</v>
      </c>
      <c r="B2136" s="68" t="s">
        <v>62</v>
      </c>
      <c r="C2136" s="66" t="s">
        <v>3300</v>
      </c>
      <c r="D2136" s="61">
        <v>120214</v>
      </c>
      <c r="E2136" s="62">
        <v>40561</v>
      </c>
      <c r="F2136" s="285"/>
    </row>
    <row r="2137" spans="1:6" ht="14.25" thickTop="1" thickBot="1">
      <c r="A2137" s="267" t="str">
        <f t="shared" si="92"/>
        <v>MITSSUN GUSTAVO DE CARVALHO</v>
      </c>
      <c r="B2137" s="61" t="s">
        <v>3630</v>
      </c>
      <c r="C2137" s="77" t="s">
        <v>2707</v>
      </c>
      <c r="D2137" s="61">
        <v>130795</v>
      </c>
      <c r="E2137" s="70">
        <v>44123</v>
      </c>
      <c r="F2137" s="405"/>
    </row>
    <row r="2138" spans="1:6" ht="14.25" thickTop="1" thickBot="1">
      <c r="A2138" s="267" t="str">
        <f t="shared" si="92"/>
        <v>MOACIR DE GODOI MARINS</v>
      </c>
      <c r="B2138" s="67" t="s">
        <v>62</v>
      </c>
      <c r="C2138" s="66" t="s">
        <v>1909</v>
      </c>
      <c r="D2138" s="65">
        <v>27260</v>
      </c>
      <c r="E2138" s="70">
        <v>42492</v>
      </c>
      <c r="F2138" s="284"/>
    </row>
    <row r="2139" spans="1:6" ht="14.25" thickTop="1" thickBot="1">
      <c r="A2139" s="267" t="str">
        <f t="shared" si="92"/>
        <v>MOACIR RIBAS</v>
      </c>
      <c r="B2139" s="67" t="s">
        <v>1522</v>
      </c>
      <c r="C2139" s="66" t="s">
        <v>406</v>
      </c>
      <c r="D2139" s="65">
        <v>63090</v>
      </c>
      <c r="E2139" s="62">
        <v>42240</v>
      </c>
      <c r="F2139" s="285"/>
    </row>
    <row r="2140" spans="1:6" ht="14.25" thickTop="1" thickBot="1">
      <c r="A2140" s="267" t="str">
        <f t="shared" si="92"/>
        <v>MOISES DA SILVA CARVALHO</v>
      </c>
      <c r="B2140" s="68" t="s">
        <v>62</v>
      </c>
      <c r="C2140" s="66" t="s">
        <v>499</v>
      </c>
      <c r="D2140" s="65">
        <v>101748</v>
      </c>
      <c r="E2140" s="62">
        <v>40561</v>
      </c>
      <c r="F2140" s="285"/>
    </row>
    <row r="2141" spans="1:6" ht="14.25" thickTop="1" thickBot="1">
      <c r="A2141" s="267" t="s">
        <v>2399</v>
      </c>
      <c r="B2141" s="89" t="s">
        <v>1635</v>
      </c>
      <c r="C2141" s="66" t="s">
        <v>1021</v>
      </c>
      <c r="D2141" s="65">
        <v>63867</v>
      </c>
      <c r="E2141" s="62">
        <v>40094</v>
      </c>
      <c r="F2141" s="285"/>
    </row>
    <row r="2142" spans="1:6" ht="14.25" thickTop="1" thickBot="1">
      <c r="A2142" s="267" t="str">
        <f>C2144</f>
        <v>MOISES GOMES DA SILVA                            (Leo)</v>
      </c>
      <c r="B2142" s="89" t="s">
        <v>126</v>
      </c>
      <c r="C2142" s="64" t="s">
        <v>123</v>
      </c>
      <c r="D2142" s="61">
        <v>27249</v>
      </c>
      <c r="E2142" s="62">
        <v>43398</v>
      </c>
      <c r="F2142" s="285"/>
    </row>
    <row r="2143" spans="1:6" ht="14.25" thickTop="1" thickBot="1">
      <c r="A2143" s="271" t="s">
        <v>2443</v>
      </c>
      <c r="B2143" s="68" t="s">
        <v>62</v>
      </c>
      <c r="C2143" s="66" t="s">
        <v>890</v>
      </c>
      <c r="D2143" s="65"/>
      <c r="E2143" s="62">
        <v>40441</v>
      </c>
      <c r="F2143" s="285"/>
    </row>
    <row r="2144" spans="1:6" ht="14.25" thickTop="1" thickBot="1">
      <c r="A2144" s="267" t="str">
        <f>C2146</f>
        <v>MURILO ALVES FRANÇA TAVARES</v>
      </c>
      <c r="B2144" s="68" t="s">
        <v>2593</v>
      </c>
      <c r="C2144" s="60" t="s">
        <v>3298</v>
      </c>
      <c r="D2144" s="61">
        <v>58887</v>
      </c>
      <c r="E2144" s="62">
        <v>43524</v>
      </c>
      <c r="F2144" s="285"/>
    </row>
    <row r="2145" spans="1:6" ht="14.25" thickTop="1" thickBot="1">
      <c r="A2145" s="267" t="str">
        <f>C2147</f>
        <v>MURILO DA SILVA CARNEIRO DOFF SOTTA    (Raio X)</v>
      </c>
      <c r="B2145" s="68" t="s">
        <v>2347</v>
      </c>
      <c r="C2145" s="66" t="s">
        <v>231</v>
      </c>
      <c r="D2145" s="65"/>
      <c r="E2145" s="62">
        <v>43346</v>
      </c>
      <c r="F2145" s="285"/>
    </row>
    <row r="2146" spans="1:6" ht="14.25" thickTop="1" thickBot="1">
      <c r="A2146" s="267" t="str">
        <f>C2151</f>
        <v>NATANAEL DE QUADROS BRAGA</v>
      </c>
      <c r="B2146" s="68" t="s">
        <v>1812</v>
      </c>
      <c r="C2146" s="60" t="s">
        <v>2443</v>
      </c>
      <c r="D2146" s="61">
        <v>117390</v>
      </c>
      <c r="E2146" s="62">
        <v>40444</v>
      </c>
      <c r="F2146" s="285"/>
    </row>
    <row r="2147" spans="1:6" ht="14.25" thickTop="1" thickBot="1">
      <c r="A2147" s="267" t="str">
        <f>C2153</f>
        <v>NEI GUILHERME TONIOLO LAZARINI</v>
      </c>
      <c r="B2147" s="68" t="s">
        <v>1033</v>
      </c>
      <c r="C2147" s="196" t="s">
        <v>3092</v>
      </c>
      <c r="D2147" s="61">
        <v>44133</v>
      </c>
      <c r="E2147" s="62">
        <v>41417</v>
      </c>
      <c r="F2147" s="285"/>
    </row>
    <row r="2148" spans="1:6" ht="14.25" thickTop="1" thickBot="1">
      <c r="A2148" s="267" t="str">
        <f>C2150</f>
        <v>NAIRON DE TASSO DE SOUZA SANTOS               (Bea)</v>
      </c>
      <c r="B2148" s="68" t="s">
        <v>1812</v>
      </c>
      <c r="C2148" s="64" t="s">
        <v>1940</v>
      </c>
      <c r="D2148" s="67">
        <v>44380</v>
      </c>
      <c r="E2148" s="70">
        <v>42915</v>
      </c>
      <c r="F2148" s="284"/>
    </row>
    <row r="2149" spans="1:6" ht="14.25" thickTop="1" thickBot="1">
      <c r="A2149" s="267" t="str">
        <f>C2150</f>
        <v>NAIRON DE TASSO DE SOUZA SANTOS               (Bea)</v>
      </c>
      <c r="B2149" s="163" t="s">
        <v>2413</v>
      </c>
      <c r="C2149" s="66" t="s">
        <v>2298</v>
      </c>
      <c r="D2149" s="61">
        <v>153205</v>
      </c>
      <c r="E2149" s="204">
        <v>43983</v>
      </c>
      <c r="F2149" s="284"/>
    </row>
    <row r="2150" spans="1:6" ht="14.25" thickTop="1" thickBot="1">
      <c r="A2150" s="267" t="str">
        <f>C2153</f>
        <v>NEI GUILHERME TONIOLO LAZARINI</v>
      </c>
      <c r="B2150" s="68" t="s">
        <v>351</v>
      </c>
      <c r="C2150" s="66" t="s">
        <v>3297</v>
      </c>
      <c r="D2150" s="61">
        <v>54477</v>
      </c>
      <c r="E2150" s="62">
        <v>40134</v>
      </c>
      <c r="F2150" s="285"/>
    </row>
    <row r="2151" spans="1:6" ht="14.25" thickTop="1" thickBot="1">
      <c r="A2151" s="267" t="str">
        <f>C2154</f>
        <v>NEILOR SERGIO PABIS                                           (Queijinho)</v>
      </c>
      <c r="B2151" s="68" t="s">
        <v>351</v>
      </c>
      <c r="C2151" s="66" t="s">
        <v>1987</v>
      </c>
      <c r="D2151" s="61">
        <v>118025</v>
      </c>
      <c r="E2151" s="81">
        <v>40288</v>
      </c>
      <c r="F2151" s="285"/>
    </row>
    <row r="2152" spans="1:6" ht="14.25" thickTop="1" thickBot="1">
      <c r="A2152" s="267" t="str">
        <f>C2154</f>
        <v>NEILOR SERGIO PABIS                                           (Queijinho)</v>
      </c>
      <c r="B2152" s="68" t="s">
        <v>62</v>
      </c>
      <c r="C2152" s="64" t="s">
        <v>1647</v>
      </c>
      <c r="D2152" s="61">
        <v>117554</v>
      </c>
      <c r="E2152" s="62">
        <v>42914</v>
      </c>
      <c r="F2152" s="285"/>
    </row>
    <row r="2153" spans="1:6" ht="14.25" thickTop="1" thickBot="1">
      <c r="A2153" s="267" t="str">
        <f>C2155</f>
        <v>NEILTON FRANCISCO DE OLIVEIRA JUNIOR</v>
      </c>
      <c r="B2153" s="68" t="s">
        <v>62</v>
      </c>
      <c r="C2153" s="66" t="s">
        <v>1646</v>
      </c>
      <c r="D2153" s="69">
        <v>63869</v>
      </c>
      <c r="E2153" s="62">
        <v>42327</v>
      </c>
      <c r="F2153" s="285"/>
    </row>
    <row r="2154" spans="1:6" ht="14.25" thickTop="1" thickBot="1">
      <c r="A2154" s="267" t="str">
        <f>C2156</f>
        <v>NELSON ALDIMIRA PEREIRA</v>
      </c>
      <c r="B2154" s="68" t="s">
        <v>62</v>
      </c>
      <c r="C2154" s="66" t="s">
        <v>3296</v>
      </c>
      <c r="D2154" s="61">
        <v>118029</v>
      </c>
      <c r="E2154" s="62">
        <v>42391</v>
      </c>
      <c r="F2154" s="287"/>
    </row>
    <row r="2155" spans="1:6" ht="14.25" thickTop="1" thickBot="1">
      <c r="A2155" s="267" t="str">
        <f>C2157</f>
        <v>NELSON FERREIRA                           (Pangaré)</v>
      </c>
      <c r="B2155" s="68" t="s">
        <v>15</v>
      </c>
      <c r="C2155" s="66" t="s">
        <v>1653</v>
      </c>
      <c r="D2155" s="312">
        <v>63869</v>
      </c>
      <c r="E2155" s="62">
        <v>40689</v>
      </c>
      <c r="F2155" s="285"/>
    </row>
    <row r="2156" spans="1:6" ht="14.25" thickTop="1" thickBot="1">
      <c r="A2156" s="267" t="str">
        <f>C2158</f>
        <v>NELSON LUIS DA SILVA</v>
      </c>
      <c r="B2156" s="68" t="s">
        <v>62</v>
      </c>
      <c r="C2156" s="64" t="s">
        <v>1175</v>
      </c>
      <c r="D2156" s="61">
        <v>102374</v>
      </c>
      <c r="E2156" s="62">
        <v>41095</v>
      </c>
      <c r="F2156" s="285"/>
    </row>
    <row r="2157" spans="1:6" ht="14.25" thickTop="1" thickBot="1">
      <c r="A2157" s="267"/>
      <c r="B2157" s="68" t="s">
        <v>62</v>
      </c>
      <c r="C2157" s="66" t="s">
        <v>3295</v>
      </c>
      <c r="D2157" s="61">
        <v>27226</v>
      </c>
      <c r="E2157" s="62">
        <v>42228</v>
      </c>
      <c r="F2157" s="285"/>
    </row>
    <row r="2158" spans="1:6" ht="14.25" thickTop="1" thickBot="1">
      <c r="A2158" s="267"/>
      <c r="B2158" s="68" t="s">
        <v>1812</v>
      </c>
      <c r="C2158" s="192" t="s">
        <v>2643</v>
      </c>
      <c r="D2158" s="61">
        <v>27226</v>
      </c>
      <c r="E2158" s="62">
        <v>43850</v>
      </c>
      <c r="F2158" s="285"/>
    </row>
    <row r="2159" spans="1:6" ht="14.25" thickTop="1" thickBot="1">
      <c r="A2159" s="267" t="str">
        <f>C2161</f>
        <v>NELSON MANOSSO VALENTIM</v>
      </c>
      <c r="B2159" s="68" t="s">
        <v>62</v>
      </c>
      <c r="C2159" s="66" t="s">
        <v>1505</v>
      </c>
      <c r="D2159" s="67"/>
      <c r="E2159" s="70">
        <v>42492</v>
      </c>
      <c r="F2159" s="284"/>
    </row>
    <row r="2160" spans="1:6" ht="14.25" thickTop="1" thickBot="1">
      <c r="A2160" s="267" t="s">
        <v>439</v>
      </c>
      <c r="B2160" s="68" t="s">
        <v>546</v>
      </c>
      <c r="C2160" s="66" t="s">
        <v>1328</v>
      </c>
      <c r="D2160" s="65"/>
      <c r="E2160" s="62">
        <v>40826</v>
      </c>
      <c r="F2160" s="285"/>
    </row>
    <row r="2161" spans="1:6" ht="14.25" thickTop="1" thickBot="1">
      <c r="A2161" s="267" t="str">
        <f>C2163</f>
        <v>NELSON SANTANA</v>
      </c>
      <c r="B2161" s="68" t="s">
        <v>2413</v>
      </c>
      <c r="C2161" s="66" t="s">
        <v>1636</v>
      </c>
      <c r="D2161" s="67"/>
      <c r="E2161" s="62">
        <v>43529</v>
      </c>
      <c r="F2161" s="285"/>
    </row>
    <row r="2162" spans="1:6" ht="14.25" thickTop="1" thickBot="1">
      <c r="A2162" s="267" t="str">
        <f>C2164</f>
        <v>NELSON SANTANA</v>
      </c>
      <c r="B2162" s="68" t="s">
        <v>62</v>
      </c>
      <c r="C2162" s="66" t="s">
        <v>1331</v>
      </c>
      <c r="D2162" s="67"/>
      <c r="E2162" s="62">
        <v>42851</v>
      </c>
      <c r="F2162" s="285"/>
    </row>
    <row r="2163" spans="1:6" ht="14.25" thickTop="1" thickBot="1">
      <c r="A2163" s="267" t="str">
        <f>C2165</f>
        <v>NENE SWIATOWSKI</v>
      </c>
      <c r="B2163" s="67" t="s">
        <v>1522</v>
      </c>
      <c r="C2163" s="66" t="s">
        <v>439</v>
      </c>
      <c r="D2163" s="61">
        <v>102601</v>
      </c>
      <c r="E2163" s="62">
        <v>42038</v>
      </c>
      <c r="F2163" s="285"/>
    </row>
    <row r="2164" spans="1:6" ht="14.25" thickTop="1" thickBot="1">
      <c r="A2164" s="267"/>
      <c r="B2164" s="68" t="s">
        <v>62</v>
      </c>
      <c r="C2164" s="66" t="s">
        <v>439</v>
      </c>
      <c r="D2164" s="65">
        <v>101084</v>
      </c>
      <c r="E2164" s="70">
        <v>42838</v>
      </c>
      <c r="F2164" s="284"/>
    </row>
    <row r="2165" spans="1:6" ht="14.25" thickTop="1" thickBot="1">
      <c r="A2165" s="267" t="str">
        <f>C2167</f>
        <v>NEWTON CARLOS DE ASSIS</v>
      </c>
      <c r="B2165" s="68" t="s">
        <v>2413</v>
      </c>
      <c r="C2165" s="261" t="s">
        <v>2667</v>
      </c>
      <c r="D2165" s="61">
        <v>158072</v>
      </c>
      <c r="E2165" s="62">
        <v>43749</v>
      </c>
      <c r="F2165" s="285"/>
    </row>
    <row r="2166" spans="1:6" ht="14.25" thickTop="1" thickBot="1">
      <c r="A2166" s="267" t="s">
        <v>1573</v>
      </c>
      <c r="B2166" s="68" t="s">
        <v>1306</v>
      </c>
      <c r="C2166" s="66" t="s">
        <v>3093</v>
      </c>
      <c r="D2166" s="65">
        <v>63603</v>
      </c>
      <c r="E2166" s="62">
        <v>42703</v>
      </c>
      <c r="F2166" s="285"/>
    </row>
    <row r="2167" spans="1:6" ht="14.25" thickTop="1" thickBot="1">
      <c r="A2167" s="267" t="str">
        <f t="shared" ref="A2167:A2180" si="93">C2169</f>
        <v>NIKOLAS TEIXEIRA DA LUZ</v>
      </c>
      <c r="B2167" s="68" t="s">
        <v>2413</v>
      </c>
      <c r="C2167" s="64" t="s">
        <v>440</v>
      </c>
      <c r="D2167" s="67"/>
      <c r="E2167" s="62"/>
      <c r="F2167" s="285"/>
    </row>
    <row r="2168" spans="1:6" ht="14.25" thickTop="1" thickBot="1">
      <c r="A2168" s="267" t="str">
        <f t="shared" si="93"/>
        <v>NILBERTO GALVAO</v>
      </c>
      <c r="B2168" s="68" t="s">
        <v>62</v>
      </c>
      <c r="C2168" s="66" t="s">
        <v>677</v>
      </c>
      <c r="D2168" s="65">
        <v>10225</v>
      </c>
      <c r="E2168" s="62">
        <v>43077</v>
      </c>
      <c r="F2168" s="285"/>
    </row>
    <row r="2169" spans="1:6" ht="14.25" thickTop="1" thickBot="1">
      <c r="A2169" s="267" t="str">
        <f t="shared" si="93"/>
        <v>NILCEU CESAR VIDAL                  (Baixinho)</v>
      </c>
      <c r="B2169" s="68" t="s">
        <v>62</v>
      </c>
      <c r="C2169" s="64" t="s">
        <v>1573</v>
      </c>
      <c r="D2169" s="65">
        <v>107221</v>
      </c>
      <c r="E2169" s="70">
        <v>42447</v>
      </c>
      <c r="F2169" s="287"/>
    </row>
    <row r="2170" spans="1:6" ht="14.25" thickTop="1" thickBot="1">
      <c r="A2170" s="267" t="str">
        <f t="shared" si="93"/>
        <v>NILSO FERREIRA</v>
      </c>
      <c r="B2170" s="68" t="s">
        <v>62</v>
      </c>
      <c r="C2170" s="66" t="s">
        <v>2052</v>
      </c>
      <c r="D2170" s="61">
        <v>141299</v>
      </c>
      <c r="E2170" s="62">
        <v>40697</v>
      </c>
      <c r="F2170" s="285"/>
    </row>
    <row r="2171" spans="1:6" ht="14.25" thickTop="1" thickBot="1">
      <c r="A2171" s="267" t="str">
        <f t="shared" si="93"/>
        <v xml:space="preserve">NILSON AGUIRRE DE GODOI </v>
      </c>
      <c r="B2171" s="68" t="s">
        <v>62</v>
      </c>
      <c r="C2171" s="66" t="s">
        <v>3294</v>
      </c>
      <c r="D2171" s="65">
        <v>27206</v>
      </c>
      <c r="E2171" s="62">
        <v>42920</v>
      </c>
      <c r="F2171" s="285"/>
    </row>
    <row r="2172" spans="1:6" ht="14.25" thickTop="1" thickBot="1">
      <c r="A2172" s="267" t="str">
        <f t="shared" si="93"/>
        <v>NILSON AMARO PEREIRA</v>
      </c>
      <c r="B2172" s="68" t="s">
        <v>62</v>
      </c>
      <c r="C2172" s="66" t="s">
        <v>271</v>
      </c>
      <c r="D2172" s="68"/>
      <c r="E2172" s="62">
        <v>43243</v>
      </c>
      <c r="F2172" s="285"/>
    </row>
    <row r="2173" spans="1:6" ht="14.25" thickTop="1" thickBot="1">
      <c r="A2173" s="267" t="str">
        <f t="shared" si="93"/>
        <v>NILSON CARVALHO SIQUEIRA</v>
      </c>
      <c r="B2173" s="68" t="s">
        <v>62</v>
      </c>
      <c r="C2173" s="66" t="s">
        <v>1500</v>
      </c>
      <c r="D2173" s="61">
        <v>102459</v>
      </c>
      <c r="E2173" s="62">
        <v>41873</v>
      </c>
      <c r="F2173" s="285"/>
    </row>
    <row r="2174" spans="1:6" ht="14.25" thickTop="1" thickBot="1">
      <c r="A2174" s="267" t="str">
        <f t="shared" si="93"/>
        <v>NILSON DE JESUS MENDES</v>
      </c>
      <c r="B2174" s="68" t="s">
        <v>546</v>
      </c>
      <c r="C2174" s="66" t="s">
        <v>2151</v>
      </c>
      <c r="D2174" s="61">
        <v>47572</v>
      </c>
      <c r="E2174" s="62">
        <v>42825</v>
      </c>
      <c r="F2174" s="285"/>
    </row>
    <row r="2175" spans="1:6" ht="14.25" thickTop="1" thickBot="1">
      <c r="A2175" s="267" t="str">
        <f t="shared" si="93"/>
        <v>NILSON JOSE GOMES FERREIRA JUNIOR</v>
      </c>
      <c r="B2175" s="68" t="s">
        <v>62</v>
      </c>
      <c r="C2175" s="66" t="s">
        <v>1124</v>
      </c>
      <c r="D2175" s="65">
        <v>63764</v>
      </c>
      <c r="E2175" s="62">
        <v>42243</v>
      </c>
      <c r="F2175" s="285"/>
    </row>
    <row r="2176" spans="1:6" ht="14.25" thickTop="1" thickBot="1">
      <c r="A2176" s="267" t="str">
        <f t="shared" si="93"/>
        <v>NILSON LOURENÇO</v>
      </c>
      <c r="B2176" s="68" t="s">
        <v>62</v>
      </c>
      <c r="C2176" s="64" t="s">
        <v>1249</v>
      </c>
      <c r="D2176" s="61">
        <v>110989</v>
      </c>
      <c r="E2176" s="62">
        <v>40890</v>
      </c>
      <c r="F2176" s="285"/>
    </row>
    <row r="2177" spans="1:6" ht="14.25" thickTop="1" thickBot="1">
      <c r="A2177" s="267" t="str">
        <f t="shared" si="93"/>
        <v>NILSON PEDROSO DE OLIVEIRA</v>
      </c>
      <c r="B2177" s="68" t="s">
        <v>62</v>
      </c>
      <c r="C2177" s="66" t="s">
        <v>1380</v>
      </c>
      <c r="D2177" s="178"/>
      <c r="E2177" s="62">
        <v>40892</v>
      </c>
      <c r="F2177" s="285"/>
    </row>
    <row r="2178" spans="1:6" ht="14.25" thickTop="1" thickBot="1">
      <c r="A2178" s="267" t="str">
        <f t="shared" si="93"/>
        <v>NILTON CESAR ALVES POSSIDONIO               (Carretilha)</v>
      </c>
      <c r="B2178" s="68" t="s">
        <v>62</v>
      </c>
      <c r="C2178" s="66" t="s">
        <v>1326</v>
      </c>
      <c r="D2178" s="65">
        <v>10679</v>
      </c>
      <c r="E2178" s="62">
        <v>39959</v>
      </c>
      <c r="F2178" s="285"/>
    </row>
    <row r="2179" spans="1:6" ht="14.25" thickTop="1" thickBot="1">
      <c r="A2179" s="267" t="str">
        <f t="shared" si="93"/>
        <v>NILTON DA SILVA MALAQUIAS</v>
      </c>
      <c r="B2179" s="68" t="s">
        <v>1298</v>
      </c>
      <c r="C2179" s="66" t="s">
        <v>773</v>
      </c>
      <c r="D2179" s="65">
        <v>63775</v>
      </c>
      <c r="E2179" s="62">
        <v>40926</v>
      </c>
      <c r="F2179" s="285"/>
    </row>
    <row r="2180" spans="1:6" ht="14.25" thickTop="1" thickBot="1">
      <c r="A2180" s="267" t="str">
        <f t="shared" si="93"/>
        <v>NIVALDO CARDOSO SANTOS JUNIOR</v>
      </c>
      <c r="B2180" s="68" t="s">
        <v>1812</v>
      </c>
      <c r="C2180" s="66" t="s">
        <v>3293</v>
      </c>
      <c r="D2180" s="67"/>
      <c r="E2180" s="62">
        <v>42451</v>
      </c>
      <c r="F2180" s="285"/>
    </row>
    <row r="2181" spans="1:6" ht="14.25" thickTop="1" thickBot="1">
      <c r="A2181" s="267"/>
      <c r="B2181" s="68" t="s">
        <v>1306</v>
      </c>
      <c r="C2181" s="66" t="s">
        <v>774</v>
      </c>
      <c r="D2181" s="74"/>
      <c r="E2181" s="62">
        <v>40829</v>
      </c>
      <c r="F2181" s="285"/>
    </row>
    <row r="2182" spans="1:6" ht="14.25" thickTop="1" thickBot="1">
      <c r="A2182" s="267" t="str">
        <f>C2184</f>
        <v>NOBORO KAMURA JUNIOR</v>
      </c>
      <c r="B2182" s="68" t="s">
        <v>2382</v>
      </c>
      <c r="C2182" s="66" t="s">
        <v>1693</v>
      </c>
      <c r="D2182" s="67"/>
      <c r="E2182" s="62">
        <v>43367</v>
      </c>
      <c r="F2182" s="285"/>
    </row>
    <row r="2183" spans="1:6" ht="14.25" thickTop="1" thickBot="1">
      <c r="A2183" s="267" t="str">
        <f>C2185</f>
        <v>NOEL ALVES DA COSTA</v>
      </c>
      <c r="B2183" s="68" t="s">
        <v>1298</v>
      </c>
      <c r="C2183" s="66" t="s">
        <v>466</v>
      </c>
      <c r="D2183" s="67"/>
      <c r="E2183" s="70">
        <v>42919</v>
      </c>
      <c r="F2183" s="284"/>
    </row>
    <row r="2184" spans="1:6" ht="14.25" thickTop="1" thickBot="1">
      <c r="A2184" s="267" t="str">
        <f>C2186</f>
        <v>NOME DO DETENTO</v>
      </c>
      <c r="B2184" s="89" t="s">
        <v>126</v>
      </c>
      <c r="C2184" s="77" t="s">
        <v>2279</v>
      </c>
      <c r="D2184" s="61">
        <v>53279</v>
      </c>
      <c r="E2184" s="70">
        <v>42304</v>
      </c>
      <c r="F2184" s="284"/>
    </row>
    <row r="2185" spans="1:6" ht="14.25" thickTop="1" thickBot="1">
      <c r="A2185" s="267" t="str">
        <f>C2187</f>
        <v>NORIVALDO DA SILVA                      (Vardo)</v>
      </c>
      <c r="B2185" s="68" t="s">
        <v>62</v>
      </c>
      <c r="C2185" s="66" t="s">
        <v>441</v>
      </c>
      <c r="D2185" s="89">
        <v>63494</v>
      </c>
      <c r="E2185" s="62">
        <v>40857</v>
      </c>
      <c r="F2185" s="285"/>
    </row>
    <row r="2186" spans="1:6" ht="14.25" thickTop="1" thickBot="1">
      <c r="A2186" s="303" t="s">
        <v>1814</v>
      </c>
      <c r="B2186" s="306" t="s">
        <v>792</v>
      </c>
      <c r="C2186" s="306" t="s">
        <v>793</v>
      </c>
      <c r="D2186" s="306" t="s">
        <v>11</v>
      </c>
      <c r="E2186" s="307" t="s">
        <v>7</v>
      </c>
      <c r="F2186" s="308"/>
    </row>
    <row r="2187" spans="1:6" ht="14.25" thickTop="1" thickBot="1">
      <c r="A2187" s="267" t="str">
        <f>C2189</f>
        <v>ODAIR ALVES DOS SANTOS               (Bin Laden)</v>
      </c>
      <c r="B2187" s="68" t="s">
        <v>62</v>
      </c>
      <c r="C2187" s="78" t="s">
        <v>3292</v>
      </c>
      <c r="D2187" s="67"/>
      <c r="E2187" s="70">
        <v>42958</v>
      </c>
      <c r="F2187" s="285"/>
    </row>
    <row r="2188" spans="1:6" ht="14.25" thickTop="1" thickBot="1">
      <c r="A2188" s="267" t="str">
        <f>C2190</f>
        <v>ODAIR APARECIDO DOS SANTOS (Sanguinário / Vlad / Blad)</v>
      </c>
      <c r="B2188" s="155" t="s">
        <v>2196</v>
      </c>
      <c r="C2188" s="66" t="s">
        <v>514</v>
      </c>
      <c r="D2188" s="65">
        <v>50233</v>
      </c>
      <c r="E2188" s="62">
        <v>39966</v>
      </c>
      <c r="F2188" s="285"/>
    </row>
    <row r="2189" spans="1:6" ht="14.25" thickTop="1" thickBot="1">
      <c r="A2189" s="267" t="str">
        <f>C2191</f>
        <v>ODAIR APARECIDO DOS SANTOS (Sanguinário / Vlad / Blad)</v>
      </c>
      <c r="B2189" s="68" t="s">
        <v>1033</v>
      </c>
      <c r="C2189" s="66" t="s">
        <v>3291</v>
      </c>
      <c r="D2189" s="61">
        <v>102918</v>
      </c>
      <c r="E2189" s="70">
        <v>42446</v>
      </c>
      <c r="F2189" s="287"/>
    </row>
    <row r="2190" spans="1:6" ht="14.25" thickTop="1" thickBot="1">
      <c r="A2190" s="267" t="str">
        <f>C2192</f>
        <v>ODAIR CARVALHO DE OLIVEIRA (Gringo / Polaco)</v>
      </c>
      <c r="B2190" s="68" t="s">
        <v>62</v>
      </c>
      <c r="C2190" s="66" t="s">
        <v>2873</v>
      </c>
      <c r="D2190" s="67"/>
      <c r="E2190" s="70">
        <v>42166</v>
      </c>
      <c r="F2190" s="284"/>
    </row>
    <row r="2191" spans="1:6" ht="14.25" thickTop="1" thickBot="1">
      <c r="A2191" s="267" t="str">
        <f>C2193</f>
        <v>ODAIR DA MAIA                                   (Polaco)</v>
      </c>
      <c r="B2191" s="68" t="s">
        <v>62</v>
      </c>
      <c r="C2191" s="66" t="s">
        <v>2873</v>
      </c>
      <c r="D2191" s="67"/>
      <c r="E2191" s="62">
        <v>40189</v>
      </c>
      <c r="F2191" s="285"/>
    </row>
    <row r="2192" spans="1:6" ht="14.25" thickTop="1" thickBot="1">
      <c r="A2192" s="267"/>
      <c r="B2192" s="68" t="s">
        <v>25</v>
      </c>
      <c r="C2192" s="64" t="s">
        <v>2877</v>
      </c>
      <c r="D2192" s="61">
        <v>8481</v>
      </c>
      <c r="E2192" s="62">
        <v>42332</v>
      </c>
      <c r="F2192" s="285"/>
    </row>
    <row r="2193" spans="1:6" ht="14.25" thickTop="1" thickBot="1">
      <c r="A2193" s="267" t="str">
        <f>C2195</f>
        <v>ODAIR LOURENÇO DOS SANTOS</v>
      </c>
      <c r="B2193" s="68" t="s">
        <v>2594</v>
      </c>
      <c r="C2193" s="66" t="s">
        <v>3290</v>
      </c>
      <c r="D2193" s="65"/>
      <c r="E2193" s="62">
        <v>43620</v>
      </c>
      <c r="F2193" s="285"/>
    </row>
    <row r="2194" spans="1:6" ht="14.25" thickTop="1" thickBot="1">
      <c r="A2194" s="267" t="str">
        <f>C2196</f>
        <v>ODAIR MARINHO DE LARA</v>
      </c>
      <c r="B2194" s="68" t="s">
        <v>62</v>
      </c>
      <c r="C2194" s="66" t="s">
        <v>3289</v>
      </c>
      <c r="D2194" s="65">
        <v>49244</v>
      </c>
      <c r="E2194" s="62">
        <v>41271</v>
      </c>
      <c r="F2194" s="285"/>
    </row>
    <row r="2195" spans="1:6" ht="14.25" thickTop="1" thickBot="1">
      <c r="A2195" s="267" t="str">
        <f>C2197</f>
        <v>ODENI DE JESUS GALETO</v>
      </c>
      <c r="B2195" s="68" t="s">
        <v>546</v>
      </c>
      <c r="C2195" s="60" t="s">
        <v>2569</v>
      </c>
      <c r="D2195" s="61">
        <v>21872</v>
      </c>
      <c r="E2195" s="62">
        <v>41779</v>
      </c>
      <c r="F2195" s="285"/>
    </row>
    <row r="2196" spans="1:6" ht="14.25" thickTop="1" thickBot="1">
      <c r="A2196" s="267" t="str">
        <f>C2198</f>
        <v>ODENIR ANTONIO GUADANIN</v>
      </c>
      <c r="B2196" s="68" t="s">
        <v>2413</v>
      </c>
      <c r="C2196" s="66" t="s">
        <v>2590</v>
      </c>
      <c r="D2196" s="61">
        <v>131403</v>
      </c>
      <c r="E2196" s="62">
        <v>44126</v>
      </c>
      <c r="F2196" s="285"/>
    </row>
    <row r="2197" spans="1:6" ht="14.25" thickTop="1" thickBot="1">
      <c r="A2197" s="267" t="str">
        <f>C2199</f>
        <v>ODILON DE JESUS CAMPOS</v>
      </c>
      <c r="B2197" s="68" t="s">
        <v>62</v>
      </c>
      <c r="C2197" s="64" t="s">
        <v>787</v>
      </c>
      <c r="D2197" s="67"/>
      <c r="E2197" s="62">
        <v>39946</v>
      </c>
      <c r="F2197" s="285"/>
    </row>
    <row r="2198" spans="1:6" ht="14.25" thickTop="1" thickBot="1">
      <c r="A2198" s="268"/>
      <c r="B2198" s="67"/>
      <c r="C2198" s="66" t="s">
        <v>159</v>
      </c>
      <c r="D2198" s="65">
        <v>63423</v>
      </c>
      <c r="E2198" s="70">
        <v>42320</v>
      </c>
      <c r="F2198" s="284"/>
    </row>
    <row r="2199" spans="1:6" ht="14.25" thickTop="1" thickBot="1">
      <c r="A2199" s="267" t="str">
        <f t="shared" ref="A2199:A2205" si="94">C2201</f>
        <v>ODILON FERNANDO HILGEMBERG</v>
      </c>
      <c r="B2199" s="89"/>
      <c r="C2199" s="66" t="s">
        <v>1540</v>
      </c>
      <c r="D2199" s="67"/>
      <c r="E2199" s="70"/>
      <c r="F2199" s="284"/>
    </row>
    <row r="2200" spans="1:6" ht="14.25" thickTop="1" thickBot="1">
      <c r="A2200" s="267" t="str">
        <f t="shared" si="94"/>
        <v>ODILON PEREIRA DA SILVA</v>
      </c>
      <c r="B2200" s="163" t="s">
        <v>62</v>
      </c>
      <c r="C2200" s="66" t="s">
        <v>577</v>
      </c>
      <c r="D2200" s="65">
        <v>63315</v>
      </c>
      <c r="E2200" s="204">
        <v>43360</v>
      </c>
      <c r="F2200" s="299"/>
    </row>
    <row r="2201" spans="1:6" ht="14.25" thickTop="1" thickBot="1">
      <c r="A2201" s="267" t="str">
        <f t="shared" si="94"/>
        <v>ODINEI DE ANDRADE</v>
      </c>
      <c r="B2201" s="68" t="s">
        <v>62</v>
      </c>
      <c r="C2201" s="201" t="s">
        <v>577</v>
      </c>
      <c r="D2201" s="61">
        <v>63623</v>
      </c>
      <c r="E2201" s="62">
        <v>40590</v>
      </c>
      <c r="F2201" s="285"/>
    </row>
    <row r="2202" spans="1:6" ht="14.25" thickTop="1" thickBot="1">
      <c r="A2202" s="267" t="str">
        <f t="shared" si="94"/>
        <v>ODINEI DE ANDRADE</v>
      </c>
      <c r="B2202" s="61" t="s">
        <v>2413</v>
      </c>
      <c r="C2202" s="77" t="s">
        <v>2200</v>
      </c>
      <c r="D2202" s="61">
        <v>50792</v>
      </c>
      <c r="E2202" s="62">
        <v>43543</v>
      </c>
      <c r="F2202" s="284"/>
    </row>
    <row r="2203" spans="1:6" ht="14.25" thickTop="1" thickBot="1">
      <c r="A2203" s="267" t="str">
        <f t="shared" si="94"/>
        <v>ODINIR EURIDES</v>
      </c>
      <c r="B2203" s="68" t="s">
        <v>62</v>
      </c>
      <c r="C2203" s="66" t="s">
        <v>442</v>
      </c>
      <c r="D2203" s="61">
        <v>11715</v>
      </c>
      <c r="E2203" s="70">
        <v>42900</v>
      </c>
      <c r="F2203" s="285"/>
    </row>
    <row r="2204" spans="1:6" ht="14.25" thickTop="1" thickBot="1">
      <c r="A2204" s="267" t="str">
        <f t="shared" si="94"/>
        <v>OLEOSVALDO DE CARVALHO</v>
      </c>
      <c r="B2204" s="68" t="s">
        <v>62</v>
      </c>
      <c r="C2204" s="77" t="s">
        <v>442</v>
      </c>
      <c r="D2204" s="61">
        <v>63315</v>
      </c>
      <c r="E2204" s="62">
        <v>41969</v>
      </c>
      <c r="F2204" s="285"/>
    </row>
    <row r="2205" spans="1:6" ht="14.25" thickTop="1" thickBot="1">
      <c r="A2205" s="267" t="str">
        <f t="shared" si="94"/>
        <v>OLIVI ANGELO GANASOLI</v>
      </c>
      <c r="B2205" s="68" t="s">
        <v>62</v>
      </c>
      <c r="C2205" s="66" t="s">
        <v>928</v>
      </c>
      <c r="D2205" s="61">
        <v>100859</v>
      </c>
      <c r="E2205" s="62">
        <v>42881</v>
      </c>
      <c r="F2205" s="285"/>
    </row>
    <row r="2206" spans="1:6" ht="14.25" thickTop="1" thickBot="1">
      <c r="A2206" s="267" t="str">
        <f>C2209</f>
        <v>ONEAS DE ALMEIDA</v>
      </c>
      <c r="B2206" s="68" t="s">
        <v>62</v>
      </c>
      <c r="C2206" s="66" t="s">
        <v>262</v>
      </c>
      <c r="D2206" s="61">
        <v>63998</v>
      </c>
      <c r="E2206" s="62">
        <v>41884</v>
      </c>
      <c r="F2206" s="285"/>
    </row>
    <row r="2207" spans="1:6" ht="14.25" thickTop="1" thickBot="1">
      <c r="A2207" s="267" t="str">
        <f>C2210</f>
        <v>ORACI ANTONIO ALVES</v>
      </c>
      <c r="B2207" s="68" t="s">
        <v>62</v>
      </c>
      <c r="C2207" s="66" t="s">
        <v>437</v>
      </c>
      <c r="D2207" s="65">
        <v>63998</v>
      </c>
      <c r="E2207" s="62">
        <v>42963</v>
      </c>
      <c r="F2207" s="285"/>
    </row>
    <row r="2208" spans="1:6" ht="14.25" thickTop="1" thickBot="1">
      <c r="A2208" s="267"/>
      <c r="B2208" s="68" t="s">
        <v>1812</v>
      </c>
      <c r="C2208" s="60" t="s">
        <v>2844</v>
      </c>
      <c r="D2208" s="191">
        <v>150465</v>
      </c>
      <c r="E2208" s="62">
        <v>43923</v>
      </c>
      <c r="F2208" s="285"/>
    </row>
    <row r="2209" spans="1:6" ht="14.25" thickTop="1" thickBot="1">
      <c r="A2209" s="267" t="str">
        <f t="shared" ref="A2209:A2216" si="95">C2211</f>
        <v>ORLANDO RENILSON MARCONDES    (Gigante)</v>
      </c>
      <c r="B2209" s="68" t="s">
        <v>1860</v>
      </c>
      <c r="C2209" s="66" t="s">
        <v>443</v>
      </c>
      <c r="D2209" s="61">
        <v>63981</v>
      </c>
      <c r="E2209" s="62">
        <v>40696</v>
      </c>
      <c r="F2209" s="285"/>
    </row>
    <row r="2210" spans="1:6" ht="14.25" thickTop="1" thickBot="1">
      <c r="A2210" s="267" t="str">
        <f t="shared" si="95"/>
        <v>ORLEI JOSE DOS CAMPOS</v>
      </c>
      <c r="B2210" s="68" t="s">
        <v>62</v>
      </c>
      <c r="C2210" s="66" t="s">
        <v>882</v>
      </c>
      <c r="D2210" s="61">
        <v>90224</v>
      </c>
      <c r="E2210" s="70">
        <v>42489</v>
      </c>
      <c r="F2210" s="284"/>
    </row>
    <row r="2211" spans="1:6" ht="14.25" thickTop="1" thickBot="1">
      <c r="A2211" s="267" t="str">
        <f t="shared" si="95"/>
        <v>ORLEI VIEIRA</v>
      </c>
      <c r="B2211" s="68" t="s">
        <v>62</v>
      </c>
      <c r="C2211" s="66" t="s">
        <v>2879</v>
      </c>
      <c r="D2211" s="65">
        <v>63663</v>
      </c>
      <c r="E2211" s="62">
        <v>42703</v>
      </c>
      <c r="F2211" s="285"/>
    </row>
    <row r="2212" spans="1:6" ht="14.25" thickTop="1" thickBot="1">
      <c r="A2212" s="267" t="str">
        <f t="shared" si="95"/>
        <v>OSCAR DOS SANTOS</v>
      </c>
      <c r="B2212" s="68" t="s">
        <v>62</v>
      </c>
      <c r="C2212" s="66" t="s">
        <v>1154</v>
      </c>
      <c r="D2212" s="69">
        <v>100618</v>
      </c>
      <c r="E2212" s="62">
        <v>42783</v>
      </c>
      <c r="F2212" s="285"/>
    </row>
    <row r="2213" spans="1:6" ht="14.25" thickTop="1" thickBot="1">
      <c r="A2213" s="267" t="str">
        <f t="shared" si="95"/>
        <v>OSEAS DE ALMEIDA</v>
      </c>
      <c r="B2213" s="68"/>
      <c r="C2213" s="66" t="s">
        <v>2878</v>
      </c>
      <c r="D2213" s="65">
        <v>63604</v>
      </c>
      <c r="E2213" s="62">
        <v>42914</v>
      </c>
      <c r="F2213" s="285"/>
    </row>
    <row r="2214" spans="1:6" ht="14.25" thickTop="1" thickBot="1">
      <c r="A2214" s="267" t="str">
        <f t="shared" si="95"/>
        <v>OSEIAS APARECIDO DE SOUZA    (Drácula)</v>
      </c>
      <c r="B2214" s="68" t="s">
        <v>62</v>
      </c>
      <c r="C2214" s="66" t="s">
        <v>524</v>
      </c>
      <c r="D2214" s="178">
        <v>23769</v>
      </c>
      <c r="E2214" s="62">
        <v>41774</v>
      </c>
      <c r="F2214" s="285"/>
    </row>
    <row r="2215" spans="1:6" ht="14.25" thickTop="1" thickBot="1">
      <c r="A2215" s="267" t="str">
        <f t="shared" si="95"/>
        <v>OSEIAS BORGES DOS SANTOS</v>
      </c>
      <c r="B2215" s="68" t="s">
        <v>516</v>
      </c>
      <c r="C2215" s="66" t="s">
        <v>803</v>
      </c>
      <c r="D2215" s="61">
        <v>49353</v>
      </c>
      <c r="E2215" s="70">
        <v>41742</v>
      </c>
      <c r="F2215" s="284"/>
    </row>
    <row r="2216" spans="1:6" ht="14.25" thickTop="1" thickBot="1">
      <c r="A2216" s="267" t="str">
        <f t="shared" si="95"/>
        <v>OSEIAS BUENO</v>
      </c>
      <c r="B2216" s="68" t="s">
        <v>62</v>
      </c>
      <c r="C2216" s="66" t="s">
        <v>2880</v>
      </c>
      <c r="D2216" s="67"/>
      <c r="E2216" s="62">
        <v>41698</v>
      </c>
      <c r="F2216" s="285"/>
    </row>
    <row r="2217" spans="1:6" ht="14.25" thickTop="1" thickBot="1">
      <c r="A2217" s="267"/>
      <c r="B2217" s="68" t="s">
        <v>62</v>
      </c>
      <c r="C2217" s="66" t="s">
        <v>1100</v>
      </c>
      <c r="D2217" s="178">
        <v>63947</v>
      </c>
      <c r="E2217" s="62">
        <v>40028</v>
      </c>
      <c r="F2217" s="285"/>
    </row>
    <row r="2218" spans="1:6" ht="14.25" thickTop="1" thickBot="1">
      <c r="A2218" s="314">
        <v>0</v>
      </c>
      <c r="B2218" s="68" t="s">
        <v>62</v>
      </c>
      <c r="C2218" s="66" t="s">
        <v>444</v>
      </c>
      <c r="D2218" s="65">
        <v>27342</v>
      </c>
      <c r="E2218" s="62">
        <v>41254</v>
      </c>
      <c r="F2218" s="285"/>
    </row>
    <row r="2219" spans="1:6" ht="14.25" thickTop="1" thickBot="1">
      <c r="A2219" s="267"/>
      <c r="B2219" s="315"/>
      <c r="C2219" s="60" t="s">
        <v>2841</v>
      </c>
      <c r="D2219" s="61">
        <v>155754</v>
      </c>
      <c r="E2219" s="316">
        <v>43852</v>
      </c>
      <c r="F2219" s="488" t="s">
        <v>1812</v>
      </c>
    </row>
    <row r="2220" spans="1:6" ht="14.25" thickTop="1" thickBot="1">
      <c r="A2220" s="267" t="str">
        <f t="shared" ref="A2220:A2228" si="96">C2222</f>
        <v>OSMAR ALBUQUERQUE FREIRE</v>
      </c>
      <c r="B2220" s="68" t="s">
        <v>62</v>
      </c>
      <c r="C2220" s="66" t="s">
        <v>963</v>
      </c>
      <c r="D2220" s="177"/>
      <c r="E2220" s="62">
        <v>40001</v>
      </c>
      <c r="F2220" s="285"/>
    </row>
    <row r="2221" spans="1:6" ht="14.25" thickTop="1" thickBot="1">
      <c r="A2221" s="267" t="str">
        <f t="shared" si="96"/>
        <v>OSMAR DE GODOY                           (Teves)</v>
      </c>
      <c r="B2221" s="68" t="s">
        <v>546</v>
      </c>
      <c r="C2221" s="66" t="s">
        <v>959</v>
      </c>
      <c r="D2221" s="65">
        <v>63962</v>
      </c>
      <c r="E2221" s="62">
        <v>41621</v>
      </c>
      <c r="F2221" s="285"/>
    </row>
    <row r="2222" spans="1:6" ht="14.25" thickTop="1" thickBot="1">
      <c r="A2222" s="267" t="str">
        <f t="shared" si="96"/>
        <v>OSMARIO DE ASSIS BATISTA</v>
      </c>
      <c r="B2222" s="67" t="s">
        <v>1298</v>
      </c>
      <c r="C2222" s="66" t="s">
        <v>154</v>
      </c>
      <c r="D2222" s="312">
        <v>63868</v>
      </c>
      <c r="E2222" s="62">
        <v>39981</v>
      </c>
      <c r="F2222" s="285"/>
    </row>
    <row r="2223" spans="1:6" ht="14.25" thickTop="1" thickBot="1">
      <c r="A2223" s="267" t="str">
        <f t="shared" si="96"/>
        <v>OSNEI CANDIDO DE OLIVEIRA</v>
      </c>
      <c r="B2223" s="68" t="s">
        <v>62</v>
      </c>
      <c r="C2223" s="66" t="s">
        <v>3288</v>
      </c>
      <c r="D2223" s="67"/>
      <c r="E2223" s="70">
        <v>42304</v>
      </c>
      <c r="F2223" s="284"/>
    </row>
    <row r="2224" spans="1:6" ht="14.25" thickTop="1" thickBot="1">
      <c r="A2224" s="267" t="str">
        <f t="shared" si="96"/>
        <v>OSNI DE JESUS ALMEIDA</v>
      </c>
      <c r="B2224" s="68" t="s">
        <v>62</v>
      </c>
      <c r="C2224" s="66" t="s">
        <v>79</v>
      </c>
      <c r="D2224" s="65">
        <v>63203</v>
      </c>
      <c r="E2224" s="70">
        <v>42319</v>
      </c>
      <c r="F2224" s="284"/>
    </row>
    <row r="2225" spans="1:6" ht="14.25" thickTop="1" thickBot="1">
      <c r="A2225" s="267" t="str">
        <f t="shared" si="96"/>
        <v xml:space="preserve">OSNI DE JESUS DE ALMEIDA  </v>
      </c>
      <c r="B2225" s="68" t="s">
        <v>62</v>
      </c>
      <c r="C2225" s="66" t="s">
        <v>1516</v>
      </c>
      <c r="D2225" s="61">
        <v>63393</v>
      </c>
      <c r="E2225" s="62">
        <v>41576</v>
      </c>
      <c r="F2225" s="285"/>
    </row>
    <row r="2226" spans="1:6" ht="14.25" thickTop="1" thickBot="1">
      <c r="A2226" s="267" t="str">
        <f t="shared" si="96"/>
        <v>OSNIVALDO CORRER</v>
      </c>
      <c r="B2226" s="68" t="s">
        <v>62</v>
      </c>
      <c r="C2226" s="66" t="s">
        <v>831</v>
      </c>
      <c r="D2226" s="65">
        <v>63202</v>
      </c>
      <c r="E2226" s="62">
        <v>42179</v>
      </c>
      <c r="F2226" s="285"/>
    </row>
    <row r="2227" spans="1:6" ht="14.25" thickTop="1" thickBot="1">
      <c r="A2227" s="267" t="str">
        <f t="shared" si="96"/>
        <v>OSVALDO DE AVILA BATISTA FILHO    (Guarapuava)</v>
      </c>
      <c r="B2227" s="68" t="s">
        <v>62</v>
      </c>
      <c r="C2227" s="66" t="s">
        <v>445</v>
      </c>
      <c r="D2227" s="67"/>
      <c r="E2227" s="62">
        <v>40550</v>
      </c>
      <c r="F2227" s="285"/>
    </row>
    <row r="2228" spans="1:6" ht="14.25" thickTop="1" thickBot="1">
      <c r="A2228" s="267" t="str">
        <f t="shared" si="96"/>
        <v xml:space="preserve">OSVALDO GONÇALVES DA ROSA </v>
      </c>
      <c r="B2228" s="68" t="s">
        <v>62</v>
      </c>
      <c r="C2228" s="66" t="s">
        <v>69</v>
      </c>
      <c r="D2228" s="67"/>
      <c r="E2228" s="62">
        <v>42480</v>
      </c>
      <c r="F2228" s="285"/>
    </row>
    <row r="2229" spans="1:6" ht="14.25" thickTop="1" thickBot="1">
      <c r="A2229" s="267" t="str">
        <f>C2232</f>
        <v>OSVALDO ROSA DOS SANTOS</v>
      </c>
      <c r="B2229" s="68" t="s">
        <v>62</v>
      </c>
      <c r="C2229" s="66" t="s">
        <v>3094</v>
      </c>
      <c r="D2229" s="65"/>
      <c r="E2229" s="62">
        <v>42705</v>
      </c>
      <c r="F2229" s="285"/>
    </row>
    <row r="2230" spans="1:6" ht="14.25" thickTop="1" thickBot="1">
      <c r="A2230" s="267" t="str">
        <f>C2233</f>
        <v>OSVALDO THIAGO DUTRA ALECRIM</v>
      </c>
      <c r="B2230" s="68" t="s">
        <v>62</v>
      </c>
      <c r="C2230" s="64" t="s">
        <v>1131</v>
      </c>
      <c r="D2230" s="61">
        <v>27328</v>
      </c>
      <c r="E2230" s="62">
        <v>41411</v>
      </c>
      <c r="F2230" s="285"/>
    </row>
    <row r="2231" spans="1:6" ht="14.25" thickTop="1" thickBot="1">
      <c r="A2231" s="267" t="s">
        <v>2663</v>
      </c>
      <c r="B2231" s="68" t="s">
        <v>1812</v>
      </c>
      <c r="C2231" s="192" t="s">
        <v>2789</v>
      </c>
      <c r="D2231" s="61">
        <v>150381</v>
      </c>
      <c r="E2231" s="62">
        <v>43923</v>
      </c>
      <c r="F2231" s="285"/>
    </row>
    <row r="2232" spans="1:6" ht="14.25" thickTop="1" thickBot="1">
      <c r="A2232" s="267" t="str">
        <f>C2234</f>
        <v>OSWALDO MACIEL</v>
      </c>
      <c r="B2232" s="68" t="s">
        <v>62</v>
      </c>
      <c r="C2232" s="66" t="s">
        <v>920</v>
      </c>
      <c r="D2232" s="67"/>
      <c r="E2232" s="62">
        <v>42101</v>
      </c>
      <c r="F2232" s="285"/>
    </row>
    <row r="2233" spans="1:6" ht="14.25" thickTop="1" thickBot="1">
      <c r="A2233" s="267" t="str">
        <f>C2235</f>
        <v>OTONIEL VIEIRA DOS SANTOS</v>
      </c>
      <c r="B2233" s="68" t="s">
        <v>62</v>
      </c>
      <c r="C2233" s="66" t="s">
        <v>1132</v>
      </c>
      <c r="D2233" s="67"/>
      <c r="E2233" s="62">
        <v>40191</v>
      </c>
      <c r="F2233" s="285"/>
    </row>
    <row r="2234" spans="1:6" ht="14.25" thickTop="1" thickBot="1">
      <c r="A2234" s="267" t="str">
        <f>C2236</f>
        <v>OZEIAS MARIANO</v>
      </c>
      <c r="B2234" s="68" t="s">
        <v>516</v>
      </c>
      <c r="C2234" s="66" t="s">
        <v>377</v>
      </c>
      <c r="D2234" s="65">
        <v>11119</v>
      </c>
      <c r="E2234" s="62">
        <v>40745</v>
      </c>
      <c r="F2234" s="285"/>
    </row>
    <row r="2235" spans="1:6" ht="14.25" thickTop="1" thickBot="1">
      <c r="A2235" s="267"/>
      <c r="B2235" s="68" t="s">
        <v>62</v>
      </c>
      <c r="C2235" s="66" t="s">
        <v>1541</v>
      </c>
      <c r="D2235" s="67"/>
      <c r="E2235" s="62">
        <v>42466</v>
      </c>
      <c r="F2235" s="285"/>
    </row>
    <row r="2236" spans="1:6" ht="14.25" thickTop="1" thickBot="1">
      <c r="A2236" s="267" t="str">
        <f t="shared" ref="A2236:A2242" si="97">C2238</f>
        <v>OZIEL PEREIRA DA SILVA                        (Pioio)</v>
      </c>
      <c r="B2236" s="68" t="s">
        <v>1665</v>
      </c>
      <c r="C2236" s="66" t="s">
        <v>1542</v>
      </c>
      <c r="D2236" s="61">
        <v>117743</v>
      </c>
      <c r="E2236" s="62">
        <v>41379</v>
      </c>
      <c r="F2236" s="285"/>
    </row>
    <row r="2237" spans="1:6" ht="14.25" thickTop="1" thickBot="1">
      <c r="A2237" s="267" t="str">
        <f t="shared" si="97"/>
        <v>PABLO HENRIQUE DA CRUZ</v>
      </c>
      <c r="B2237" s="68" t="s">
        <v>62</v>
      </c>
      <c r="C2237" s="66" t="s">
        <v>1739</v>
      </c>
      <c r="D2237" s="61">
        <v>117807</v>
      </c>
      <c r="E2237" s="62">
        <v>42327</v>
      </c>
      <c r="F2237" s="285"/>
    </row>
    <row r="2238" spans="1:6" ht="14.25" thickTop="1" thickBot="1">
      <c r="A2238" s="267" t="str">
        <f t="shared" si="97"/>
        <v xml:space="preserve">PABLO MADUREIRA FACCI </v>
      </c>
      <c r="B2238" s="68" t="s">
        <v>62</v>
      </c>
      <c r="C2238" s="66" t="s">
        <v>3287</v>
      </c>
      <c r="D2238" s="67"/>
      <c r="E2238" s="62">
        <v>40247</v>
      </c>
      <c r="F2238" s="285"/>
    </row>
    <row r="2239" spans="1:6" ht="14.25" thickTop="1" thickBot="1">
      <c r="A2239" s="267" t="str">
        <f t="shared" si="97"/>
        <v>PABLO RODRIGO STOCKLER</v>
      </c>
      <c r="B2239" s="68" t="s">
        <v>62</v>
      </c>
      <c r="C2239" s="66" t="s">
        <v>1256</v>
      </c>
      <c r="D2239" s="65">
        <v>63928</v>
      </c>
      <c r="E2239" s="70">
        <v>42915</v>
      </c>
      <c r="F2239" s="284"/>
    </row>
    <row r="2240" spans="1:6" ht="14.25" thickTop="1" thickBot="1">
      <c r="A2240" s="267" t="str">
        <f t="shared" si="97"/>
        <v>PATRICK BUENO DE OLIVEIRA</v>
      </c>
      <c r="B2240" s="68" t="s">
        <v>62</v>
      </c>
      <c r="C2240" s="66" t="s">
        <v>1257</v>
      </c>
      <c r="D2240" s="69">
        <v>11062</v>
      </c>
      <c r="E2240" s="62">
        <v>42291</v>
      </c>
      <c r="F2240" s="285"/>
    </row>
    <row r="2241" spans="1:6" ht="14.25" thickTop="1" thickBot="1">
      <c r="A2241" s="267" t="str">
        <f t="shared" si="97"/>
        <v>PATRICK DE OLIVEIRA BARBOSA</v>
      </c>
      <c r="B2241" s="68" t="s">
        <v>2347</v>
      </c>
      <c r="C2241" s="66" t="s">
        <v>1133</v>
      </c>
      <c r="D2241" s="61">
        <v>126789</v>
      </c>
      <c r="E2241" s="62">
        <v>43346</v>
      </c>
      <c r="F2241" s="285"/>
    </row>
    <row r="2242" spans="1:6" ht="14.25" thickTop="1" thickBot="1">
      <c r="A2242" s="267" t="str">
        <f t="shared" si="97"/>
        <v>PATRICK EDUARDO BOTELHO CORDEIRO</v>
      </c>
      <c r="B2242" s="68" t="s">
        <v>62</v>
      </c>
      <c r="C2242" s="66" t="s">
        <v>1825</v>
      </c>
      <c r="D2242" s="61">
        <v>63299</v>
      </c>
      <c r="E2242" s="115">
        <v>41379</v>
      </c>
      <c r="F2242" s="288" t="s">
        <v>757</v>
      </c>
    </row>
    <row r="2243" spans="1:6" ht="14.25" thickTop="1" thickBot="1">
      <c r="A2243" s="267"/>
      <c r="B2243" s="68" t="s">
        <v>1812</v>
      </c>
      <c r="C2243" s="192" t="s">
        <v>2277</v>
      </c>
      <c r="D2243" s="61">
        <v>142544</v>
      </c>
      <c r="E2243" s="62">
        <v>43908</v>
      </c>
      <c r="F2243" s="285"/>
    </row>
    <row r="2244" spans="1:6" ht="14.25" thickTop="1" thickBot="1">
      <c r="A2244" s="267" t="str">
        <f>C2247</f>
        <v>PAULO ANDRE DE ALMEIDA</v>
      </c>
      <c r="B2244" s="68" t="s">
        <v>62</v>
      </c>
      <c r="C2244" s="66" t="s">
        <v>816</v>
      </c>
      <c r="D2244" s="61">
        <v>63967</v>
      </c>
      <c r="E2244" s="70">
        <v>42331</v>
      </c>
      <c r="F2244" s="284"/>
    </row>
    <row r="2245" spans="1:6" ht="14.25" thickTop="1" thickBot="1">
      <c r="A2245" s="267" t="str">
        <f>C2248</f>
        <v>PAULO AUGUSTO DE SOUZA</v>
      </c>
      <c r="B2245" s="68" t="s">
        <v>62</v>
      </c>
      <c r="C2245" s="66" t="s">
        <v>1134</v>
      </c>
      <c r="D2245" s="67"/>
      <c r="E2245" s="62">
        <v>40095</v>
      </c>
      <c r="F2245" s="285"/>
    </row>
    <row r="2246" spans="1:6" ht="14.25" thickTop="1" thickBot="1">
      <c r="A2246" s="267" t="str">
        <f>C2248</f>
        <v>PAULO AUGUSTO DE SOUZA</v>
      </c>
      <c r="B2246" s="68" t="s">
        <v>546</v>
      </c>
      <c r="C2246" s="64" t="s">
        <v>1543</v>
      </c>
      <c r="D2246" s="68"/>
      <c r="E2246" s="62">
        <v>40956</v>
      </c>
      <c r="F2246" s="285"/>
    </row>
    <row r="2247" spans="1:6" ht="14.25" thickTop="1" thickBot="1">
      <c r="A2247" s="267" t="str">
        <f>C2250</f>
        <v>PAULO CESAR DA SILVA</v>
      </c>
      <c r="B2247" s="163" t="s">
        <v>62</v>
      </c>
      <c r="C2247" s="66" t="s">
        <v>973</v>
      </c>
      <c r="D2247" s="67"/>
      <c r="E2247" s="204">
        <v>43360</v>
      </c>
      <c r="F2247" s="299"/>
    </row>
    <row r="2248" spans="1:6" ht="14.25" thickTop="1" thickBot="1">
      <c r="A2248" s="267"/>
      <c r="B2248" s="68" t="s">
        <v>2347</v>
      </c>
      <c r="C2248" s="66" t="s">
        <v>602</v>
      </c>
      <c r="D2248" s="65">
        <v>100986</v>
      </c>
      <c r="E2248" s="62">
        <v>43346</v>
      </c>
      <c r="F2248" s="285"/>
    </row>
    <row r="2249" spans="1:6" ht="14.25" thickTop="1" thickBot="1">
      <c r="A2249" s="267"/>
      <c r="B2249" s="68" t="s">
        <v>2413</v>
      </c>
      <c r="C2249" s="192" t="s">
        <v>2033</v>
      </c>
      <c r="D2249" s="61">
        <v>113249</v>
      </c>
      <c r="E2249" s="62">
        <v>43846</v>
      </c>
      <c r="F2249" s="285"/>
    </row>
    <row r="2250" spans="1:6" ht="14.25" thickTop="1" thickBot="1">
      <c r="A2250" s="267" t="str">
        <f>C2252</f>
        <v>PAULO CESAR DIAS D0S SANTOS</v>
      </c>
      <c r="B2250" s="68" t="s">
        <v>62</v>
      </c>
      <c r="C2250" s="77" t="s">
        <v>1823</v>
      </c>
      <c r="D2250" s="61">
        <v>74079</v>
      </c>
      <c r="E2250" s="62">
        <v>41043</v>
      </c>
      <c r="F2250" s="285"/>
    </row>
    <row r="2251" spans="1:6" ht="14.25" thickTop="1" thickBot="1">
      <c r="A2251" s="267" t="str">
        <f>C2253</f>
        <v>PAULO CESAR MARIANO</v>
      </c>
      <c r="B2251" s="68" t="s">
        <v>1306</v>
      </c>
      <c r="C2251" s="66" t="s">
        <v>3286</v>
      </c>
      <c r="D2251" s="61">
        <v>3782</v>
      </c>
      <c r="E2251" s="62">
        <v>40864</v>
      </c>
      <c r="F2251" s="285"/>
    </row>
    <row r="2252" spans="1:6" ht="14.25" thickTop="1" thickBot="1">
      <c r="A2252" s="267" t="str">
        <f>C2254</f>
        <v>PAULO CESAR PIJANOWSKI</v>
      </c>
      <c r="B2252" s="68" t="s">
        <v>62</v>
      </c>
      <c r="C2252" s="64" t="s">
        <v>1217</v>
      </c>
      <c r="D2252" s="65">
        <v>63711</v>
      </c>
      <c r="E2252" s="62">
        <v>42342</v>
      </c>
      <c r="F2252" s="285"/>
    </row>
    <row r="2253" spans="1:6" ht="14.25" thickTop="1" thickBot="1">
      <c r="A2253" s="267"/>
      <c r="B2253" s="68" t="s">
        <v>2413</v>
      </c>
      <c r="C2253" s="66" t="s">
        <v>1995</v>
      </c>
      <c r="D2253" s="61">
        <v>113945</v>
      </c>
      <c r="E2253" s="62">
        <v>43984</v>
      </c>
      <c r="F2253" s="285"/>
    </row>
    <row r="2254" spans="1:6" ht="14.25" thickTop="1" thickBot="1">
      <c r="A2254" s="267" t="str">
        <f>C2258</f>
        <v>PAULO DE JESUS RIBEIRO</v>
      </c>
      <c r="B2254" s="68" t="s">
        <v>62</v>
      </c>
      <c r="C2254" s="66" t="s">
        <v>1323</v>
      </c>
      <c r="D2254" s="69">
        <v>90425</v>
      </c>
      <c r="E2254" s="62">
        <v>42272</v>
      </c>
      <c r="F2254" s="285"/>
    </row>
    <row r="2255" spans="1:6" ht="14.25" thickTop="1" thickBot="1">
      <c r="A2255" s="267" t="str">
        <f>C2259</f>
        <v>PAULO DE OLIVEIRA DIAS</v>
      </c>
      <c r="B2255" s="68" t="s">
        <v>62</v>
      </c>
      <c r="C2255" s="66" t="s">
        <v>1135</v>
      </c>
      <c r="D2255" s="61">
        <v>102132</v>
      </c>
      <c r="E2255" s="62">
        <v>42361</v>
      </c>
      <c r="F2255" s="285"/>
    </row>
    <row r="2256" spans="1:6" ht="14.25" thickTop="1" thickBot="1">
      <c r="A2256" s="267" t="s">
        <v>2660</v>
      </c>
      <c r="B2256" s="68" t="s">
        <v>62</v>
      </c>
      <c r="C2256" s="66" t="s">
        <v>3284</v>
      </c>
      <c r="D2256" s="67"/>
      <c r="E2256" s="62">
        <v>42389</v>
      </c>
      <c r="F2256" s="285"/>
    </row>
    <row r="2257" spans="1:6" ht="14.25" thickTop="1" thickBot="1">
      <c r="A2257" s="267" t="str">
        <f>C2259</f>
        <v>PAULO DE OLIVEIRA DIAS</v>
      </c>
      <c r="B2257" s="68" t="s">
        <v>2406</v>
      </c>
      <c r="C2257" s="60" t="s">
        <v>3285</v>
      </c>
      <c r="D2257" s="61">
        <v>102298</v>
      </c>
      <c r="E2257" s="62">
        <v>43767</v>
      </c>
      <c r="F2257" s="285"/>
    </row>
    <row r="2258" spans="1:6" ht="14.25" thickTop="1" thickBot="1">
      <c r="A2258" s="267" t="str">
        <f>C2260</f>
        <v>PAULO DO CARMO DE MELO</v>
      </c>
      <c r="B2258" s="68" t="s">
        <v>62</v>
      </c>
      <c r="C2258" s="66" t="s">
        <v>1136</v>
      </c>
      <c r="D2258" s="61">
        <v>63936</v>
      </c>
      <c r="E2258" s="62">
        <v>40813</v>
      </c>
      <c r="F2258" s="285"/>
    </row>
    <row r="2259" spans="1:6" ht="14.25" thickTop="1" thickBot="1">
      <c r="A2259" s="267"/>
      <c r="B2259" s="68" t="s">
        <v>62</v>
      </c>
      <c r="C2259" s="64" t="s">
        <v>381</v>
      </c>
      <c r="D2259" s="65">
        <v>63936</v>
      </c>
      <c r="E2259" s="70">
        <v>42489</v>
      </c>
      <c r="F2259" s="284"/>
    </row>
    <row r="2260" spans="1:6" ht="14.25" thickTop="1" thickBot="1">
      <c r="A2260" s="267"/>
      <c r="B2260" s="68" t="s">
        <v>2413</v>
      </c>
      <c r="C2260" s="77" t="s">
        <v>1427</v>
      </c>
      <c r="D2260" s="61">
        <v>63727</v>
      </c>
      <c r="E2260" s="62">
        <v>43846</v>
      </c>
      <c r="F2260" s="285"/>
    </row>
    <row r="2261" spans="1:6" ht="14.25" thickTop="1" thickBot="1">
      <c r="A2261" s="267" t="str">
        <f>C2263</f>
        <v>PAULO EDSON DOTINI DA SILVA   (Neguinho Dente de Ouro)</v>
      </c>
      <c r="B2261" s="68" t="s">
        <v>62</v>
      </c>
      <c r="C2261" s="66" t="s">
        <v>302</v>
      </c>
      <c r="D2261" s="65">
        <v>27138</v>
      </c>
      <c r="E2261" s="62">
        <v>39953</v>
      </c>
      <c r="F2261" s="285"/>
    </row>
    <row r="2262" spans="1:6" ht="14.25" thickTop="1" thickBot="1">
      <c r="A2262" s="267" t="str">
        <f>C2264</f>
        <v>PAULO EDUARDO GODOI MILEK</v>
      </c>
      <c r="B2262" s="68" t="s">
        <v>62</v>
      </c>
      <c r="C2262" s="66" t="s">
        <v>1321</v>
      </c>
      <c r="D2262" s="61">
        <v>27150</v>
      </c>
      <c r="E2262" s="62">
        <v>41572</v>
      </c>
      <c r="F2262" s="300"/>
    </row>
    <row r="2263" spans="1:6" ht="14.25" thickTop="1" thickBot="1">
      <c r="A2263" s="267"/>
      <c r="B2263" s="68" t="s">
        <v>62</v>
      </c>
      <c r="C2263" s="66" t="s">
        <v>3095</v>
      </c>
      <c r="D2263" s="61">
        <v>27341</v>
      </c>
      <c r="E2263" s="62">
        <v>43180</v>
      </c>
      <c r="F2263" s="290"/>
    </row>
    <row r="2264" spans="1:6" ht="14.25" thickTop="1" thickBot="1">
      <c r="A2264" s="267"/>
      <c r="B2264" s="68" t="s">
        <v>2413</v>
      </c>
      <c r="C2264" s="78" t="s">
        <v>2176</v>
      </c>
      <c r="D2264" s="61">
        <v>142701</v>
      </c>
      <c r="E2264" s="62">
        <v>43859</v>
      </c>
      <c r="F2264" s="285"/>
    </row>
    <row r="2265" spans="1:6" ht="14.25" thickTop="1" thickBot="1">
      <c r="A2265" s="267" t="str">
        <f>C2267</f>
        <v>PAULO HENRIQUE CHIARO</v>
      </c>
      <c r="B2265" s="68" t="s">
        <v>62</v>
      </c>
      <c r="C2265" s="66" t="s">
        <v>916</v>
      </c>
      <c r="D2265" s="68"/>
      <c r="E2265" s="62">
        <v>41096</v>
      </c>
      <c r="F2265" s="285"/>
    </row>
    <row r="2266" spans="1:6" ht="14.25" thickTop="1" thickBot="1">
      <c r="A2266" s="267" t="str">
        <f>C2268</f>
        <v>PAULO HENRIQUE DA SILVA LEITE</v>
      </c>
      <c r="B2266" s="68" t="s">
        <v>2044</v>
      </c>
      <c r="C2266" s="66" t="s">
        <v>2140</v>
      </c>
      <c r="D2266" s="61">
        <v>123946</v>
      </c>
      <c r="E2266" s="62">
        <v>41624</v>
      </c>
      <c r="F2266" s="285"/>
    </row>
    <row r="2267" spans="1:6" ht="14.25" thickTop="1" thickBot="1">
      <c r="A2267" s="267" t="str">
        <f>C2269</f>
        <v>PAULO HENRIQUE DAS NEVES</v>
      </c>
      <c r="B2267" s="68" t="s">
        <v>415</v>
      </c>
      <c r="C2267" s="64" t="s">
        <v>1137</v>
      </c>
      <c r="D2267" s="69">
        <v>120278</v>
      </c>
      <c r="E2267" s="62">
        <v>41834</v>
      </c>
      <c r="F2267" s="285"/>
    </row>
    <row r="2268" spans="1:6" ht="14.25" thickTop="1" thickBot="1">
      <c r="A2268" s="267" t="str">
        <f>C2270</f>
        <v>PAULO HENRIQUE DE OLIVEIRA</v>
      </c>
      <c r="B2268" s="68" t="s">
        <v>62</v>
      </c>
      <c r="C2268" s="66" t="s">
        <v>1681</v>
      </c>
      <c r="D2268" s="65">
        <v>63075</v>
      </c>
      <c r="E2268" s="62">
        <v>40893</v>
      </c>
      <c r="F2268" s="285"/>
    </row>
    <row r="2269" spans="1:6" ht="14.25" thickTop="1" thickBot="1">
      <c r="A2269" s="270"/>
      <c r="B2269" s="68" t="s">
        <v>1812</v>
      </c>
      <c r="C2269" s="66" t="s">
        <v>1358</v>
      </c>
      <c r="D2269" s="61">
        <v>63587</v>
      </c>
      <c r="E2269" s="70">
        <v>42326</v>
      </c>
      <c r="F2269" s="284"/>
    </row>
    <row r="2270" spans="1:6" ht="14.25" thickTop="1" thickBot="1">
      <c r="A2270" s="267" t="str">
        <f>C2272</f>
        <v>PAULO HENRIQUE FERREIRA DOS SANTOS</v>
      </c>
      <c r="B2270" s="68" t="s">
        <v>62</v>
      </c>
      <c r="C2270" s="66" t="s">
        <v>1013</v>
      </c>
      <c r="D2270" s="65"/>
      <c r="E2270" s="62">
        <v>40834</v>
      </c>
      <c r="F2270" s="285"/>
    </row>
    <row r="2271" spans="1:6" ht="14.25" thickTop="1" thickBot="1">
      <c r="A2271" s="267"/>
      <c r="B2271" s="68" t="s">
        <v>1522</v>
      </c>
      <c r="C2271" s="192" t="s">
        <v>1617</v>
      </c>
      <c r="D2271" s="61">
        <v>132333</v>
      </c>
      <c r="E2271" s="62"/>
      <c r="F2271" s="285"/>
    </row>
    <row r="2272" spans="1:6" ht="14.25" thickTop="1" thickBot="1">
      <c r="A2272" s="267" t="str">
        <f t="shared" ref="A2272:A2278" si="98">C2274</f>
        <v>PAULO IVAN DE QUADROS</v>
      </c>
      <c r="B2272" s="68" t="s">
        <v>98</v>
      </c>
      <c r="C2272" s="66" t="s">
        <v>1617</v>
      </c>
      <c r="D2272" s="61">
        <v>27242</v>
      </c>
      <c r="E2272" s="62">
        <v>41625</v>
      </c>
      <c r="F2272" s="285"/>
    </row>
    <row r="2273" spans="1:6" ht="14.25" thickTop="1" thickBot="1">
      <c r="A2273" s="267" t="str">
        <f t="shared" si="98"/>
        <v>PAULO LEANDRO LEITE VICENTE</v>
      </c>
      <c r="B2273" s="68" t="s">
        <v>62</v>
      </c>
      <c r="C2273" s="66" t="s">
        <v>1774</v>
      </c>
      <c r="D2273" s="65">
        <v>63587</v>
      </c>
      <c r="E2273" s="62">
        <v>42474</v>
      </c>
      <c r="F2273" s="285"/>
    </row>
    <row r="2274" spans="1:6" ht="14.25" thickTop="1" thickBot="1">
      <c r="A2274" s="267" t="str">
        <f t="shared" si="98"/>
        <v>PAULO LUIZ PINHEIRO                        (Monstrinho)</v>
      </c>
      <c r="B2274" s="68" t="s">
        <v>98</v>
      </c>
      <c r="C2274" s="66" t="s">
        <v>1138</v>
      </c>
      <c r="D2274" s="65">
        <v>86199</v>
      </c>
      <c r="E2274" s="62">
        <v>42591</v>
      </c>
      <c r="F2274" s="285"/>
    </row>
    <row r="2275" spans="1:6" ht="14.25" thickTop="1" thickBot="1">
      <c r="A2275" s="267" t="str">
        <f t="shared" si="98"/>
        <v>PAULO MAGNO DOS SANTOS</v>
      </c>
      <c r="B2275" s="68" t="s">
        <v>62</v>
      </c>
      <c r="C2275" s="66" t="s">
        <v>1444</v>
      </c>
      <c r="D2275" s="61">
        <v>133866</v>
      </c>
      <c r="E2275" s="62">
        <v>41128</v>
      </c>
      <c r="F2275" s="285"/>
    </row>
    <row r="2276" spans="1:6" ht="14.25" thickTop="1" thickBot="1">
      <c r="A2276" s="267" t="str">
        <f t="shared" si="98"/>
        <v>PAULO MARCELO RIBAS                     (Padre)</v>
      </c>
      <c r="B2276" s="68" t="s">
        <v>62</v>
      </c>
      <c r="C2276" s="66" t="s">
        <v>3283</v>
      </c>
      <c r="D2276" s="61">
        <v>27051</v>
      </c>
      <c r="E2276" s="70">
        <v>42412</v>
      </c>
      <c r="F2276" s="287"/>
    </row>
    <row r="2277" spans="1:6" ht="14.25" thickTop="1" thickBot="1">
      <c r="A2277" s="267" t="str">
        <f t="shared" si="98"/>
        <v>PAULO MARCOS FUGIHARA                      (Ursinho)</v>
      </c>
      <c r="B2277" s="68" t="s">
        <v>62</v>
      </c>
      <c r="C2277" s="66" t="s">
        <v>1339</v>
      </c>
      <c r="D2277" s="61">
        <v>63378</v>
      </c>
      <c r="E2277" s="62">
        <v>40948</v>
      </c>
      <c r="F2277" s="285"/>
    </row>
    <row r="2278" spans="1:6" ht="14.25" thickTop="1" thickBot="1">
      <c r="A2278" s="267" t="str">
        <f t="shared" si="98"/>
        <v>PAULO MARCOS FUGIHARA                      (Ursinho)</v>
      </c>
      <c r="B2278" s="68" t="s">
        <v>62</v>
      </c>
      <c r="C2278" s="66" t="s">
        <v>3282</v>
      </c>
      <c r="D2278" s="61">
        <v>27051</v>
      </c>
      <c r="E2278" s="62">
        <v>41757</v>
      </c>
      <c r="F2278" s="285"/>
    </row>
    <row r="2279" spans="1:6" ht="14.25" thickTop="1" thickBot="1">
      <c r="A2279" s="267"/>
      <c r="B2279" s="68" t="s">
        <v>62</v>
      </c>
      <c r="C2279" s="66" t="s">
        <v>3281</v>
      </c>
      <c r="D2279" s="65">
        <v>53073</v>
      </c>
      <c r="E2279" s="70">
        <v>42145</v>
      </c>
      <c r="F2279" s="284"/>
    </row>
    <row r="2280" spans="1:6" ht="14.25" thickTop="1" thickBot="1">
      <c r="A2280" s="267"/>
      <c r="B2280" s="68" t="s">
        <v>2413</v>
      </c>
      <c r="C2280" s="66" t="s">
        <v>3281</v>
      </c>
      <c r="D2280" s="61">
        <v>53073</v>
      </c>
      <c r="E2280" s="62">
        <v>43846</v>
      </c>
      <c r="F2280" s="285"/>
    </row>
    <row r="2281" spans="1:6" ht="14.25" thickTop="1" thickBot="1">
      <c r="A2281" s="267" t="s">
        <v>1811</v>
      </c>
      <c r="B2281" s="68" t="s">
        <v>62</v>
      </c>
      <c r="C2281" s="66" t="s">
        <v>1544</v>
      </c>
      <c r="D2281" s="67"/>
      <c r="E2281" s="62">
        <v>40948</v>
      </c>
      <c r="F2281" s="285"/>
    </row>
    <row r="2282" spans="1:6" ht="14.25" thickTop="1" thickBot="1">
      <c r="A2282" s="267" t="str">
        <f>C2284</f>
        <v>PAULO POLLI</v>
      </c>
      <c r="B2282" s="68" t="s">
        <v>2413</v>
      </c>
      <c r="C2282" s="66" t="s">
        <v>1545</v>
      </c>
      <c r="D2282" s="67"/>
      <c r="E2282" s="62"/>
      <c r="F2282" s="285"/>
    </row>
    <row r="2283" spans="1:6" ht="14.25" thickTop="1" thickBot="1">
      <c r="A2283" s="267" t="str">
        <f>C2285</f>
        <v>PAULO ROBERTO CAMARGO</v>
      </c>
      <c r="B2283" s="68" t="s">
        <v>62</v>
      </c>
      <c r="C2283" s="66" t="s">
        <v>1547</v>
      </c>
      <c r="D2283" s="67"/>
      <c r="E2283" s="62">
        <v>40087</v>
      </c>
      <c r="F2283" s="285"/>
    </row>
    <row r="2284" spans="1:6" ht="14.25" thickTop="1" thickBot="1">
      <c r="A2284" s="267" t="str">
        <f>C2286</f>
        <v>PAULO ROBERTO DA SILVA MOREIRA</v>
      </c>
      <c r="B2284" s="68" t="s">
        <v>62</v>
      </c>
      <c r="C2284" s="64" t="s">
        <v>1811</v>
      </c>
      <c r="D2284" s="65">
        <v>19371</v>
      </c>
      <c r="E2284" s="70">
        <v>42166</v>
      </c>
      <c r="F2284" s="284"/>
    </row>
    <row r="2285" spans="1:6" ht="14.25" thickTop="1" thickBot="1">
      <c r="A2285" s="267"/>
      <c r="B2285" s="163" t="s">
        <v>62</v>
      </c>
      <c r="C2285" s="66" t="s">
        <v>1548</v>
      </c>
      <c r="D2285" s="67"/>
      <c r="E2285" s="204">
        <v>43360</v>
      </c>
      <c r="F2285" s="285"/>
    </row>
    <row r="2286" spans="1:6" ht="14.25" thickTop="1" thickBot="1">
      <c r="A2286" s="267" t="str">
        <f t="shared" ref="A2286:A2295" si="99">C2288</f>
        <v>PAULO ROBERTO ERAT</v>
      </c>
      <c r="B2286" s="68" t="s">
        <v>62</v>
      </c>
      <c r="C2286" s="64" t="s">
        <v>210</v>
      </c>
      <c r="D2286" s="65">
        <v>27055</v>
      </c>
      <c r="E2286" s="62">
        <v>41884</v>
      </c>
      <c r="F2286" s="285"/>
    </row>
    <row r="2287" spans="1:6" ht="14.25" thickTop="1" thickBot="1">
      <c r="A2287" s="267" t="str">
        <f t="shared" si="99"/>
        <v>PAULO ROBERTO FERREIRA                   (Gadeia)</v>
      </c>
      <c r="B2287" s="68" t="s">
        <v>1264</v>
      </c>
      <c r="C2287" s="77" t="s">
        <v>2027</v>
      </c>
      <c r="D2287" s="61">
        <v>103830</v>
      </c>
      <c r="E2287" s="70">
        <v>42373</v>
      </c>
      <c r="F2287" s="284"/>
    </row>
    <row r="2288" spans="1:6" ht="14.25" thickTop="1" thickBot="1">
      <c r="A2288" s="267" t="str">
        <f t="shared" si="99"/>
        <v>PAULO ROBERTO ROCHA</v>
      </c>
      <c r="B2288" s="68" t="s">
        <v>62</v>
      </c>
      <c r="C2288" s="66" t="s">
        <v>1098</v>
      </c>
      <c r="D2288" s="65">
        <v>10610</v>
      </c>
      <c r="E2288" s="62">
        <v>42131</v>
      </c>
      <c r="F2288" s="285"/>
    </row>
    <row r="2289" spans="1:6" ht="14.25" thickTop="1" thickBot="1">
      <c r="A2289" s="267" t="str">
        <f t="shared" si="99"/>
        <v>PAULO ROBSON DE MOURA RIBAS</v>
      </c>
      <c r="B2289" s="68" t="s">
        <v>62</v>
      </c>
      <c r="C2289" s="66" t="s">
        <v>3280</v>
      </c>
      <c r="D2289" s="65">
        <v>10610</v>
      </c>
      <c r="E2289" s="62">
        <v>41963</v>
      </c>
      <c r="F2289" s="285"/>
    </row>
    <row r="2290" spans="1:6" ht="14.25" thickTop="1" thickBot="1">
      <c r="A2290" s="267" t="str">
        <f t="shared" si="99"/>
        <v>PAULO RODRIGUES PEXINHO                   (Peixinho)</v>
      </c>
      <c r="B2290" s="68" t="s">
        <v>546</v>
      </c>
      <c r="C2290" s="66" t="s">
        <v>1139</v>
      </c>
      <c r="D2290" s="61">
        <v>63626</v>
      </c>
      <c r="E2290" s="62">
        <v>39953</v>
      </c>
      <c r="F2290" s="285"/>
    </row>
    <row r="2291" spans="1:6" ht="14.25" thickTop="1" thickBot="1">
      <c r="A2291" s="267" t="str">
        <f t="shared" si="99"/>
        <v>PAULO SELATCHEK</v>
      </c>
      <c r="B2291" s="68" t="s">
        <v>62</v>
      </c>
      <c r="C2291" s="64" t="s">
        <v>778</v>
      </c>
      <c r="D2291" s="61">
        <v>106333</v>
      </c>
      <c r="E2291" s="62">
        <v>39611</v>
      </c>
      <c r="F2291" s="285"/>
    </row>
    <row r="2292" spans="1:6" ht="14.25" thickTop="1" thickBot="1">
      <c r="A2292" s="267" t="str">
        <f t="shared" si="99"/>
        <v>PAULO SERGIO CAETANO DO PILAR</v>
      </c>
      <c r="B2292" s="68" t="s">
        <v>62</v>
      </c>
      <c r="C2292" s="66" t="s">
        <v>3279</v>
      </c>
      <c r="D2292" s="67"/>
      <c r="E2292" s="62">
        <v>40498</v>
      </c>
      <c r="F2292" s="285"/>
    </row>
    <row r="2293" spans="1:6" ht="14.25" thickTop="1" thickBot="1">
      <c r="A2293" s="267" t="str">
        <f t="shared" si="99"/>
        <v>PAULO SERGIO CAMARGO</v>
      </c>
      <c r="B2293" s="68" t="s">
        <v>62</v>
      </c>
      <c r="C2293" s="64" t="s">
        <v>463</v>
      </c>
      <c r="D2293" s="67"/>
      <c r="E2293" s="115">
        <v>40498</v>
      </c>
      <c r="F2293" s="288" t="s">
        <v>1292</v>
      </c>
    </row>
    <row r="2294" spans="1:6" ht="14.25" thickTop="1" thickBot="1">
      <c r="A2294" s="267" t="str">
        <f t="shared" si="99"/>
        <v>PAULO SÉRGIO CAMARGO</v>
      </c>
      <c r="B2294" s="68" t="s">
        <v>62</v>
      </c>
      <c r="C2294" s="66" t="s">
        <v>1198</v>
      </c>
      <c r="D2294" s="67"/>
      <c r="E2294" s="62">
        <v>40934</v>
      </c>
      <c r="F2294" s="285"/>
    </row>
    <row r="2295" spans="1:6" ht="14.25" thickTop="1" thickBot="1">
      <c r="A2295" s="267" t="str">
        <f t="shared" si="99"/>
        <v>PAULO SERGIO DA ROSA</v>
      </c>
      <c r="B2295" s="68" t="s">
        <v>62</v>
      </c>
      <c r="C2295" s="66" t="s">
        <v>196</v>
      </c>
      <c r="D2295" s="61">
        <v>41625</v>
      </c>
      <c r="E2295" s="62">
        <v>42130</v>
      </c>
      <c r="F2295" s="285"/>
    </row>
    <row r="2296" spans="1:6" ht="14.25" thickTop="1" thickBot="1">
      <c r="A2296" s="267"/>
      <c r="B2296" s="68"/>
      <c r="C2296" s="332" t="s">
        <v>3442</v>
      </c>
      <c r="D2296" s="333">
        <v>63469</v>
      </c>
      <c r="E2296" s="70"/>
      <c r="F2296" s="284"/>
    </row>
    <row r="2297" spans="1:6" ht="14.25" thickTop="1" thickBot="1">
      <c r="A2297" s="267" t="str">
        <f>C2299</f>
        <v>PAULO SERGIO DA SILVEIRA</v>
      </c>
      <c r="B2297" s="67" t="s">
        <v>351</v>
      </c>
      <c r="C2297" s="66" t="s">
        <v>1773</v>
      </c>
      <c r="D2297" s="65">
        <v>63469</v>
      </c>
      <c r="E2297" s="62">
        <v>43175</v>
      </c>
      <c r="F2297" s="285"/>
    </row>
    <row r="2298" spans="1:6" ht="14.25" thickTop="1" thickBot="1">
      <c r="A2298" s="267"/>
      <c r="B2298" s="68" t="s">
        <v>62</v>
      </c>
      <c r="C2298" s="64" t="s">
        <v>692</v>
      </c>
      <c r="D2298" s="61">
        <v>63312</v>
      </c>
      <c r="E2298" s="62">
        <v>39463</v>
      </c>
      <c r="F2298" s="285"/>
    </row>
    <row r="2299" spans="1:6" ht="14.25" thickTop="1" thickBot="1">
      <c r="A2299" s="269" t="s">
        <v>2563</v>
      </c>
      <c r="B2299" s="67" t="s">
        <v>1522</v>
      </c>
      <c r="C2299" s="66" t="s">
        <v>2274</v>
      </c>
      <c r="D2299" s="65"/>
      <c r="E2299" s="62">
        <v>41418</v>
      </c>
      <c r="F2299" s="285"/>
    </row>
    <row r="2300" spans="1:6" ht="14.25" thickTop="1" thickBot="1">
      <c r="A2300" s="267" t="str">
        <f>C2302</f>
        <v>PAULO SERGIO DOS SANTOS                      (Paulinho Guaira)</v>
      </c>
      <c r="B2300" s="68" t="s">
        <v>2507</v>
      </c>
      <c r="C2300" s="66" t="s">
        <v>311</v>
      </c>
      <c r="D2300" s="65">
        <v>69527</v>
      </c>
      <c r="E2300" s="62">
        <v>43487</v>
      </c>
      <c r="F2300" s="285"/>
    </row>
    <row r="2301" spans="1:6" ht="14.25" thickTop="1" thickBot="1">
      <c r="A2301" s="267"/>
      <c r="B2301" s="68"/>
      <c r="C2301" s="66" t="s">
        <v>1703</v>
      </c>
      <c r="D2301" s="65">
        <v>63466</v>
      </c>
      <c r="E2301" s="62">
        <v>41575</v>
      </c>
      <c r="F2301" s="285"/>
    </row>
    <row r="2302" spans="1:6" ht="14.25" thickTop="1" thickBot="1">
      <c r="A2302" s="267" t="str">
        <f>C2304</f>
        <v>PAULO SERGIO GONÇALVES DE CASTRO</v>
      </c>
      <c r="B2302" s="68" t="s">
        <v>62</v>
      </c>
      <c r="C2302" s="66" t="s">
        <v>3278</v>
      </c>
      <c r="D2302" s="67"/>
      <c r="E2302" s="62"/>
      <c r="F2302" s="285"/>
    </row>
    <row r="2303" spans="1:6" ht="14.25" thickTop="1" thickBot="1">
      <c r="A2303" s="267" t="str">
        <f>C2305</f>
        <v>PAULO SERGIO MACHADO</v>
      </c>
      <c r="B2303" s="68" t="s">
        <v>1306</v>
      </c>
      <c r="C2303" s="66" t="s">
        <v>164</v>
      </c>
      <c r="D2303" s="65">
        <v>103171</v>
      </c>
      <c r="E2303" s="62">
        <v>43241</v>
      </c>
      <c r="F2303" s="285"/>
    </row>
    <row r="2304" spans="1:6" ht="14.25" thickTop="1" thickBot="1">
      <c r="A2304" s="267" t="str">
        <f>C2306</f>
        <v>PAULO SERGIO MACHADO</v>
      </c>
      <c r="B2304" s="68" t="s">
        <v>1306</v>
      </c>
      <c r="C2304" s="60" t="s">
        <v>2727</v>
      </c>
      <c r="D2304" s="61">
        <v>70966</v>
      </c>
      <c r="E2304" s="62">
        <v>40591</v>
      </c>
      <c r="F2304" s="285"/>
    </row>
    <row r="2305" spans="1:6" ht="14.25" thickTop="1" thickBot="1">
      <c r="A2305" s="267" t="str">
        <f>C2307</f>
        <v xml:space="preserve">PAULO SERGIO OLIVEIRA </v>
      </c>
      <c r="B2305" s="68" t="s">
        <v>62</v>
      </c>
      <c r="C2305" s="66" t="s">
        <v>1121</v>
      </c>
      <c r="D2305" s="61">
        <v>103171</v>
      </c>
      <c r="E2305" s="70">
        <v>42304</v>
      </c>
      <c r="F2305" s="284"/>
    </row>
    <row r="2306" spans="1:6" ht="14.25" thickTop="1" thickBot="1">
      <c r="A2306" s="267" t="str">
        <f>C2308</f>
        <v>PAULO SERGIO ROCHA MACHADO</v>
      </c>
      <c r="B2306" s="163" t="s">
        <v>62</v>
      </c>
      <c r="C2306" s="66" t="s">
        <v>1121</v>
      </c>
      <c r="D2306" s="67"/>
      <c r="E2306" s="204">
        <v>43360</v>
      </c>
      <c r="F2306" s="285"/>
    </row>
    <row r="2307" spans="1:6" ht="14.25" thickTop="1" thickBot="1">
      <c r="A2307" s="267" t="str">
        <f>C2311</f>
        <v>PEDRO ANTUNES SANTANA</v>
      </c>
      <c r="B2307" s="68" t="s">
        <v>1306</v>
      </c>
      <c r="C2307" s="64" t="s">
        <v>526</v>
      </c>
      <c r="D2307" s="67"/>
      <c r="E2307" s="62">
        <v>41962</v>
      </c>
      <c r="F2307" s="285"/>
    </row>
    <row r="2308" spans="1:6" ht="14.25" thickTop="1" thickBot="1">
      <c r="A2308" s="267" t="s">
        <v>2361</v>
      </c>
      <c r="B2308" s="68" t="s">
        <v>1306</v>
      </c>
      <c r="C2308" s="77" t="s">
        <v>2026</v>
      </c>
      <c r="D2308" s="61">
        <v>109560</v>
      </c>
      <c r="E2308" s="62">
        <v>40591</v>
      </c>
      <c r="F2308" s="285"/>
    </row>
    <row r="2309" spans="1:6" ht="14.25" thickTop="1" thickBot="1">
      <c r="A2309" s="267" t="s">
        <v>2789</v>
      </c>
      <c r="B2309" s="68" t="s">
        <v>1812</v>
      </c>
      <c r="C2309" s="192" t="s">
        <v>3381</v>
      </c>
      <c r="D2309" s="61">
        <v>125981</v>
      </c>
      <c r="E2309" s="62">
        <v>44092</v>
      </c>
      <c r="F2309" s="285"/>
    </row>
    <row r="2310" spans="1:6" ht="14.25" thickTop="1" thickBot="1">
      <c r="A2310" s="267" t="str">
        <f t="shared" ref="A2310:A2325" si="100">C2312</f>
        <v>PEDRO FERNANDO DA SILVA</v>
      </c>
      <c r="B2310" s="68" t="s">
        <v>126</v>
      </c>
      <c r="C2310" s="66" t="s">
        <v>1246</v>
      </c>
      <c r="D2310" s="82"/>
      <c r="E2310" s="62">
        <v>43446</v>
      </c>
      <c r="F2310" s="285"/>
    </row>
    <row r="2311" spans="1:6" ht="14.25" thickTop="1" thickBot="1">
      <c r="A2311" s="267" t="str">
        <f t="shared" si="100"/>
        <v xml:space="preserve">PEDRO FIDENCIO DA SILVA       </v>
      </c>
      <c r="B2311" s="68" t="s">
        <v>62</v>
      </c>
      <c r="C2311" s="66" t="s">
        <v>118</v>
      </c>
      <c r="D2311" s="65">
        <v>63507</v>
      </c>
      <c r="E2311" s="62">
        <v>41992</v>
      </c>
      <c r="F2311" s="285"/>
    </row>
    <row r="2312" spans="1:6" ht="14.25" thickTop="1" thickBot="1">
      <c r="A2312" s="267" t="str">
        <f t="shared" si="100"/>
        <v>PEDRO HENRIQUE DE SOUZA RIBEIRO</v>
      </c>
      <c r="B2312" s="67" t="s">
        <v>1812</v>
      </c>
      <c r="C2312" s="60" t="s">
        <v>2361</v>
      </c>
      <c r="D2312" s="61">
        <v>3724</v>
      </c>
      <c r="E2312" s="62">
        <v>40462</v>
      </c>
      <c r="F2312" s="285"/>
    </row>
    <row r="2313" spans="1:6" ht="14.25" thickTop="1" thickBot="1">
      <c r="A2313" s="267" t="str">
        <f t="shared" si="100"/>
        <v>PEDRO IRINEU FERREIRA DE LIMA                 (Petróleo)</v>
      </c>
      <c r="B2313" s="68" t="s">
        <v>62</v>
      </c>
      <c r="C2313" s="66" t="s">
        <v>1199</v>
      </c>
      <c r="D2313" s="61">
        <v>134222</v>
      </c>
      <c r="E2313" s="62">
        <v>41977</v>
      </c>
      <c r="F2313" s="285"/>
    </row>
    <row r="2314" spans="1:6" ht="14.25" thickTop="1" thickBot="1">
      <c r="A2314" s="267" t="str">
        <f t="shared" si="100"/>
        <v>PEDRO JORGE DA COSTA                     (Paletó)</v>
      </c>
      <c r="B2314" s="68" t="s">
        <v>1918</v>
      </c>
      <c r="C2314" s="66" t="s">
        <v>1963</v>
      </c>
      <c r="D2314" s="65">
        <v>63586</v>
      </c>
      <c r="E2314" s="70">
        <v>42319</v>
      </c>
      <c r="F2314" s="284"/>
    </row>
    <row r="2315" spans="1:6" ht="14.25" thickTop="1" thickBot="1">
      <c r="A2315" s="267" t="str">
        <f t="shared" si="100"/>
        <v>PEDRO MARIA DOS SANTOS</v>
      </c>
      <c r="B2315" s="68" t="s">
        <v>62</v>
      </c>
      <c r="C2315" s="64" t="s">
        <v>3276</v>
      </c>
      <c r="D2315" s="65">
        <v>67699</v>
      </c>
      <c r="E2315" s="62">
        <v>41851</v>
      </c>
      <c r="F2315" s="285"/>
    </row>
    <row r="2316" spans="1:6" ht="14.25" thickTop="1" thickBot="1">
      <c r="A2316" s="267" t="str">
        <f t="shared" si="100"/>
        <v xml:space="preserve">PEDRO MENDOKA       </v>
      </c>
      <c r="B2316" s="68" t="s">
        <v>62</v>
      </c>
      <c r="C2316" s="66" t="s">
        <v>3277</v>
      </c>
      <c r="D2316" s="65">
        <v>63586</v>
      </c>
      <c r="E2316" s="62">
        <v>40898</v>
      </c>
      <c r="F2316" s="285"/>
    </row>
    <row r="2317" spans="1:6" ht="14.25" thickTop="1" thickBot="1">
      <c r="A2317" s="267" t="str">
        <f t="shared" si="100"/>
        <v>PEDRO MORILLO VIGIL</v>
      </c>
      <c r="B2317" s="68" t="s">
        <v>62</v>
      </c>
      <c r="C2317" s="66" t="s">
        <v>1549</v>
      </c>
      <c r="D2317" s="67"/>
      <c r="E2317" s="62">
        <v>41425</v>
      </c>
      <c r="F2317" s="285"/>
    </row>
    <row r="2318" spans="1:6" ht="14.25" thickTop="1" thickBot="1">
      <c r="A2318" s="267" t="str">
        <f t="shared" si="100"/>
        <v>PEDRO PAULO RODRIGUES</v>
      </c>
      <c r="B2318" s="68" t="s">
        <v>1812</v>
      </c>
      <c r="C2318" s="64" t="s">
        <v>1200</v>
      </c>
      <c r="D2318" s="61">
        <v>27339</v>
      </c>
      <c r="E2318" s="62">
        <v>42480</v>
      </c>
      <c r="F2318" s="285"/>
    </row>
    <row r="2319" spans="1:6" ht="14.25" thickTop="1" thickBot="1">
      <c r="A2319" s="267" t="str">
        <f t="shared" si="100"/>
        <v>PEDRO PEREIRA DOS SANTOS</v>
      </c>
      <c r="B2319" s="68" t="s">
        <v>62</v>
      </c>
      <c r="C2319" s="66" t="s">
        <v>915</v>
      </c>
      <c r="D2319" s="65"/>
      <c r="E2319" s="62">
        <v>43364</v>
      </c>
      <c r="F2319" s="285"/>
    </row>
    <row r="2320" spans="1:6" ht="14.25" thickTop="1" thickBot="1">
      <c r="A2320" s="267" t="str">
        <f t="shared" si="100"/>
        <v>PEDRO RIBEIRO DOS SANTOS</v>
      </c>
      <c r="B2320" s="68" t="s">
        <v>1306</v>
      </c>
      <c r="C2320" s="66" t="s">
        <v>1618</v>
      </c>
      <c r="D2320" s="61">
        <v>127706</v>
      </c>
      <c r="E2320" s="62">
        <v>39231</v>
      </c>
      <c r="F2320" s="285"/>
    </row>
    <row r="2321" spans="1:6" ht="14.25" thickTop="1" thickBot="1">
      <c r="A2321" s="267" t="str">
        <f t="shared" si="100"/>
        <v>PEDRO RIVAIR DE PROENÇA</v>
      </c>
      <c r="B2321" s="68" t="s">
        <v>62</v>
      </c>
      <c r="C2321" s="77" t="s">
        <v>280</v>
      </c>
      <c r="D2321" s="61">
        <v>100501</v>
      </c>
      <c r="E2321" s="62">
        <v>42341</v>
      </c>
      <c r="F2321" s="285"/>
    </row>
    <row r="2322" spans="1:6" ht="14.25" thickTop="1" thickBot="1">
      <c r="A2322" s="267" t="str">
        <f t="shared" si="100"/>
        <v>PEDRO SERGIO PALHANO</v>
      </c>
      <c r="B2322" s="68" t="s">
        <v>62</v>
      </c>
      <c r="C2322" s="66" t="s">
        <v>1847</v>
      </c>
      <c r="D2322" s="65">
        <v>55450</v>
      </c>
      <c r="E2322" s="62">
        <v>42705</v>
      </c>
      <c r="F2322" s="285"/>
    </row>
    <row r="2323" spans="1:6" ht="14.25" thickTop="1" thickBot="1">
      <c r="A2323" s="267" t="str">
        <f t="shared" si="100"/>
        <v>PEDRO VALDEMAR FERNANDES JUNIOR</v>
      </c>
      <c r="B2323" s="68" t="s">
        <v>98</v>
      </c>
      <c r="C2323" s="64" t="s">
        <v>1201</v>
      </c>
      <c r="D2323" s="67"/>
      <c r="E2323" s="62">
        <v>40550</v>
      </c>
      <c r="F2323" s="285"/>
    </row>
    <row r="2324" spans="1:6" ht="14.25" thickTop="1" thickBot="1">
      <c r="A2324" s="267" t="str">
        <f t="shared" si="100"/>
        <v>PEDRO VITKOSKI JUNIOR</v>
      </c>
      <c r="B2324" s="67" t="s">
        <v>1522</v>
      </c>
      <c r="C2324" s="64" t="s">
        <v>1203</v>
      </c>
      <c r="D2324" s="61">
        <v>103221</v>
      </c>
      <c r="E2324" s="62">
        <v>42327</v>
      </c>
      <c r="F2324" s="285"/>
    </row>
    <row r="2325" spans="1:6" ht="14.25" thickTop="1" thickBot="1">
      <c r="A2325" s="267" t="str">
        <f t="shared" si="100"/>
        <v>PERCIO BRONOSKI</v>
      </c>
      <c r="B2325" s="68" t="s">
        <v>62</v>
      </c>
      <c r="C2325" s="66" t="s">
        <v>431</v>
      </c>
      <c r="D2325" s="69">
        <v>7076</v>
      </c>
      <c r="E2325" s="62">
        <v>41205</v>
      </c>
      <c r="F2325" s="285"/>
    </row>
    <row r="2326" spans="1:6" ht="14.25" thickTop="1" thickBot="1">
      <c r="A2326" s="267"/>
      <c r="B2326" s="61" t="s">
        <v>351</v>
      </c>
      <c r="C2326" s="66" t="s">
        <v>925</v>
      </c>
      <c r="D2326" s="61">
        <v>53584</v>
      </c>
      <c r="E2326" s="62">
        <v>43587</v>
      </c>
      <c r="F2326" s="285"/>
    </row>
    <row r="2327" spans="1:6" ht="14.25" thickTop="1" thickBot="1">
      <c r="A2327" s="267" t="str">
        <f>C2329</f>
        <v>PETER BESDUDNYJ JUNIOR</v>
      </c>
      <c r="B2327" s="68" t="s">
        <v>201</v>
      </c>
      <c r="C2327" s="64" t="s">
        <v>1204</v>
      </c>
      <c r="D2327" s="61">
        <v>3333</v>
      </c>
      <c r="E2327" s="62">
        <v>41197</v>
      </c>
      <c r="F2327" s="288"/>
    </row>
    <row r="2328" spans="1:6" ht="14.25" thickTop="1" thickBot="1">
      <c r="A2328" s="268"/>
      <c r="B2328" s="89" t="s">
        <v>2061</v>
      </c>
      <c r="C2328" s="60" t="s">
        <v>3096</v>
      </c>
      <c r="D2328" s="61">
        <v>56661</v>
      </c>
      <c r="E2328" s="62"/>
      <c r="F2328" s="285"/>
    </row>
    <row r="2329" spans="1:6" ht="14.25" thickTop="1" thickBot="1">
      <c r="A2329" s="267" t="str">
        <f>C2331</f>
        <v>PETERSON ELIAS BARBOSA</v>
      </c>
      <c r="B2329" s="89" t="s">
        <v>2413</v>
      </c>
      <c r="C2329" s="66" t="s">
        <v>1443</v>
      </c>
      <c r="D2329" s="67"/>
      <c r="E2329" s="70">
        <v>43440</v>
      </c>
      <c r="F2329" s="284"/>
    </row>
    <row r="2330" spans="1:6" ht="14.25" thickTop="1" thickBot="1">
      <c r="A2330" s="267" t="str">
        <f>C2332</f>
        <v>PETERSON LARA RIBEIRO DA SILVA</v>
      </c>
      <c r="B2330" s="68" t="s">
        <v>62</v>
      </c>
      <c r="C2330" s="66" t="s">
        <v>3275</v>
      </c>
      <c r="D2330" s="61">
        <v>3333</v>
      </c>
      <c r="E2330" s="62">
        <v>40415</v>
      </c>
      <c r="F2330" s="285"/>
    </row>
    <row r="2331" spans="1:6" ht="14.25" thickTop="1" thickBot="1">
      <c r="A2331" s="267" t="str">
        <f>C2333</f>
        <v>PETERSON PERINOTTI DE RAMOS</v>
      </c>
      <c r="B2331" s="68" t="s">
        <v>1912</v>
      </c>
      <c r="C2331" s="192" t="s">
        <v>1596</v>
      </c>
      <c r="D2331" s="61">
        <v>101175</v>
      </c>
      <c r="E2331" s="70">
        <v>43355</v>
      </c>
      <c r="F2331" s="284"/>
    </row>
    <row r="2332" spans="1:6" ht="14.25" thickTop="1" thickBot="1">
      <c r="A2332" s="269" t="s">
        <v>2427</v>
      </c>
      <c r="B2332" s="68" t="s">
        <v>62</v>
      </c>
      <c r="C2332" s="66" t="s">
        <v>1439</v>
      </c>
      <c r="D2332" s="67"/>
      <c r="E2332" s="62">
        <v>40725</v>
      </c>
      <c r="F2332" s="285"/>
    </row>
    <row r="2333" spans="1:6" ht="14.25" thickTop="1" thickBot="1">
      <c r="A2333" s="267" t="str">
        <f>C2335</f>
        <v>PETERSON RODRIGO WEIBER</v>
      </c>
      <c r="B2333" s="68" t="s">
        <v>62</v>
      </c>
      <c r="C2333" s="77" t="s">
        <v>525</v>
      </c>
      <c r="D2333" s="61">
        <v>63070</v>
      </c>
      <c r="E2333" s="70">
        <v>43551</v>
      </c>
      <c r="F2333" s="287"/>
    </row>
    <row r="2334" spans="1:6" ht="14.25" thickTop="1" thickBot="1">
      <c r="A2334" s="267" t="str">
        <f>C2336</f>
        <v>PETERSON STELMACHTCHUCK</v>
      </c>
      <c r="B2334" s="68" t="s">
        <v>62</v>
      </c>
      <c r="C2334" s="66" t="s">
        <v>525</v>
      </c>
      <c r="D2334" s="67"/>
      <c r="E2334" s="62">
        <v>39548</v>
      </c>
      <c r="F2334" s="285"/>
    </row>
    <row r="2335" spans="1:6" ht="14.25" thickTop="1" thickBot="1">
      <c r="A2335" s="267"/>
      <c r="B2335" s="68" t="s">
        <v>62</v>
      </c>
      <c r="C2335" s="192" t="s">
        <v>2427</v>
      </c>
      <c r="D2335" s="61">
        <v>133417</v>
      </c>
      <c r="E2335" s="62">
        <v>41983</v>
      </c>
      <c r="F2335" s="285"/>
    </row>
    <row r="2336" spans="1:6" ht="14.25" thickTop="1" thickBot="1">
      <c r="A2336" s="274"/>
      <c r="B2336" s="68" t="s">
        <v>351</v>
      </c>
      <c r="C2336" s="66" t="s">
        <v>1205</v>
      </c>
      <c r="D2336" s="67"/>
      <c r="E2336" s="62">
        <v>43613</v>
      </c>
      <c r="F2336" s="287"/>
    </row>
    <row r="2337" spans="1:6" ht="14.25" thickTop="1" thickBot="1">
      <c r="A2337" s="268"/>
      <c r="B2337" s="68" t="s">
        <v>546</v>
      </c>
      <c r="C2337" s="66" t="s">
        <v>83</v>
      </c>
      <c r="D2337" s="61">
        <v>27123</v>
      </c>
      <c r="E2337" s="62">
        <v>40032</v>
      </c>
      <c r="F2337" s="285"/>
    </row>
    <row r="2338" spans="1:6" ht="14.25" thickTop="1" thickBot="1">
      <c r="A2338" s="267" t="str">
        <f>C2340</f>
        <v>RAFAEL ALVES (Seco)</v>
      </c>
      <c r="B2338" s="89"/>
      <c r="C2338" s="60" t="s">
        <v>3097</v>
      </c>
      <c r="D2338" s="61">
        <v>147428</v>
      </c>
      <c r="E2338" s="70"/>
      <c r="F2338" s="284"/>
    </row>
    <row r="2339" spans="1:6" ht="14.25" thickTop="1" thickBot="1">
      <c r="A2339" s="267" t="str">
        <f>C2341</f>
        <v>RAFAEL ANTONIO FERREIRA     (Neguinho/Neguchino)</v>
      </c>
      <c r="B2339" s="68" t="s">
        <v>1306</v>
      </c>
      <c r="C2339" s="66" t="s">
        <v>775</v>
      </c>
      <c r="D2339" s="61">
        <v>102412</v>
      </c>
      <c r="E2339" s="70">
        <v>42328</v>
      </c>
      <c r="F2339" s="284"/>
    </row>
    <row r="2340" spans="1:6" ht="14.25" thickTop="1" thickBot="1">
      <c r="A2340" s="268"/>
      <c r="B2340" s="68" t="s">
        <v>2347</v>
      </c>
      <c r="C2340" s="77" t="s">
        <v>2696</v>
      </c>
      <c r="D2340" s="61">
        <v>112499</v>
      </c>
      <c r="E2340" s="62">
        <v>43346</v>
      </c>
      <c r="F2340" s="285"/>
    </row>
    <row r="2341" spans="1:6" ht="14.25" thickTop="1" thickBot="1">
      <c r="A2341" s="267" t="str">
        <f>C2343</f>
        <v>RAFAEL APARECIDO SILVA</v>
      </c>
      <c r="B2341" s="68" t="s">
        <v>2507</v>
      </c>
      <c r="C2341" s="66" t="s">
        <v>3098</v>
      </c>
      <c r="D2341" s="69">
        <v>27148</v>
      </c>
      <c r="E2341" s="62">
        <v>43487</v>
      </c>
      <c r="F2341" s="285"/>
    </row>
    <row r="2342" spans="1:6" ht="14.25" thickTop="1" thickBot="1">
      <c r="A2342" s="267"/>
      <c r="B2342" s="68" t="s">
        <v>2413</v>
      </c>
      <c r="C2342" s="77" t="s">
        <v>2131</v>
      </c>
      <c r="D2342" s="61">
        <v>122966</v>
      </c>
      <c r="E2342" s="62">
        <v>44062</v>
      </c>
      <c r="F2342" s="285"/>
    </row>
    <row r="2343" spans="1:6" ht="14.25" thickTop="1" thickBot="1">
      <c r="A2343" s="267" t="str">
        <f>C2345</f>
        <v>RAFAEL BARBOZA PORTO</v>
      </c>
      <c r="B2343" s="67" t="s">
        <v>1522</v>
      </c>
      <c r="C2343" s="66" t="s">
        <v>2246</v>
      </c>
      <c r="D2343" s="61">
        <v>148300</v>
      </c>
      <c r="E2343" s="62">
        <v>42116</v>
      </c>
      <c r="F2343" s="285"/>
    </row>
    <row r="2344" spans="1:6" ht="14.25" thickTop="1" thickBot="1">
      <c r="A2344" s="267" t="str">
        <f>C2346</f>
        <v>RAFAEL BRUNO RODRIGUES    (Rubro Negro)</v>
      </c>
      <c r="B2344" s="68" t="s">
        <v>126</v>
      </c>
      <c r="C2344" s="66" t="s">
        <v>2874</v>
      </c>
      <c r="D2344" s="67"/>
      <c r="E2344" s="70">
        <v>43283</v>
      </c>
      <c r="F2344" s="287"/>
    </row>
    <row r="2345" spans="1:6" ht="14.25" thickTop="1" thickBot="1">
      <c r="A2345" s="267" t="s">
        <v>2355</v>
      </c>
      <c r="B2345" s="68" t="s">
        <v>2146</v>
      </c>
      <c r="C2345" s="66" t="s">
        <v>1273</v>
      </c>
      <c r="D2345" s="65">
        <v>27213</v>
      </c>
      <c r="E2345" s="62">
        <v>43418</v>
      </c>
      <c r="F2345" s="285"/>
    </row>
    <row r="2346" spans="1:6" ht="14.25" thickTop="1" thickBot="1">
      <c r="A2346" s="267" t="str">
        <f>C2348</f>
        <v>RAFAEL CARLOS DE MOURA</v>
      </c>
      <c r="B2346" s="68" t="s">
        <v>126</v>
      </c>
      <c r="C2346" s="66" t="s">
        <v>2881</v>
      </c>
      <c r="D2346" s="61">
        <v>78611</v>
      </c>
      <c r="E2346" s="70">
        <v>43392</v>
      </c>
      <c r="F2346" s="287"/>
    </row>
    <row r="2347" spans="1:6" ht="14.25" thickTop="1" thickBot="1">
      <c r="A2347" s="267" t="str">
        <f>C2349</f>
        <v>RAFAEL COELHO</v>
      </c>
      <c r="B2347" s="68" t="s">
        <v>62</v>
      </c>
      <c r="C2347" s="66" t="s">
        <v>2882</v>
      </c>
      <c r="D2347" s="61">
        <v>78611</v>
      </c>
      <c r="E2347" s="62">
        <v>40238</v>
      </c>
      <c r="F2347" s="285"/>
    </row>
    <row r="2348" spans="1:6" ht="14.25" thickTop="1" thickBot="1">
      <c r="A2348" s="267" t="str">
        <f>C2350</f>
        <v>RAFAEL DOS SANTOS</v>
      </c>
      <c r="B2348" s="68" t="s">
        <v>1865</v>
      </c>
      <c r="C2348" s="60" t="s">
        <v>2355</v>
      </c>
      <c r="D2348" s="61">
        <v>58828</v>
      </c>
      <c r="E2348" s="62">
        <v>43138</v>
      </c>
      <c r="F2348" s="290"/>
    </row>
    <row r="2349" spans="1:6" ht="14.25" thickTop="1" thickBot="1">
      <c r="A2349" s="267" t="str">
        <f>C2351</f>
        <v>RAFAEL DOS SANTOS                                             (lado D)</v>
      </c>
      <c r="B2349" s="68" t="s">
        <v>2347</v>
      </c>
      <c r="C2349" s="66" t="s">
        <v>560</v>
      </c>
      <c r="D2349" s="65">
        <v>105403</v>
      </c>
      <c r="E2349" s="62">
        <v>43346</v>
      </c>
      <c r="F2349" s="285"/>
    </row>
    <row r="2350" spans="1:6" ht="14.25" thickTop="1" thickBot="1">
      <c r="A2350" s="267" t="str">
        <f>C2352</f>
        <v>RAFAEL DOS SANTOS FERREIRA</v>
      </c>
      <c r="B2350" s="68" t="s">
        <v>1598</v>
      </c>
      <c r="C2350" s="66" t="s">
        <v>2209</v>
      </c>
      <c r="D2350" s="61">
        <v>27314</v>
      </c>
      <c r="E2350" s="62">
        <v>42703</v>
      </c>
      <c r="F2350" s="285"/>
    </row>
    <row r="2351" spans="1:6" ht="14.25" thickTop="1" thickBot="1">
      <c r="A2351" s="267" t="str">
        <f>C2351</f>
        <v>RAFAEL DOS SANTOS                                             (lado D)</v>
      </c>
      <c r="B2351" s="68" t="s">
        <v>1812</v>
      </c>
      <c r="C2351" s="64" t="s">
        <v>3659</v>
      </c>
      <c r="D2351" s="61">
        <v>117998</v>
      </c>
      <c r="E2351" s="62">
        <v>40494</v>
      </c>
      <c r="F2351" s="285"/>
    </row>
    <row r="2352" spans="1:6" ht="14.25" thickTop="1" thickBot="1">
      <c r="A2352" s="267"/>
      <c r="B2352" s="68" t="s">
        <v>62</v>
      </c>
      <c r="C2352" s="77" t="s">
        <v>2341</v>
      </c>
      <c r="D2352" s="61"/>
      <c r="E2352" s="62">
        <v>39874</v>
      </c>
      <c r="F2352" s="285"/>
    </row>
    <row r="2353" spans="1:6" ht="14.25" thickTop="1" thickBot="1">
      <c r="A2353" s="267" t="str">
        <f>C2357</f>
        <v>RAFAEL FRANCISCO FERREIRA</v>
      </c>
      <c r="B2353" s="68" t="s">
        <v>62</v>
      </c>
      <c r="C2353" s="64" t="s">
        <v>1729</v>
      </c>
      <c r="D2353" s="65">
        <v>63821</v>
      </c>
      <c r="E2353" s="62">
        <v>41983</v>
      </c>
      <c r="F2353" s="285"/>
    </row>
    <row r="2354" spans="1:6" ht="14.25" thickTop="1" thickBot="1">
      <c r="A2354" s="267" t="str">
        <f>C2358</f>
        <v>RAFAEL GOMES</v>
      </c>
      <c r="B2354" s="68" t="s">
        <v>1812</v>
      </c>
      <c r="C2354" s="64" t="s">
        <v>1440</v>
      </c>
      <c r="D2354" s="61">
        <v>117745</v>
      </c>
      <c r="E2354" s="62">
        <v>40506</v>
      </c>
      <c r="F2354" s="285"/>
    </row>
    <row r="2355" spans="1:6" ht="14.25" thickTop="1" thickBot="1">
      <c r="A2355" s="267" t="s">
        <v>2627</v>
      </c>
      <c r="B2355" s="67" t="s">
        <v>1522</v>
      </c>
      <c r="C2355" s="66" t="s">
        <v>1736</v>
      </c>
      <c r="D2355" s="65"/>
      <c r="E2355" s="62">
        <v>40032</v>
      </c>
      <c r="F2355" s="285"/>
    </row>
    <row r="2356" spans="1:6" ht="14.25" thickTop="1" thickBot="1">
      <c r="A2356" s="267"/>
      <c r="B2356" s="67" t="s">
        <v>2413</v>
      </c>
      <c r="C2356" s="194" t="s">
        <v>2627</v>
      </c>
      <c r="D2356" s="61">
        <v>164562</v>
      </c>
      <c r="E2356" s="62">
        <v>43767</v>
      </c>
      <c r="F2356" s="285"/>
    </row>
    <row r="2357" spans="1:6" ht="14.25" thickTop="1" thickBot="1">
      <c r="A2357" s="267" t="str">
        <f>C2360</f>
        <v>RAFAEL LUCAS PREMEBIDA</v>
      </c>
      <c r="B2357" s="68" t="s">
        <v>1812</v>
      </c>
      <c r="C2357" s="60" t="s">
        <v>2336</v>
      </c>
      <c r="D2357" s="61">
        <v>156137</v>
      </c>
      <c r="E2357" s="62">
        <v>44025</v>
      </c>
      <c r="F2357" s="285"/>
    </row>
    <row r="2358" spans="1:6" ht="14.25" thickTop="1" thickBot="1">
      <c r="A2358" s="267" t="str">
        <f>C2360</f>
        <v>RAFAEL LUCAS PREMEBIDA</v>
      </c>
      <c r="B2358" s="68" t="s">
        <v>1812</v>
      </c>
      <c r="C2358" s="64" t="s">
        <v>1868</v>
      </c>
      <c r="D2358" s="65"/>
      <c r="E2358" s="81">
        <v>43550</v>
      </c>
      <c r="F2358" s="285"/>
    </row>
    <row r="2359" spans="1:6" ht="14.25" thickTop="1" thickBot="1">
      <c r="A2359" s="267" t="str">
        <f>C2361</f>
        <v>RAFAEL LUCIANO DOS SANTOS</v>
      </c>
      <c r="B2359" s="68" t="s">
        <v>1298</v>
      </c>
      <c r="C2359" s="64" t="s">
        <v>240</v>
      </c>
      <c r="D2359" s="65">
        <v>27310</v>
      </c>
      <c r="E2359" s="62">
        <v>43390</v>
      </c>
      <c r="F2359" s="285"/>
    </row>
    <row r="2360" spans="1:6" ht="14.25" thickTop="1" thickBot="1">
      <c r="A2360" s="267" t="str">
        <f>C2362</f>
        <v>RAFAEL LUIS FEREIRA                            (Binho)</v>
      </c>
      <c r="B2360" s="68" t="s">
        <v>62</v>
      </c>
      <c r="C2360" s="192" t="s">
        <v>1965</v>
      </c>
      <c r="D2360" s="61">
        <v>97782</v>
      </c>
      <c r="E2360" s="62">
        <v>41347</v>
      </c>
      <c r="F2360" s="285"/>
    </row>
    <row r="2361" spans="1:6" ht="14.25" thickTop="1" thickBot="1">
      <c r="A2361" s="270" t="s">
        <v>1839</v>
      </c>
      <c r="B2361" s="61" t="s">
        <v>351</v>
      </c>
      <c r="C2361" s="66" t="s">
        <v>2352</v>
      </c>
      <c r="D2361" s="65">
        <v>28271</v>
      </c>
      <c r="E2361" s="62">
        <v>43383</v>
      </c>
      <c r="F2361" s="284"/>
    </row>
    <row r="2362" spans="1:6" ht="14.25" thickTop="1" thickBot="1">
      <c r="A2362" s="267" t="str">
        <f t="shared" ref="A2362:A2378" si="101">C2364</f>
        <v>RAFAEL RIO BRANCO CHEM</v>
      </c>
      <c r="B2362" s="68" t="s">
        <v>2593</v>
      </c>
      <c r="C2362" s="66" t="s">
        <v>3274</v>
      </c>
      <c r="D2362" s="65">
        <v>7006</v>
      </c>
      <c r="E2362" s="62">
        <v>43524</v>
      </c>
      <c r="F2362" s="285"/>
    </row>
    <row r="2363" spans="1:6" ht="14.25" thickTop="1" thickBot="1">
      <c r="A2363" s="267" t="str">
        <f t="shared" si="101"/>
        <v>RAFAEL ROBSON BENETT</v>
      </c>
      <c r="B2363" s="68" t="s">
        <v>62</v>
      </c>
      <c r="C2363" s="60" t="s">
        <v>2303</v>
      </c>
      <c r="D2363" s="61">
        <v>27310</v>
      </c>
      <c r="E2363" s="62">
        <v>42704</v>
      </c>
      <c r="F2363" s="285"/>
    </row>
    <row r="2364" spans="1:6" ht="14.25" thickTop="1" thickBot="1">
      <c r="A2364" s="267" t="str">
        <f t="shared" si="101"/>
        <v>RAFAEL ROBSON BENETT</v>
      </c>
      <c r="B2364" s="68" t="s">
        <v>62</v>
      </c>
      <c r="C2364" s="77" t="s">
        <v>1839</v>
      </c>
      <c r="D2364" s="61">
        <v>115915</v>
      </c>
      <c r="E2364" s="62"/>
      <c r="F2364" s="284"/>
    </row>
    <row r="2365" spans="1:6" ht="14.25" thickTop="1" thickBot="1">
      <c r="A2365" s="267" t="str">
        <f t="shared" si="101"/>
        <v>RAFAEL WAGNER DOS SANTOS</v>
      </c>
      <c r="B2365" s="68" t="s">
        <v>62</v>
      </c>
      <c r="C2365" s="66" t="s">
        <v>883</v>
      </c>
      <c r="D2365" s="61">
        <v>63980</v>
      </c>
      <c r="E2365" s="115">
        <v>40518</v>
      </c>
      <c r="F2365" s="288" t="s">
        <v>757</v>
      </c>
    </row>
    <row r="2366" spans="1:6" ht="14.25" thickTop="1" thickBot="1">
      <c r="A2366" s="267" t="str">
        <f t="shared" si="101"/>
        <v>RAFAEL WILLIAN DE VARGAS</v>
      </c>
      <c r="B2366" s="67" t="s">
        <v>1522</v>
      </c>
      <c r="C2366" s="66" t="s">
        <v>883</v>
      </c>
      <c r="D2366" s="61">
        <v>63980</v>
      </c>
      <c r="E2366" s="62">
        <v>41577</v>
      </c>
      <c r="F2366" s="285"/>
    </row>
    <row r="2367" spans="1:6" ht="14.25" thickTop="1" thickBot="1">
      <c r="A2367" s="267" t="str">
        <f t="shared" si="101"/>
        <v>RAILSON RIBEIRO</v>
      </c>
      <c r="B2367" s="68" t="s">
        <v>62</v>
      </c>
      <c r="C2367" s="66" t="s">
        <v>417</v>
      </c>
      <c r="D2367" s="65">
        <v>63664</v>
      </c>
      <c r="E2367" s="62">
        <v>41934</v>
      </c>
      <c r="F2367" s="285"/>
    </row>
    <row r="2368" spans="1:6" ht="14.25" thickTop="1" thickBot="1">
      <c r="A2368" s="267" t="str">
        <f t="shared" si="101"/>
        <v>RALPH VIEIRA CARNEIRO</v>
      </c>
      <c r="B2368" s="68" t="s">
        <v>62</v>
      </c>
      <c r="C2368" s="66" t="s">
        <v>1206</v>
      </c>
      <c r="D2368" s="65">
        <v>63701</v>
      </c>
      <c r="E2368" s="62">
        <v>40112</v>
      </c>
      <c r="F2368" s="285"/>
    </row>
    <row r="2369" spans="1:20" ht="14.25" thickTop="1" thickBot="1">
      <c r="A2369" s="267" t="str">
        <f t="shared" si="101"/>
        <v>RAMIRO PEREIRA SILVA</v>
      </c>
      <c r="B2369" s="68" t="s">
        <v>62</v>
      </c>
      <c r="C2369" s="66" t="s">
        <v>542</v>
      </c>
      <c r="D2369" s="61">
        <v>27149</v>
      </c>
      <c r="E2369" s="62">
        <v>42914</v>
      </c>
      <c r="F2369" s="285"/>
    </row>
    <row r="2370" spans="1:20" ht="14.25" thickTop="1" thickBot="1">
      <c r="A2370" s="267" t="str">
        <f t="shared" si="101"/>
        <v>RAMON DOS SANTOS</v>
      </c>
      <c r="B2370" s="68" t="s">
        <v>62</v>
      </c>
      <c r="C2370" s="66" t="s">
        <v>1274</v>
      </c>
      <c r="D2370" s="67"/>
      <c r="E2370" s="62">
        <v>42705</v>
      </c>
      <c r="F2370" s="285"/>
    </row>
    <row r="2371" spans="1:20" ht="14.25" thickTop="1" thickBot="1">
      <c r="A2371" s="267" t="str">
        <f t="shared" si="101"/>
        <v>RAMON GUILHERME DA SILVA</v>
      </c>
      <c r="B2371" s="68" t="s">
        <v>1306</v>
      </c>
      <c r="C2371" s="66" t="s">
        <v>1550</v>
      </c>
      <c r="D2371" s="61">
        <v>134274</v>
      </c>
      <c r="E2371" s="115">
        <v>39266</v>
      </c>
      <c r="F2371" s="288" t="s">
        <v>121</v>
      </c>
    </row>
    <row r="2372" spans="1:20" ht="14.25" thickTop="1" thickBot="1">
      <c r="A2372" s="267" t="str">
        <f t="shared" si="101"/>
        <v>RAPHAEL DOS ANJOS</v>
      </c>
      <c r="B2372" s="68" t="s">
        <v>62</v>
      </c>
      <c r="C2372" s="66" t="s">
        <v>1970</v>
      </c>
      <c r="D2372" s="67"/>
      <c r="E2372" s="115">
        <v>40742</v>
      </c>
      <c r="F2372" s="288" t="s">
        <v>757</v>
      </c>
    </row>
    <row r="2373" spans="1:20" ht="14.25" thickTop="1" thickBot="1">
      <c r="A2373" s="267" t="str">
        <f t="shared" si="101"/>
        <v>RAPHAEL THEODORO LEMES</v>
      </c>
      <c r="B2373" s="177"/>
      <c r="C2373" s="64" t="s">
        <v>465</v>
      </c>
      <c r="D2373" s="61">
        <v>85745</v>
      </c>
      <c r="E2373" s="62">
        <v>40196</v>
      </c>
      <c r="F2373" s="285"/>
    </row>
    <row r="2374" spans="1:20" ht="14.25" thickTop="1" thickBot="1">
      <c r="A2374" s="267" t="str">
        <f t="shared" si="101"/>
        <v>RAVYNES ESTIIMER                         (Lelo)</v>
      </c>
      <c r="B2374" s="68" t="s">
        <v>62</v>
      </c>
      <c r="C2374" s="66" t="s">
        <v>1587</v>
      </c>
      <c r="D2374" s="178">
        <v>27037</v>
      </c>
      <c r="E2374" s="62">
        <v>40956</v>
      </c>
      <c r="F2374" s="285"/>
    </row>
    <row r="2375" spans="1:20" ht="14.25" thickTop="1" thickBot="1">
      <c r="A2375" s="267" t="str">
        <f t="shared" si="101"/>
        <v>RAYLAN WILLIAN CRUZINIANI FERREIRA NETO</v>
      </c>
      <c r="B2375" s="68" t="s">
        <v>62</v>
      </c>
      <c r="C2375" s="66" t="s">
        <v>259</v>
      </c>
      <c r="D2375" s="65">
        <v>90726</v>
      </c>
      <c r="E2375" s="62">
        <v>42433</v>
      </c>
      <c r="F2375" s="285"/>
    </row>
    <row r="2376" spans="1:20" ht="14.25" thickTop="1" thickBot="1">
      <c r="A2376" s="267" t="str">
        <f t="shared" si="101"/>
        <v>REGINALDO ALEX BUENO</v>
      </c>
      <c r="B2376" s="68" t="s">
        <v>62</v>
      </c>
      <c r="C2376" s="66" t="s">
        <v>3273</v>
      </c>
      <c r="D2376" s="61">
        <v>102476</v>
      </c>
      <c r="E2376" s="62">
        <v>40499</v>
      </c>
      <c r="F2376" s="285"/>
    </row>
    <row r="2377" spans="1:20" ht="14.25" thickTop="1" thickBot="1">
      <c r="A2377" s="267" t="str">
        <f t="shared" si="101"/>
        <v>REGINALDO APARECIDO CAMARGO</v>
      </c>
      <c r="B2377" s="68" t="s">
        <v>62</v>
      </c>
      <c r="C2377" s="66" t="s">
        <v>1574</v>
      </c>
      <c r="D2377" s="65">
        <v>63687</v>
      </c>
      <c r="E2377" s="62">
        <v>40324</v>
      </c>
      <c r="F2377" s="285"/>
    </row>
    <row r="2378" spans="1:20" ht="14.25" thickTop="1" thickBot="1">
      <c r="A2378" s="267" t="str">
        <f t="shared" si="101"/>
        <v>REGINALDO APARECIDO CRUZ NASCIMENTO</v>
      </c>
      <c r="B2378" s="68" t="s">
        <v>1306</v>
      </c>
      <c r="C2378" s="66" t="s">
        <v>1551</v>
      </c>
      <c r="D2378" s="65">
        <v>63944</v>
      </c>
      <c r="E2378" s="62">
        <v>41565</v>
      </c>
      <c r="F2378" s="285"/>
    </row>
    <row r="2379" spans="1:20" ht="14.25" thickTop="1" thickBot="1">
      <c r="A2379" s="267" t="str">
        <f>C2382</f>
        <v>REGINALDO DIAS MACHADO</v>
      </c>
      <c r="B2379" s="68" t="s">
        <v>62</v>
      </c>
      <c r="C2379" s="66" t="s">
        <v>623</v>
      </c>
      <c r="D2379" s="67"/>
      <c r="E2379" s="62">
        <v>41586</v>
      </c>
      <c r="F2379" s="285"/>
    </row>
    <row r="2380" spans="1:20" ht="14.25" thickTop="1" thickBot="1">
      <c r="A2380" s="392"/>
      <c r="B2380" s="68" t="s">
        <v>1264</v>
      </c>
      <c r="C2380" s="192" t="s">
        <v>3421</v>
      </c>
      <c r="D2380" s="67"/>
      <c r="E2380" s="62">
        <v>43928</v>
      </c>
      <c r="F2380" s="285"/>
      <c r="G2380" s="407"/>
      <c r="H2380" s="408"/>
      <c r="I2380" s="407"/>
      <c r="J2380" s="408"/>
      <c r="K2380" s="199" t="str">
        <f>HYPERLINK(CONCATENATE("http://www.spr.depen.pr.gov.br/centralvagas/exibirFoto.jpg?numProntuario=",$D2380,"&amp;idImagem=1"),"FOTO 1")</f>
        <v>FOTO 1</v>
      </c>
      <c r="L2380" s="199" t="str">
        <f>HYPERLINK(CONCATENATE("http://www.spr.depen.pr.gov.br/centralvagas/exibirFoto.jpg?numProntuario=",$D2380,"&amp;idImagem=2"),"FOTO 2")</f>
        <v>FOTO 2</v>
      </c>
      <c r="M2380" s="199" t="str">
        <f>HYPERLINK(CONCATENATE("http://www.spr.depen.pr.gov.br/centralvagas/exibirFoto.jpg?numProntuario=",$D2380,"&amp;idImagem=3"),"FOTO 3")</f>
        <v>FOTO 3</v>
      </c>
      <c r="N2380" s="199" t="str">
        <f>HYPERLINK(CONCATENATE("http://www.spr.depen.pr.gov.br/centralvagas/exibirFoto.jpg?numProntuario=",$D2380,"&amp;idImagem=4"),"FOTO 4")</f>
        <v>FOTO 4</v>
      </c>
      <c r="O2380" s="199" t="str">
        <f>HYPERLINK(CONCATENATE("http://www.spr.depen.pr.gov.br/centralvagas/exibirFoto.jpg?numProntuario=",$D2380,"&amp;idImagem=5"),"FOTO 5")</f>
        <v>FOTO 5</v>
      </c>
      <c r="P2380" s="199" t="str">
        <f>HYPERLINK(CONCATENATE("http://www.spr.depen.pr.gov.br/centralvagas/exibirFoto.jpg?numProntuario=",$D2380,"&amp;idImagem=6"),"FOTO 6")</f>
        <v>FOTO 6</v>
      </c>
      <c r="Q2380" s="199"/>
      <c r="R2380" s="199"/>
      <c r="S2380" s="199"/>
      <c r="T2380" s="199"/>
    </row>
    <row r="2381" spans="1:20" ht="14.25" thickTop="1" thickBot="1">
      <c r="A2381" s="267" t="str">
        <f>C2384</f>
        <v>REGINALDO FERNANDES DE OLIVEIRA</v>
      </c>
      <c r="B2381" s="68" t="s">
        <v>1306</v>
      </c>
      <c r="C2381" s="66" t="s">
        <v>1552</v>
      </c>
      <c r="D2381" s="65">
        <v>27326</v>
      </c>
      <c r="E2381" s="62">
        <v>39538</v>
      </c>
      <c r="F2381" s="285"/>
    </row>
    <row r="2382" spans="1:20" ht="14.25" thickTop="1" thickBot="1">
      <c r="A2382" s="274" t="s">
        <v>904</v>
      </c>
      <c r="B2382" s="68" t="s">
        <v>62</v>
      </c>
      <c r="C2382" s="66" t="s">
        <v>914</v>
      </c>
      <c r="D2382" s="67"/>
      <c r="E2382" s="62">
        <v>42837</v>
      </c>
      <c r="F2382" s="285"/>
    </row>
    <row r="2383" spans="1:20" ht="14.25" thickTop="1" thickBot="1">
      <c r="A2383" s="267"/>
      <c r="B2383" s="68" t="s">
        <v>2413</v>
      </c>
      <c r="C2383" s="66" t="s">
        <v>479</v>
      </c>
      <c r="D2383" s="65">
        <v>27125</v>
      </c>
      <c r="E2383" s="62">
        <v>43647</v>
      </c>
      <c r="F2383" s="285"/>
    </row>
    <row r="2384" spans="1:20" ht="14.25" thickTop="1" thickBot="1">
      <c r="A2384" s="267" t="str">
        <f t="shared" ref="A2384:A2390" si="102">C2386</f>
        <v>REGINALDO LUIZ DE ALMEIDA</v>
      </c>
      <c r="B2384" s="68" t="s">
        <v>62</v>
      </c>
      <c r="C2384" s="66" t="s">
        <v>904</v>
      </c>
      <c r="D2384" s="69">
        <v>27125</v>
      </c>
      <c r="E2384" s="62">
        <v>41729</v>
      </c>
      <c r="F2384" s="285"/>
    </row>
    <row r="2385" spans="1:20" ht="14.25" thickTop="1" thickBot="1">
      <c r="A2385" s="267" t="str">
        <f t="shared" si="102"/>
        <v>REGINALDO RESENDE</v>
      </c>
      <c r="B2385" s="68" t="s">
        <v>62</v>
      </c>
      <c r="C2385" s="66" t="s">
        <v>1553</v>
      </c>
      <c r="D2385" s="61">
        <v>63123</v>
      </c>
      <c r="E2385" s="62">
        <v>41239</v>
      </c>
      <c r="F2385" s="285"/>
    </row>
    <row r="2386" spans="1:20" ht="14.25" thickTop="1" thickBot="1">
      <c r="A2386" s="267" t="str">
        <f t="shared" si="102"/>
        <v>REGIS ALISSON PETROSKI</v>
      </c>
      <c r="B2386" s="68" t="s">
        <v>62</v>
      </c>
      <c r="C2386" s="64" t="s">
        <v>1093</v>
      </c>
      <c r="D2386" s="67"/>
      <c r="E2386" s="62">
        <v>41717</v>
      </c>
      <c r="F2386" s="285"/>
    </row>
    <row r="2387" spans="1:20" ht="14.25" thickTop="1" thickBot="1">
      <c r="A2387" s="267" t="str">
        <f t="shared" si="102"/>
        <v>REINALDO  DE OLIVEIRA</v>
      </c>
      <c r="B2387" s="68" t="s">
        <v>62</v>
      </c>
      <c r="C2387" s="66" t="s">
        <v>1554</v>
      </c>
      <c r="D2387" s="61">
        <v>55925</v>
      </c>
      <c r="E2387" s="62">
        <v>42587</v>
      </c>
      <c r="F2387" s="285"/>
    </row>
    <row r="2388" spans="1:20" ht="14.25" thickTop="1" thickBot="1">
      <c r="A2388" s="267" t="str">
        <f t="shared" si="102"/>
        <v>REINALDO CARMO MARCONDES ROLIM</v>
      </c>
      <c r="B2388" s="68" t="s">
        <v>2406</v>
      </c>
      <c r="C2388" s="66" t="s">
        <v>1244</v>
      </c>
      <c r="D2388" s="65">
        <v>63093</v>
      </c>
      <c r="E2388" s="115">
        <v>25</v>
      </c>
      <c r="F2388" s="288">
        <v>25</v>
      </c>
    </row>
    <row r="2389" spans="1:20" ht="14.25" thickTop="1" thickBot="1">
      <c r="A2389" s="267" t="str">
        <f t="shared" si="102"/>
        <v>REINALDO DOS SANTOS MAIA</v>
      </c>
      <c r="B2389" s="68" t="s">
        <v>62</v>
      </c>
      <c r="C2389" s="66" t="s">
        <v>1741</v>
      </c>
      <c r="D2389" s="61">
        <v>101314</v>
      </c>
      <c r="E2389" s="62"/>
      <c r="F2389" s="285"/>
    </row>
    <row r="2390" spans="1:20" ht="14.25" thickTop="1" thickBot="1">
      <c r="A2390" s="267" t="str">
        <f t="shared" si="102"/>
        <v>REINALDO DOS SANTOS MAIA</v>
      </c>
      <c r="B2390" s="140" t="s">
        <v>15</v>
      </c>
      <c r="C2390" s="131" t="s">
        <v>2704</v>
      </c>
      <c r="D2390" s="202">
        <v>117485</v>
      </c>
      <c r="E2390" s="62">
        <v>40303</v>
      </c>
      <c r="F2390" s="285"/>
    </row>
    <row r="2391" spans="1:20" ht="14.25" thickTop="1" thickBot="1">
      <c r="A2391" s="267" t="str">
        <f>C2395</f>
        <v>RENAM CUIMBRA DE LIMA</v>
      </c>
      <c r="B2391" s="67"/>
      <c r="C2391" s="66" t="s">
        <v>1242</v>
      </c>
      <c r="D2391" s="61">
        <v>101845</v>
      </c>
      <c r="E2391" s="62">
        <v>42558</v>
      </c>
      <c r="F2391" s="285"/>
    </row>
    <row r="2392" spans="1:20" ht="14.25" thickTop="1" thickBot="1">
      <c r="A2392" s="267"/>
      <c r="B2392" s="68" t="s">
        <v>1812</v>
      </c>
      <c r="C2392" s="66" t="s">
        <v>1242</v>
      </c>
      <c r="D2392" s="61">
        <v>101845</v>
      </c>
      <c r="E2392" s="62">
        <v>44062</v>
      </c>
      <c r="F2392" s="285"/>
    </row>
    <row r="2393" spans="1:20" ht="14.25" thickTop="1" thickBot="1">
      <c r="A2393" s="267" t="str">
        <f>C2396</f>
        <v>RENAN PINHEIRO NUNES</v>
      </c>
      <c r="B2393" s="68" t="s">
        <v>62</v>
      </c>
      <c r="C2393" s="66" t="s">
        <v>1746</v>
      </c>
      <c r="D2393" s="65">
        <v>63093</v>
      </c>
      <c r="E2393" s="70">
        <v>42328</v>
      </c>
      <c r="F2393" s="284"/>
    </row>
    <row r="2394" spans="1:20" ht="14.25" thickTop="1" thickBot="1">
      <c r="A2394" s="267" t="s">
        <v>2740</v>
      </c>
      <c r="B2394" s="68" t="s">
        <v>62</v>
      </c>
      <c r="C2394" s="66" t="s">
        <v>1555</v>
      </c>
      <c r="D2394" s="61">
        <v>27290</v>
      </c>
      <c r="E2394" s="62">
        <v>41172</v>
      </c>
      <c r="F2394" s="285"/>
    </row>
    <row r="2395" spans="1:20" ht="14.25" thickTop="1" thickBot="1">
      <c r="A2395" s="267" t="s">
        <v>3663</v>
      </c>
      <c r="B2395" s="68" t="s">
        <v>2406</v>
      </c>
      <c r="C2395" s="91" t="s">
        <v>3663</v>
      </c>
      <c r="D2395" s="61" t="s">
        <v>3711</v>
      </c>
      <c r="E2395" s="70">
        <v>44144</v>
      </c>
      <c r="F2395" s="287"/>
    </row>
    <row r="2396" spans="1:20" ht="14.25" thickTop="1" thickBot="1">
      <c r="A2396" s="267" t="str">
        <f>C2398</f>
        <v>RENAN WESLEY SANTOS</v>
      </c>
      <c r="B2396" s="68" t="s">
        <v>1812</v>
      </c>
      <c r="C2396" s="77" t="s">
        <v>2740</v>
      </c>
      <c r="D2396" s="61">
        <v>110296</v>
      </c>
      <c r="E2396" s="62">
        <v>43791</v>
      </c>
      <c r="F2396" s="285"/>
    </row>
    <row r="2397" spans="1:20" ht="14.25" thickTop="1" thickBot="1">
      <c r="A2397" s="267" t="str">
        <f>C2399</f>
        <v>RENAN WESLEY SANTOS</v>
      </c>
      <c r="B2397" s="68" t="s">
        <v>62</v>
      </c>
      <c r="C2397" s="66" t="s">
        <v>1579</v>
      </c>
      <c r="D2397" s="67"/>
      <c r="E2397" s="62">
        <v>41884</v>
      </c>
      <c r="F2397" s="285"/>
    </row>
    <row r="2398" spans="1:20" ht="14.25" thickTop="1" thickBot="1">
      <c r="A2398" s="267" t="str">
        <f>C2412</f>
        <v>RICARDO DA SILVEIRA</v>
      </c>
      <c r="B2398" s="61" t="s">
        <v>1812</v>
      </c>
      <c r="C2398" s="66" t="s">
        <v>3608</v>
      </c>
      <c r="D2398" s="61">
        <v>123560</v>
      </c>
      <c r="E2398" s="62">
        <v>44130</v>
      </c>
      <c r="F2398" s="284"/>
    </row>
    <row r="2399" spans="1:20" ht="14.25" thickTop="1" thickBot="1">
      <c r="A2399" s="274" t="s">
        <v>3426</v>
      </c>
      <c r="B2399" s="68" t="s">
        <v>1812</v>
      </c>
      <c r="C2399" s="483" t="s">
        <v>3608</v>
      </c>
      <c r="D2399" s="485">
        <v>123560</v>
      </c>
      <c r="E2399" s="62">
        <v>44130</v>
      </c>
      <c r="F2399" s="285"/>
      <c r="G2399" s="408" t="s">
        <v>2716</v>
      </c>
      <c r="H2399" s="410" t="s">
        <v>2425</v>
      </c>
      <c r="I2399" s="346">
        <v>106507</v>
      </c>
      <c r="J2399" s="408"/>
      <c r="K2399" s="407"/>
      <c r="L2399" s="408"/>
      <c r="M2399" s="407"/>
      <c r="N2399" s="408"/>
      <c r="O2399" s="199" t="str">
        <f>HYPERLINK(CONCATENATE("http://www.spr.depen.pr.gov.br/centralvagas/exibirFoto.jpg?numProntuario=",$I2399,"&amp;idImagem=1"),"FOTO 1")</f>
        <v>FOTO 1</v>
      </c>
      <c r="P2399" s="199" t="str">
        <f>HYPERLINK(CONCATENATE("http://www.spr.depen.pr.gov.br/centralvagas/exibirFoto.jpg?numProntuario=",$I2399,"&amp;idImagem=2"),"FOTO 2")</f>
        <v>FOTO 2</v>
      </c>
      <c r="Q2399" s="199" t="str">
        <f>HYPERLINK(CONCATENATE("http://www.spr.depen.pr.gov.br/centralvagas/exibirFoto.jpg?numProntuario=",$I2399,"&amp;idImagem=3"),"FOTO 3")</f>
        <v>FOTO 3</v>
      </c>
      <c r="R2399" s="199" t="str">
        <f>HYPERLINK(CONCATENATE("http://www.spr.depen.pr.gov.br/centralvagas/exibirFoto.jpg?numProntuario=",$I2399,"&amp;idImagem=4"),"FOTO 4")</f>
        <v>FOTO 4</v>
      </c>
      <c r="S2399" s="199" t="str">
        <f>HYPERLINK(CONCATENATE("http://www.spr.depen.pr.gov.br/centralvagas/exibirFoto.jpg?numProntuario=",$I2399,"&amp;idImagem=5"),"FOTO 5")</f>
        <v>FOTO 5</v>
      </c>
      <c r="T2399" s="199" t="str">
        <f>HYPERLINK(CONCATENATE("http://www.spr.depen.pr.gov.br/centralvagas/exibirFoto.jpg?numProntuario=",$I2399,"&amp;idImagem=6"),"FOTO 6")</f>
        <v>FOTO 6</v>
      </c>
    </row>
    <row r="2400" spans="1:20" ht="14.25" thickTop="1" thickBot="1">
      <c r="A2400" s="267" t="str">
        <f t="shared" ref="A2400:A2405" si="103">C2402</f>
        <v>RENATO GERMANO DOS SANTOS</v>
      </c>
      <c r="B2400" s="68" t="s">
        <v>62</v>
      </c>
      <c r="C2400" s="66" t="s">
        <v>1537</v>
      </c>
      <c r="D2400" s="68">
        <v>63817</v>
      </c>
      <c r="E2400" s="62">
        <v>40409</v>
      </c>
      <c r="F2400" s="285"/>
    </row>
    <row r="2401" spans="1:6" ht="14.25" thickTop="1" thickBot="1">
      <c r="A2401" s="267" t="str">
        <f t="shared" si="103"/>
        <v>RENATO MALETZ</v>
      </c>
      <c r="B2401" s="68" t="s">
        <v>62</v>
      </c>
      <c r="C2401" s="66" t="s">
        <v>3272</v>
      </c>
      <c r="D2401" s="65"/>
      <c r="E2401" s="70">
        <v>42271</v>
      </c>
      <c r="F2401" s="284"/>
    </row>
    <row r="2402" spans="1:6" ht="14.25" thickTop="1" thickBot="1">
      <c r="A2402" s="267" t="str">
        <f t="shared" si="103"/>
        <v>RENATO SIMEÃO RODRIGUES</v>
      </c>
      <c r="B2402" s="68" t="s">
        <v>62</v>
      </c>
      <c r="C2402" s="66" t="s">
        <v>613</v>
      </c>
      <c r="D2402" s="65">
        <v>63885</v>
      </c>
      <c r="E2402" s="62">
        <v>40409</v>
      </c>
      <c r="F2402" s="285"/>
    </row>
    <row r="2403" spans="1:6" ht="14.25" thickTop="1" thickBot="1">
      <c r="A2403" s="267" t="str">
        <f t="shared" si="103"/>
        <v>RICARDO ALEXANDRE DO CARMO</v>
      </c>
      <c r="B2403" s="68" t="s">
        <v>62</v>
      </c>
      <c r="C2403" s="66" t="s">
        <v>115</v>
      </c>
      <c r="D2403" s="65">
        <v>27335</v>
      </c>
      <c r="E2403" s="62">
        <v>42873</v>
      </c>
      <c r="F2403" s="285"/>
    </row>
    <row r="2404" spans="1:6" ht="14.25" thickTop="1" thickBot="1">
      <c r="A2404" s="267" t="str">
        <f t="shared" si="103"/>
        <v>RICARDO ALVES</v>
      </c>
      <c r="B2404" s="68" t="s">
        <v>62</v>
      </c>
      <c r="C2404" s="64" t="s">
        <v>833</v>
      </c>
      <c r="D2404" s="65">
        <v>63786</v>
      </c>
      <c r="E2404" s="62">
        <v>41733</v>
      </c>
      <c r="F2404" s="285"/>
    </row>
    <row r="2405" spans="1:6" ht="14.25" thickTop="1" thickBot="1">
      <c r="A2405" s="267" t="str">
        <f t="shared" si="103"/>
        <v>RICARDO ANTUNES DOS SANTOS</v>
      </c>
      <c r="B2405" s="68" t="s">
        <v>62</v>
      </c>
      <c r="C2405" s="64" t="s">
        <v>369</v>
      </c>
      <c r="D2405" s="65">
        <v>63815</v>
      </c>
      <c r="E2405" s="62">
        <v>41962</v>
      </c>
      <c r="F2405" s="285"/>
    </row>
    <row r="2406" spans="1:6" ht="14.25" thickTop="1" thickBot="1">
      <c r="A2406" s="267"/>
      <c r="B2406" s="68" t="s">
        <v>62</v>
      </c>
      <c r="C2406" s="64" t="s">
        <v>1207</v>
      </c>
      <c r="D2406" s="61">
        <v>27272</v>
      </c>
      <c r="E2406" s="62">
        <v>39392</v>
      </c>
      <c r="F2406" s="285"/>
    </row>
    <row r="2407" spans="1:6" ht="14.25" thickTop="1" thickBot="1">
      <c r="A2407" s="267" t="str">
        <f>C2409</f>
        <v>RICARDO APARECIDO BATISTA</v>
      </c>
      <c r="B2407" s="68" t="s">
        <v>2406</v>
      </c>
      <c r="C2407" s="192" t="s">
        <v>697</v>
      </c>
      <c r="D2407" s="61">
        <v>27272</v>
      </c>
      <c r="E2407" s="97">
        <v>43682</v>
      </c>
      <c r="F2407" s="287"/>
    </row>
    <row r="2408" spans="1:6" ht="14.25" thickTop="1" thickBot="1">
      <c r="A2408" s="267" t="str">
        <f>C2410</f>
        <v>RICARDO CESAR GOMES PADILHA</v>
      </c>
      <c r="B2408" s="68" t="s">
        <v>62</v>
      </c>
      <c r="C2408" s="66" t="s">
        <v>697</v>
      </c>
      <c r="D2408" s="65"/>
      <c r="E2408" s="62">
        <v>41240</v>
      </c>
      <c r="F2408" s="285"/>
    </row>
    <row r="2409" spans="1:6" ht="14.25" thickTop="1" thickBot="1">
      <c r="A2409" s="267" t="str">
        <f>C2411</f>
        <v>RICARDO COSME DE SOUZA                    (Pit Bull)</v>
      </c>
      <c r="B2409" s="68" t="s">
        <v>62</v>
      </c>
      <c r="C2409" s="64" t="s">
        <v>275</v>
      </c>
      <c r="D2409" s="61">
        <v>27268</v>
      </c>
      <c r="E2409" s="62">
        <v>42131</v>
      </c>
      <c r="F2409" s="285"/>
    </row>
    <row r="2410" spans="1:6" ht="14.25" thickTop="1" thickBot="1">
      <c r="A2410" s="267" t="str">
        <f>C2412</f>
        <v>RICARDO DA SILVEIRA</v>
      </c>
      <c r="B2410" s="68" t="s">
        <v>62</v>
      </c>
      <c r="C2410" s="66" t="s">
        <v>696</v>
      </c>
      <c r="D2410" s="61">
        <v>7035</v>
      </c>
      <c r="E2410" s="62">
        <v>42914</v>
      </c>
      <c r="F2410" s="285"/>
    </row>
    <row r="2411" spans="1:6" ht="14.25" thickTop="1" thickBot="1">
      <c r="A2411" s="267" t="str">
        <f>C2413</f>
        <v>RICARDO DOBZINSKI</v>
      </c>
      <c r="B2411" s="68" t="s">
        <v>62</v>
      </c>
      <c r="C2411" s="66" t="s">
        <v>3271</v>
      </c>
      <c r="D2411" s="65">
        <v>63749</v>
      </c>
      <c r="E2411" s="62">
        <v>42320</v>
      </c>
      <c r="F2411" s="285"/>
    </row>
    <row r="2412" spans="1:6" ht="14.25" thickTop="1" thickBot="1">
      <c r="A2412" s="267" t="s">
        <v>2564</v>
      </c>
      <c r="B2412" s="68" t="s">
        <v>62</v>
      </c>
      <c r="C2412" s="64" t="s">
        <v>683</v>
      </c>
      <c r="D2412" s="61">
        <v>51017</v>
      </c>
      <c r="E2412" s="62">
        <v>41971</v>
      </c>
      <c r="F2412" s="285"/>
    </row>
    <row r="2413" spans="1:6" ht="14.25" thickTop="1" thickBot="1">
      <c r="A2413" s="267" t="str">
        <f>C2416</f>
        <v>RICARDO GONÇALVES GUIMARAES</v>
      </c>
      <c r="B2413" s="68" t="s">
        <v>126</v>
      </c>
      <c r="C2413" s="66" t="s">
        <v>1643</v>
      </c>
      <c r="D2413" s="65">
        <v>58993</v>
      </c>
      <c r="E2413" s="62">
        <v>43446</v>
      </c>
      <c r="F2413" s="285"/>
    </row>
    <row r="2414" spans="1:6" ht="14.25" thickTop="1" thickBot="1">
      <c r="A2414" s="267" t="s">
        <v>2219</v>
      </c>
      <c r="B2414" s="67" t="s">
        <v>1522</v>
      </c>
      <c r="C2414" s="66" t="s">
        <v>709</v>
      </c>
      <c r="D2414" s="61">
        <v>27257</v>
      </c>
      <c r="E2414" s="62">
        <v>42865</v>
      </c>
      <c r="F2414" s="285"/>
    </row>
    <row r="2415" spans="1:6" ht="14.25" thickTop="1" thickBot="1">
      <c r="A2415" s="267"/>
      <c r="B2415" s="67" t="s">
        <v>2406</v>
      </c>
      <c r="C2415" s="60" t="s">
        <v>2219</v>
      </c>
      <c r="D2415" s="61">
        <v>114838</v>
      </c>
      <c r="E2415" s="62">
        <v>43761</v>
      </c>
      <c r="F2415" s="285"/>
    </row>
    <row r="2416" spans="1:6" ht="14.25" thickTop="1" thickBot="1">
      <c r="A2416" s="267" t="str">
        <f>C2418</f>
        <v>RICARDO VIEIRA BRANCO</v>
      </c>
      <c r="B2416" s="68" t="s">
        <v>2406</v>
      </c>
      <c r="C2416" s="60" t="s">
        <v>2674</v>
      </c>
      <c r="D2416" s="61">
        <v>103010</v>
      </c>
      <c r="E2416" s="62">
        <v>43691</v>
      </c>
      <c r="F2416" s="285"/>
    </row>
    <row r="2417" spans="1:6" ht="14.25" thickTop="1" thickBot="1">
      <c r="A2417" s="267" t="str">
        <f>C2419</f>
        <v>RICARDO VIEIRA BRANCO</v>
      </c>
      <c r="B2417" s="68" t="s">
        <v>62</v>
      </c>
      <c r="C2417" s="60" t="s">
        <v>3270</v>
      </c>
      <c r="D2417" s="61">
        <v>24460</v>
      </c>
      <c r="E2417" s="70">
        <v>42282</v>
      </c>
      <c r="F2417" s="284"/>
    </row>
    <row r="2418" spans="1:6" ht="14.25" thickTop="1" thickBot="1">
      <c r="A2418" s="267" t="str">
        <f>C2419</f>
        <v>RICARDO VIEIRA BRANCO</v>
      </c>
      <c r="B2418" s="68" t="s">
        <v>1033</v>
      </c>
      <c r="C2418" s="66" t="s">
        <v>301</v>
      </c>
      <c r="D2418" s="65">
        <v>63749</v>
      </c>
      <c r="E2418" s="62">
        <v>40893</v>
      </c>
      <c r="F2418" s="285"/>
    </row>
    <row r="2419" spans="1:6" ht="14.25" thickTop="1" thickBot="1">
      <c r="A2419" s="267" t="str">
        <f>C2422</f>
        <v>RICHARDISON JUNIO DOS SANTOS                    (Bahia)</v>
      </c>
      <c r="B2419" s="68" t="s">
        <v>2406</v>
      </c>
      <c r="C2419" s="64" t="s">
        <v>301</v>
      </c>
      <c r="D2419" s="65">
        <v>27257</v>
      </c>
      <c r="E2419" s="70">
        <v>43693</v>
      </c>
      <c r="F2419" s="287"/>
    </row>
    <row r="2420" spans="1:6" ht="14.25" thickTop="1" thickBot="1">
      <c r="A2420" s="267" t="str">
        <f>C2422</f>
        <v>RICHARDISON JUNIO DOS SANTOS                    (Bahia)</v>
      </c>
      <c r="B2420" s="68" t="s">
        <v>62</v>
      </c>
      <c r="C2420" s="66" t="s">
        <v>3099</v>
      </c>
      <c r="D2420" s="65">
        <v>27279</v>
      </c>
      <c r="E2420" s="62">
        <v>42130</v>
      </c>
      <c r="F2420" s="285"/>
    </row>
    <row r="2421" spans="1:6" ht="14.25" thickTop="1" thickBot="1">
      <c r="A2421" s="267"/>
      <c r="B2421" s="68" t="s">
        <v>62</v>
      </c>
      <c r="C2421" s="66" t="s">
        <v>3269</v>
      </c>
      <c r="D2421" s="61">
        <v>27032</v>
      </c>
      <c r="E2421" s="62">
        <v>39960</v>
      </c>
      <c r="F2421" s="285"/>
    </row>
    <row r="2422" spans="1:6" ht="14.25" thickTop="1" thickBot="1">
      <c r="A2422" s="267" t="str">
        <f>C2424</f>
        <v>RIVALDO CHAVES</v>
      </c>
      <c r="B2422" s="163" t="s">
        <v>62</v>
      </c>
      <c r="C2422" s="64" t="s">
        <v>3268</v>
      </c>
      <c r="D2422" s="65">
        <v>27015</v>
      </c>
      <c r="E2422" s="204">
        <v>43360</v>
      </c>
      <c r="F2422" s="285"/>
    </row>
    <row r="2423" spans="1:6" ht="14.25" thickTop="1" thickBot="1">
      <c r="A2423" s="267" t="str">
        <f>C2425</f>
        <v>ROBER ANDERSON SEVERINO</v>
      </c>
      <c r="B2423" s="68" t="s">
        <v>1306</v>
      </c>
      <c r="C2423" s="66" t="s">
        <v>538</v>
      </c>
      <c r="D2423" s="69">
        <v>11231</v>
      </c>
      <c r="E2423" s="62">
        <v>43116</v>
      </c>
      <c r="F2423" s="285"/>
    </row>
    <row r="2424" spans="1:6" ht="14.25" thickTop="1" thickBot="1">
      <c r="A2424" s="267" t="str">
        <f>C2426</f>
        <v>ROBERSOM CAVALHEIRO LABRES</v>
      </c>
      <c r="B2424" s="68" t="s">
        <v>62</v>
      </c>
      <c r="C2424" s="77" t="s">
        <v>1763</v>
      </c>
      <c r="D2424" s="61">
        <v>104391</v>
      </c>
      <c r="E2424" s="62">
        <v>42914</v>
      </c>
      <c r="F2424" s="285"/>
    </row>
    <row r="2425" spans="1:6" ht="14.25" thickTop="1" thickBot="1">
      <c r="A2425" s="267" t="str">
        <f>C2427</f>
        <v>ROBERSON DA SILVA ROSA</v>
      </c>
      <c r="B2425" s="68" t="s">
        <v>62</v>
      </c>
      <c r="C2425" s="66" t="s">
        <v>2247</v>
      </c>
      <c r="D2425" s="61"/>
      <c r="E2425" s="62">
        <v>40242</v>
      </c>
      <c r="F2425" s="285"/>
    </row>
    <row r="2426" spans="1:6" ht="14.25" thickTop="1" thickBot="1">
      <c r="A2426" s="267"/>
      <c r="B2426" s="68" t="s">
        <v>62</v>
      </c>
      <c r="C2426" s="66" t="s">
        <v>117</v>
      </c>
      <c r="D2426" s="61">
        <v>27076</v>
      </c>
      <c r="E2426" s="62">
        <v>42321</v>
      </c>
      <c r="F2426" s="285"/>
    </row>
    <row r="2427" spans="1:6" ht="14.25" thickTop="1" thickBot="1">
      <c r="A2427" s="267"/>
      <c r="B2427" s="68" t="s">
        <v>2406</v>
      </c>
      <c r="C2427" s="66" t="s">
        <v>2255</v>
      </c>
      <c r="D2427" s="61">
        <v>148514</v>
      </c>
      <c r="E2427" s="62">
        <v>43874</v>
      </c>
      <c r="F2427" s="285"/>
    </row>
    <row r="2428" spans="1:6" ht="14.25" thickTop="1" thickBot="1">
      <c r="A2428" s="267"/>
      <c r="B2428" s="68" t="s">
        <v>62</v>
      </c>
      <c r="C2428" s="66" t="s">
        <v>2112</v>
      </c>
      <c r="D2428" s="61">
        <v>14718</v>
      </c>
      <c r="E2428" s="62">
        <v>42108</v>
      </c>
      <c r="F2428" s="285"/>
    </row>
    <row r="2429" spans="1:6" ht="14.25" thickTop="1" thickBot="1">
      <c r="A2429" s="267" t="str">
        <f>C2431</f>
        <v>ROBERSON MIGUEL PALHANO</v>
      </c>
      <c r="B2429" s="89"/>
      <c r="C2429" s="66" t="s">
        <v>317</v>
      </c>
      <c r="D2429" s="65">
        <v>27076</v>
      </c>
      <c r="E2429" s="62">
        <v>42039</v>
      </c>
      <c r="F2429" s="285"/>
    </row>
    <row r="2430" spans="1:6" ht="14.25" thickTop="1" thickBot="1">
      <c r="A2430" s="267"/>
      <c r="B2430" s="68" t="s">
        <v>2406</v>
      </c>
      <c r="C2430" s="66" t="s">
        <v>1917</v>
      </c>
      <c r="D2430" s="61">
        <v>123276</v>
      </c>
      <c r="E2430" s="62">
        <v>43951</v>
      </c>
      <c r="F2430" s="285"/>
    </row>
    <row r="2431" spans="1:6" ht="14.25" thickTop="1" thickBot="1">
      <c r="A2431" s="267" t="str">
        <f>C2433</f>
        <v>ROBERT CHAGAS DOS SANTOS                     (Nariz)</v>
      </c>
      <c r="B2431" s="68" t="s">
        <v>2406</v>
      </c>
      <c r="C2431" s="77" t="s">
        <v>1917</v>
      </c>
      <c r="D2431" s="61">
        <v>123726</v>
      </c>
      <c r="E2431" s="62">
        <v>44092</v>
      </c>
      <c r="F2431" s="285"/>
    </row>
    <row r="2432" spans="1:6" ht="14.25" thickTop="1" thickBot="1">
      <c r="A2432" s="267" t="str">
        <f>C2434</f>
        <v>ROBERT JOSE COITO</v>
      </c>
      <c r="B2432" s="68" t="s">
        <v>62</v>
      </c>
      <c r="C2432" s="66" t="s">
        <v>325</v>
      </c>
      <c r="D2432" s="61">
        <v>21851</v>
      </c>
      <c r="E2432" s="62">
        <v>41354</v>
      </c>
      <c r="F2432" s="285"/>
    </row>
    <row r="2433" spans="1:6" ht="14.25" thickTop="1" thickBot="1">
      <c r="A2433" s="267" t="str">
        <f>C2435</f>
        <v>ROBERT ROGERIO DE ALMEIDA PIRES</v>
      </c>
      <c r="B2433" s="68" t="s">
        <v>62</v>
      </c>
      <c r="C2433" s="66" t="s">
        <v>3267</v>
      </c>
      <c r="D2433" s="61">
        <v>55203</v>
      </c>
      <c r="E2433" s="62">
        <v>40996</v>
      </c>
      <c r="F2433" s="285"/>
    </row>
    <row r="2434" spans="1:6" ht="14.25" thickTop="1" thickBot="1">
      <c r="A2434" s="267"/>
      <c r="B2434" s="68" t="s">
        <v>62</v>
      </c>
      <c r="C2434" s="66" t="s">
        <v>1623</v>
      </c>
      <c r="D2434" s="69">
        <v>63139</v>
      </c>
      <c r="E2434" s="62">
        <v>40137</v>
      </c>
      <c r="F2434" s="285"/>
    </row>
    <row r="2435" spans="1:6" ht="14.25" thickTop="1" thickBot="1">
      <c r="A2435" s="267" t="str">
        <f>C2438</f>
        <v>ROBERTO CAVALHEIRO</v>
      </c>
      <c r="B2435" s="61" t="s">
        <v>2406</v>
      </c>
      <c r="C2435" s="60" t="s">
        <v>2444</v>
      </c>
      <c r="D2435" s="61">
        <v>155209</v>
      </c>
      <c r="E2435" s="62">
        <v>43769</v>
      </c>
      <c r="F2435" s="284"/>
    </row>
    <row r="2436" spans="1:6" ht="14.25" thickTop="1" thickBot="1">
      <c r="A2436" s="267"/>
      <c r="B2436" s="68" t="s">
        <v>62</v>
      </c>
      <c r="C2436" s="66" t="s">
        <v>637</v>
      </c>
      <c r="D2436" s="65">
        <v>49155</v>
      </c>
      <c r="E2436" s="62">
        <v>41417</v>
      </c>
      <c r="F2436" s="285"/>
    </row>
    <row r="2437" spans="1:6" ht="14.25" thickTop="1" thickBot="1">
      <c r="A2437" s="267" t="str">
        <f>C2454</f>
        <v>ROBSON DOS SANTOS                          (Pit Bull)</v>
      </c>
      <c r="B2437" s="68" t="s">
        <v>2406</v>
      </c>
      <c r="C2437" s="77" t="s">
        <v>2326</v>
      </c>
      <c r="D2437" s="61">
        <v>137164</v>
      </c>
      <c r="E2437" s="70">
        <v>43689</v>
      </c>
      <c r="F2437" s="287"/>
    </row>
    <row r="2438" spans="1:6" ht="14.25" thickTop="1" thickBot="1">
      <c r="A2438" s="267" t="str">
        <f>C2455</f>
        <v>ROBSON JOE MACHADO FERNANDES (Curitiba)</v>
      </c>
      <c r="B2438" s="68" t="s">
        <v>25</v>
      </c>
      <c r="C2438" s="66" t="s">
        <v>687</v>
      </c>
      <c r="D2438" s="67"/>
      <c r="E2438" s="70">
        <v>42523</v>
      </c>
      <c r="F2438" s="287"/>
    </row>
    <row r="2439" spans="1:6" ht="14.25" thickTop="1" thickBot="1">
      <c r="A2439" s="267" t="str">
        <f>C2441</f>
        <v xml:space="preserve">ROBERTO GALDINO                         (Betinho) </v>
      </c>
      <c r="B2439" s="68" t="s">
        <v>25</v>
      </c>
      <c r="C2439" s="64" t="s">
        <v>1208</v>
      </c>
      <c r="D2439" s="67"/>
      <c r="E2439" s="62">
        <v>42327</v>
      </c>
      <c r="F2439" s="285"/>
    </row>
    <row r="2440" spans="1:6" ht="14.25" thickTop="1" thickBot="1">
      <c r="A2440" s="267" t="str">
        <f>C2442</f>
        <v>ROBERTO JOB DE OLIVEIRA</v>
      </c>
      <c r="B2440" s="68" t="s">
        <v>62</v>
      </c>
      <c r="C2440" s="64" t="s">
        <v>153</v>
      </c>
      <c r="D2440" s="186">
        <v>63864</v>
      </c>
      <c r="E2440" s="62">
        <v>39566</v>
      </c>
      <c r="F2440" s="285"/>
    </row>
    <row r="2441" spans="1:6" ht="14.25" thickTop="1" thickBot="1">
      <c r="A2441" s="267" t="str">
        <f>C2443</f>
        <v>ROBERTO JOSUE DA SILVA PATENE</v>
      </c>
      <c r="B2441" s="68" t="s">
        <v>62</v>
      </c>
      <c r="C2441" s="66" t="s">
        <v>3266</v>
      </c>
      <c r="D2441" s="65">
        <v>63954</v>
      </c>
      <c r="E2441" s="62">
        <v>40325</v>
      </c>
      <c r="F2441" s="285"/>
    </row>
    <row r="2442" spans="1:6" ht="14.25" thickTop="1" thickBot="1">
      <c r="A2442" s="267" t="str">
        <f>C2444</f>
        <v>ROBERTO NASSIF</v>
      </c>
      <c r="B2442" s="68" t="s">
        <v>62</v>
      </c>
      <c r="C2442" s="66" t="s">
        <v>1209</v>
      </c>
      <c r="D2442" s="61">
        <v>90108</v>
      </c>
      <c r="E2442" s="62">
        <v>41101</v>
      </c>
      <c r="F2442" s="285"/>
    </row>
    <row r="2443" spans="1:6" ht="14.25" thickTop="1" thickBot="1">
      <c r="A2443" s="267" t="str">
        <f>C2447</f>
        <v xml:space="preserve">ROBERTO SANTANA RAMOS </v>
      </c>
      <c r="B2443" s="68" t="s">
        <v>62</v>
      </c>
      <c r="C2443" s="66" t="s">
        <v>509</v>
      </c>
      <c r="D2443" s="67"/>
      <c r="E2443" s="62">
        <v>39268</v>
      </c>
      <c r="F2443" s="285"/>
    </row>
    <row r="2444" spans="1:6" ht="14.25" thickTop="1" thickBot="1">
      <c r="A2444" s="267" t="str">
        <f>C2448</f>
        <v>ROBERTO SAVITISK</v>
      </c>
      <c r="B2444" s="68" t="s">
        <v>62</v>
      </c>
      <c r="C2444" s="66" t="s">
        <v>1556</v>
      </c>
      <c r="D2444" s="65">
        <v>63543</v>
      </c>
      <c r="E2444" s="62">
        <v>41968</v>
      </c>
      <c r="F2444" s="285"/>
    </row>
    <row r="2445" spans="1:6" ht="14.25" thickTop="1" thickBot="1">
      <c r="A2445" s="267" t="s">
        <v>2620</v>
      </c>
      <c r="B2445" s="68" t="s">
        <v>62</v>
      </c>
      <c r="C2445" s="66" t="s">
        <v>1210</v>
      </c>
      <c r="D2445" s="65">
        <v>63662</v>
      </c>
      <c r="E2445" s="62">
        <v>39938</v>
      </c>
      <c r="F2445" s="285"/>
    </row>
    <row r="2446" spans="1:6" ht="14.25" thickTop="1" thickBot="1">
      <c r="A2446" s="267" t="str">
        <f>C2449</f>
        <v>ROBSON ANTONIO GOMES DE CAMARGO</v>
      </c>
      <c r="B2446" s="68" t="s">
        <v>2413</v>
      </c>
      <c r="C2446" s="66" t="s">
        <v>1211</v>
      </c>
      <c r="D2446" s="67"/>
      <c r="E2446" s="62">
        <v>43529</v>
      </c>
      <c r="F2446" s="285"/>
    </row>
    <row r="2447" spans="1:6" ht="14.25" thickTop="1" thickBot="1">
      <c r="A2447" s="267"/>
      <c r="B2447" s="68" t="s">
        <v>2406</v>
      </c>
      <c r="C2447" s="66" t="s">
        <v>473</v>
      </c>
      <c r="D2447" s="61">
        <v>102059</v>
      </c>
      <c r="E2447" s="62">
        <v>44001</v>
      </c>
      <c r="F2447" s="285"/>
    </row>
    <row r="2448" spans="1:6" ht="14.25" thickTop="1" thickBot="1">
      <c r="A2448" s="267" t="str">
        <f t="shared" ref="A2448:A2454" si="104">C2450</f>
        <v xml:space="preserve">ROBSON CLEITON ROMANKIU </v>
      </c>
      <c r="B2448" s="68" t="s">
        <v>126</v>
      </c>
      <c r="C2448" s="66" t="s">
        <v>2621</v>
      </c>
      <c r="D2448" s="61">
        <v>106273</v>
      </c>
      <c r="E2448" s="62">
        <v>43392</v>
      </c>
      <c r="F2448" s="285"/>
    </row>
    <row r="2449" spans="1:6" ht="14.25" thickTop="1" thickBot="1">
      <c r="A2449" s="267" t="str">
        <f t="shared" si="104"/>
        <v>ROBSON DE JESUS FURQUIM DE MELLO</v>
      </c>
      <c r="B2449" s="68" t="s">
        <v>62</v>
      </c>
      <c r="C2449" s="66" t="s">
        <v>1612</v>
      </c>
      <c r="D2449" s="65">
        <v>63918</v>
      </c>
      <c r="E2449" s="62">
        <v>39566</v>
      </c>
      <c r="F2449" s="285"/>
    </row>
    <row r="2450" spans="1:6" ht="14.25" thickTop="1" thickBot="1">
      <c r="A2450" s="267" t="str">
        <f t="shared" si="104"/>
        <v>ROBSON DE OLIVEIRA</v>
      </c>
      <c r="B2450" s="68" t="s">
        <v>62</v>
      </c>
      <c r="C2450" s="60" t="s">
        <v>2357</v>
      </c>
      <c r="D2450" s="61">
        <v>3892</v>
      </c>
      <c r="E2450" s="62">
        <v>40763</v>
      </c>
      <c r="F2450" s="285"/>
    </row>
    <row r="2451" spans="1:6" ht="14.25" thickTop="1" thickBot="1">
      <c r="A2451" s="267" t="str">
        <f t="shared" si="104"/>
        <v>ROBSON DE SOUZA</v>
      </c>
      <c r="B2451" s="68" t="s">
        <v>351</v>
      </c>
      <c r="C2451" s="66" t="s">
        <v>1245</v>
      </c>
      <c r="D2451" s="65">
        <v>63882</v>
      </c>
      <c r="E2451" s="62">
        <v>39624</v>
      </c>
      <c r="F2451" s="285"/>
    </row>
    <row r="2452" spans="1:6" ht="14.25" thickTop="1" thickBot="1">
      <c r="A2452" s="267" t="str">
        <f t="shared" si="104"/>
        <v>ROBSON DOS SANTOS                          (Pit Bull)</v>
      </c>
      <c r="B2452" s="68" t="s">
        <v>62</v>
      </c>
      <c r="C2452" s="66" t="s">
        <v>1557</v>
      </c>
      <c r="D2452" s="69">
        <v>52366</v>
      </c>
      <c r="E2452" s="62">
        <v>40763</v>
      </c>
      <c r="F2452" s="285"/>
    </row>
    <row r="2453" spans="1:6" ht="14.25" thickTop="1" thickBot="1">
      <c r="A2453" s="267" t="str">
        <f t="shared" si="104"/>
        <v>ROBSON JOE MACHADO FERNANDES (Curitiba)</v>
      </c>
      <c r="B2453" s="68" t="s">
        <v>62</v>
      </c>
      <c r="C2453" s="64" t="s">
        <v>1558</v>
      </c>
      <c r="D2453" s="67"/>
      <c r="E2453" s="62">
        <v>42983</v>
      </c>
      <c r="F2453" s="285"/>
    </row>
    <row r="2454" spans="1:6" ht="14.25" thickTop="1" thickBot="1">
      <c r="A2454" s="267" t="str">
        <f t="shared" si="104"/>
        <v>ROBSON KLEBER RODRIGUES</v>
      </c>
      <c r="B2454" s="68" t="s">
        <v>1264</v>
      </c>
      <c r="C2454" s="66" t="s">
        <v>3265</v>
      </c>
      <c r="D2454" s="65">
        <v>67080</v>
      </c>
      <c r="E2454" s="62">
        <v>40243</v>
      </c>
      <c r="F2454" s="285"/>
    </row>
    <row r="2455" spans="1:6" ht="14.25" thickTop="1" thickBot="1">
      <c r="A2455" s="267"/>
      <c r="B2455" s="61" t="s">
        <v>3630</v>
      </c>
      <c r="C2455" s="192" t="s">
        <v>3625</v>
      </c>
      <c r="D2455" s="61">
        <v>108315</v>
      </c>
      <c r="E2455" s="70">
        <v>44123</v>
      </c>
      <c r="F2455" s="405"/>
    </row>
    <row r="2456" spans="1:6" ht="14.25" thickTop="1" thickBot="1">
      <c r="A2456" s="267" t="str">
        <f>C2458</f>
        <v>ROBSON LUIS DOS SANTOS OLIVEIRA</v>
      </c>
      <c r="B2456" s="68" t="s">
        <v>62</v>
      </c>
      <c r="C2456" s="66" t="s">
        <v>1271</v>
      </c>
      <c r="D2456" s="61">
        <v>137494</v>
      </c>
      <c r="E2456" s="62">
        <v>40625</v>
      </c>
      <c r="F2456" s="285"/>
    </row>
    <row r="2457" spans="1:6" ht="14.25" thickTop="1" thickBot="1">
      <c r="A2457" s="281" t="s">
        <v>1858</v>
      </c>
      <c r="B2457" s="68" t="s">
        <v>1306</v>
      </c>
      <c r="C2457" s="66" t="s">
        <v>2099</v>
      </c>
      <c r="D2457" s="65">
        <v>27311</v>
      </c>
      <c r="E2457" s="62">
        <v>39478</v>
      </c>
      <c r="F2457" s="285"/>
    </row>
    <row r="2458" spans="1:6" ht="14.25" thickTop="1" thickBot="1">
      <c r="A2458" s="267" t="str">
        <f>C2460</f>
        <v>ROBSON MACHADO</v>
      </c>
      <c r="B2458" s="68" t="s">
        <v>2593</v>
      </c>
      <c r="C2458" s="66" t="s">
        <v>204</v>
      </c>
      <c r="D2458" s="82"/>
      <c r="E2458" s="62">
        <v>43524</v>
      </c>
      <c r="F2458" s="285"/>
    </row>
    <row r="2459" spans="1:6" ht="14.25" thickTop="1" thickBot="1">
      <c r="A2459" s="267" t="s">
        <v>1998</v>
      </c>
      <c r="B2459" s="68" t="s">
        <v>62</v>
      </c>
      <c r="C2459" s="66" t="s">
        <v>664</v>
      </c>
      <c r="D2459" s="65">
        <v>27201</v>
      </c>
      <c r="E2459" s="62">
        <v>42039</v>
      </c>
      <c r="F2459" s="285"/>
    </row>
    <row r="2460" spans="1:6" ht="14.25" thickTop="1" thickBot="1">
      <c r="A2460" s="267"/>
      <c r="B2460" s="68" t="s">
        <v>1812</v>
      </c>
      <c r="C2460" s="66" t="s">
        <v>2325</v>
      </c>
      <c r="D2460" s="61">
        <v>131894</v>
      </c>
      <c r="E2460" s="70">
        <v>43970</v>
      </c>
      <c r="F2460" s="284"/>
    </row>
    <row r="2461" spans="1:6" ht="14.25" thickTop="1" thickBot="1">
      <c r="A2461" s="267"/>
      <c r="B2461" s="68"/>
      <c r="C2461" s="77" t="s">
        <v>2387</v>
      </c>
      <c r="D2461" s="61">
        <v>158113</v>
      </c>
      <c r="E2461" s="62">
        <v>43972</v>
      </c>
      <c r="F2461" s="285"/>
    </row>
    <row r="2462" spans="1:6" ht="14.25" thickTop="1" thickBot="1">
      <c r="A2462" s="267" t="str">
        <f>C2464</f>
        <v>ROBSON RODRIGO DOS SANTOS              (Robinho)</v>
      </c>
      <c r="B2462" s="68" t="s">
        <v>2406</v>
      </c>
      <c r="C2462" s="194" t="s">
        <v>3264</v>
      </c>
      <c r="D2462" s="61">
        <v>116199</v>
      </c>
      <c r="E2462" s="62">
        <v>43452</v>
      </c>
      <c r="F2462" s="285"/>
    </row>
    <row r="2463" spans="1:6" ht="14.25" thickTop="1" thickBot="1">
      <c r="A2463" s="267"/>
      <c r="B2463" s="67" t="s">
        <v>1522</v>
      </c>
      <c r="C2463" s="66" t="s">
        <v>1185</v>
      </c>
      <c r="D2463" s="61">
        <v>63990</v>
      </c>
      <c r="E2463" s="62">
        <v>42480</v>
      </c>
      <c r="F2463" s="285"/>
    </row>
    <row r="2464" spans="1:6" ht="14.25" thickTop="1" thickBot="1">
      <c r="A2464" s="267" t="str">
        <f t="shared" ref="A2464:A2474" si="105">C2466</f>
        <v>RODINALDO DE JESUS DOBKE</v>
      </c>
      <c r="B2464" s="163" t="s">
        <v>2406</v>
      </c>
      <c r="C2464" s="77" t="s">
        <v>3263</v>
      </c>
      <c r="D2464" s="61">
        <v>27201</v>
      </c>
      <c r="E2464" s="204">
        <v>43496</v>
      </c>
      <c r="F2464" s="285"/>
    </row>
    <row r="2465" spans="1:6" ht="14.25" thickTop="1" thickBot="1">
      <c r="A2465" s="267" t="str">
        <f t="shared" si="105"/>
        <v>RODRIGO ALVES</v>
      </c>
      <c r="B2465" s="68" t="s">
        <v>62</v>
      </c>
      <c r="C2465" s="66" t="s">
        <v>3262</v>
      </c>
      <c r="D2465" s="74"/>
      <c r="E2465" s="62">
        <v>40050</v>
      </c>
      <c r="F2465" s="285"/>
    </row>
    <row r="2466" spans="1:6" ht="14.25" thickTop="1" thickBot="1">
      <c r="A2466" s="267" t="str">
        <f t="shared" si="105"/>
        <v>RODRIGO APARECIDO KALINOSKI</v>
      </c>
      <c r="B2466" s="68" t="s">
        <v>62</v>
      </c>
      <c r="C2466" s="60" t="s">
        <v>954</v>
      </c>
      <c r="D2466" s="61">
        <v>72161</v>
      </c>
      <c r="E2466" s="62">
        <v>40325</v>
      </c>
      <c r="F2466" s="285"/>
    </row>
    <row r="2467" spans="1:6" ht="14.25" thickTop="1" thickBot="1">
      <c r="A2467" s="267" t="str">
        <f t="shared" si="105"/>
        <v>RODRIGO AUGUSTO PIRES</v>
      </c>
      <c r="B2467" s="68" t="s">
        <v>62</v>
      </c>
      <c r="C2467" s="66" t="s">
        <v>245</v>
      </c>
      <c r="D2467" s="61">
        <v>102330</v>
      </c>
      <c r="E2467" s="62">
        <v>42480</v>
      </c>
      <c r="F2467" s="285"/>
    </row>
    <row r="2468" spans="1:6" ht="14.25" thickTop="1" thickBot="1">
      <c r="A2468" s="267" t="str">
        <f t="shared" si="105"/>
        <v>RODRIGO CARNEIRO</v>
      </c>
      <c r="B2468" s="61" t="s">
        <v>351</v>
      </c>
      <c r="C2468" s="66" t="s">
        <v>1221</v>
      </c>
      <c r="D2468" s="67"/>
      <c r="E2468" s="62">
        <v>43383</v>
      </c>
      <c r="F2468" s="284"/>
    </row>
    <row r="2469" spans="1:6" ht="14.25" thickTop="1" thickBot="1">
      <c r="A2469" s="267" t="str">
        <f t="shared" si="105"/>
        <v>RODRIGO CARNEIRO VARGAS</v>
      </c>
      <c r="B2469" s="68" t="s">
        <v>62</v>
      </c>
      <c r="C2469" s="66" t="s">
        <v>1559</v>
      </c>
      <c r="D2469" s="69">
        <v>63880</v>
      </c>
      <c r="E2469" s="62">
        <v>42327</v>
      </c>
      <c r="F2469" s="285"/>
    </row>
    <row r="2470" spans="1:6" ht="14.25" thickTop="1" thickBot="1">
      <c r="A2470" s="267" t="str">
        <f t="shared" si="105"/>
        <v>RODRIGO CARVALHO SILVA REIS</v>
      </c>
      <c r="B2470" s="68" t="s">
        <v>62</v>
      </c>
      <c r="C2470" s="66" t="s">
        <v>2254</v>
      </c>
      <c r="D2470" s="61">
        <v>101856</v>
      </c>
      <c r="E2470" s="62">
        <v>43364</v>
      </c>
      <c r="F2470" s="285"/>
    </row>
    <row r="2471" spans="1:6" ht="14.25" thickTop="1" thickBot="1">
      <c r="A2471" s="267" t="str">
        <f t="shared" si="105"/>
        <v>RODRIGO DA SILVA</v>
      </c>
      <c r="B2471" s="68" t="s">
        <v>1812</v>
      </c>
      <c r="C2471" s="66" t="s">
        <v>888</v>
      </c>
      <c r="D2471" s="65"/>
      <c r="E2471" s="70">
        <v>42328</v>
      </c>
      <c r="F2471" s="284"/>
    </row>
    <row r="2472" spans="1:6" ht="14.25" thickTop="1" thickBot="1">
      <c r="A2472" s="267" t="str">
        <f t="shared" si="105"/>
        <v>RODRIGO DE ALMEIDA</v>
      </c>
      <c r="B2472" s="68" t="s">
        <v>62</v>
      </c>
      <c r="C2472" s="77" t="s">
        <v>1837</v>
      </c>
      <c r="D2472" s="61">
        <v>77871</v>
      </c>
      <c r="E2472" s="62">
        <v>43154</v>
      </c>
      <c r="F2472" s="285"/>
    </row>
    <row r="2473" spans="1:6" ht="14.25" thickTop="1" thickBot="1">
      <c r="A2473" s="267" t="str">
        <f t="shared" si="105"/>
        <v>RODRIGO DE ALMEIDA</v>
      </c>
      <c r="B2473" s="68" t="s">
        <v>62</v>
      </c>
      <c r="C2473" s="64" t="s">
        <v>281</v>
      </c>
      <c r="D2473" s="82"/>
      <c r="E2473" s="62">
        <v>39912</v>
      </c>
      <c r="F2473" s="285"/>
    </row>
    <row r="2474" spans="1:6" ht="14.25" thickTop="1" thickBot="1">
      <c r="A2474" s="267" t="str">
        <f t="shared" si="105"/>
        <v>RODRIGO DE CARVALHO JUVENCIO</v>
      </c>
      <c r="B2474" s="68" t="s">
        <v>1865</v>
      </c>
      <c r="C2474" s="66" t="s">
        <v>1679</v>
      </c>
      <c r="D2474" s="61">
        <v>120274</v>
      </c>
      <c r="E2474" s="62">
        <v>43138</v>
      </c>
      <c r="F2474" s="290"/>
    </row>
    <row r="2475" spans="1:6" ht="14.25" thickTop="1" thickBot="1">
      <c r="A2475" s="267" t="str">
        <f>C2478</f>
        <v>RODRIGO DELEON BRUSTOLIN CARDOSO</v>
      </c>
      <c r="B2475" s="68" t="s">
        <v>1306</v>
      </c>
      <c r="C2475" s="66" t="s">
        <v>1679</v>
      </c>
      <c r="D2475" s="312">
        <v>63880</v>
      </c>
      <c r="E2475" s="62">
        <v>41773</v>
      </c>
      <c r="F2475" s="285"/>
    </row>
    <row r="2476" spans="1:6" ht="14.25" thickTop="1" thickBot="1">
      <c r="A2476" s="267" t="str">
        <f>C2485</f>
        <v>RODRIGO ELOI DE ALMEIDA</v>
      </c>
      <c r="B2476" s="68" t="s">
        <v>62</v>
      </c>
      <c r="C2476" s="66" t="s">
        <v>2051</v>
      </c>
      <c r="D2476" s="61">
        <v>3515</v>
      </c>
      <c r="E2476" s="62">
        <v>40112</v>
      </c>
      <c r="F2476" s="285"/>
    </row>
    <row r="2477" spans="1:6" ht="14.25" thickTop="1" thickBot="1">
      <c r="A2477" s="267" t="str">
        <f>C2485</f>
        <v>RODRIGO ELOI DE ALMEIDA</v>
      </c>
      <c r="B2477" s="61" t="s">
        <v>2413</v>
      </c>
      <c r="C2477" s="66" t="s">
        <v>1432</v>
      </c>
      <c r="D2477" s="61">
        <v>27155</v>
      </c>
      <c r="E2477" s="62">
        <v>43544</v>
      </c>
      <c r="F2477" s="284"/>
    </row>
    <row r="2478" spans="1:6" ht="14.25" thickTop="1" thickBot="1">
      <c r="A2478" s="267" t="str">
        <f>C2486</f>
        <v>RODRIGO FEDESHI</v>
      </c>
      <c r="B2478" s="68" t="s">
        <v>62</v>
      </c>
      <c r="C2478" s="66" t="s">
        <v>1456</v>
      </c>
      <c r="D2478" s="65">
        <v>10302</v>
      </c>
      <c r="E2478" s="62">
        <v>40725</v>
      </c>
      <c r="F2478" s="285"/>
    </row>
    <row r="2479" spans="1:6" ht="14.25" thickTop="1" thickBot="1">
      <c r="A2479" s="267" t="str">
        <f>C2481</f>
        <v>RODRIGO DOS SANTOS                                         (Tiriça)</v>
      </c>
      <c r="B2479" s="68" t="s">
        <v>62</v>
      </c>
      <c r="C2479" s="77" t="s">
        <v>2592</v>
      </c>
      <c r="D2479" s="61">
        <v>63935</v>
      </c>
      <c r="E2479" s="62">
        <v>39476</v>
      </c>
      <c r="F2479" s="285"/>
    </row>
    <row r="2480" spans="1:6" ht="14.25" thickTop="1" thickBot="1">
      <c r="A2480" s="267"/>
      <c r="B2480" s="68" t="s">
        <v>62</v>
      </c>
      <c r="C2480" s="66" t="s">
        <v>506</v>
      </c>
      <c r="D2480" s="65">
        <v>63498</v>
      </c>
      <c r="E2480" s="62">
        <v>40308</v>
      </c>
      <c r="F2480" s="285"/>
    </row>
    <row r="2481" spans="1:16" ht="14.25" thickTop="1" thickBot="1">
      <c r="A2481" s="267" t="str">
        <f>C2484</f>
        <v>RODRIGO DOS SANTOS SIQUEIRA</v>
      </c>
      <c r="B2481" s="89" t="s">
        <v>1812</v>
      </c>
      <c r="C2481" s="66" t="s">
        <v>3261</v>
      </c>
      <c r="D2481" s="61">
        <v>10302</v>
      </c>
      <c r="E2481" s="70">
        <v>43805</v>
      </c>
      <c r="F2481" s="284"/>
    </row>
    <row r="2482" spans="1:16" ht="14.25" thickTop="1" thickBot="1">
      <c r="A2482" s="267" t="str">
        <f>C2484</f>
        <v>RODRIGO DOS SANTOS SIQUEIRA</v>
      </c>
      <c r="B2482" s="68" t="s">
        <v>62</v>
      </c>
      <c r="C2482" s="66" t="s">
        <v>505</v>
      </c>
      <c r="D2482" s="65">
        <v>63498</v>
      </c>
      <c r="E2482" s="70">
        <v>42488</v>
      </c>
      <c r="F2482" s="284"/>
    </row>
    <row r="2483" spans="1:16" ht="14.25" thickTop="1" thickBot="1">
      <c r="A2483" s="267" t="str">
        <f>C2485</f>
        <v>RODRIGO ELOI DE ALMEIDA</v>
      </c>
      <c r="B2483" s="68" t="s">
        <v>62</v>
      </c>
      <c r="C2483" s="64" t="s">
        <v>1450</v>
      </c>
      <c r="D2483" s="65">
        <v>63740</v>
      </c>
      <c r="E2483" s="70">
        <v>42909</v>
      </c>
      <c r="F2483" s="284"/>
    </row>
    <row r="2484" spans="1:16" ht="14.25" thickTop="1" thickBot="1">
      <c r="A2484" s="267" t="str">
        <f>C2486</f>
        <v>RODRIGO FEDESHI</v>
      </c>
      <c r="B2484" s="68" t="s">
        <v>62</v>
      </c>
      <c r="C2484" s="66" t="s">
        <v>382</v>
      </c>
      <c r="D2484" s="65">
        <v>63935</v>
      </c>
      <c r="E2484" s="62">
        <v>40850</v>
      </c>
      <c r="F2484" s="285"/>
    </row>
    <row r="2485" spans="1:16" ht="14.25" thickTop="1" thickBot="1">
      <c r="A2485" s="267"/>
      <c r="B2485" s="68" t="s">
        <v>62</v>
      </c>
      <c r="C2485" s="64" t="s">
        <v>1560</v>
      </c>
      <c r="D2485" s="65">
        <v>52163</v>
      </c>
      <c r="E2485" s="62">
        <v>40491</v>
      </c>
      <c r="F2485" s="285"/>
    </row>
    <row r="2486" spans="1:16" ht="14.25" thickTop="1" thickBot="1">
      <c r="A2486" s="267"/>
      <c r="B2486" s="68" t="s">
        <v>1306</v>
      </c>
      <c r="C2486" s="77" t="s">
        <v>3384</v>
      </c>
      <c r="D2486" s="61">
        <v>161730</v>
      </c>
      <c r="E2486" s="62">
        <v>43850</v>
      </c>
      <c r="F2486" s="285"/>
    </row>
    <row r="2487" spans="1:16" ht="14.25" thickTop="1" thickBot="1">
      <c r="A2487" s="267" t="str">
        <f>C2489</f>
        <v>RODRIGO FERREIRA GOMES</v>
      </c>
      <c r="B2487" s="68" t="s">
        <v>62</v>
      </c>
      <c r="C2487" s="66" t="s">
        <v>497</v>
      </c>
      <c r="D2487" s="65">
        <v>63752</v>
      </c>
      <c r="E2487" s="62">
        <v>41467</v>
      </c>
      <c r="F2487" s="285"/>
    </row>
    <row r="2488" spans="1:16" ht="14.25" thickTop="1" thickBot="1">
      <c r="A2488" s="267" t="str">
        <f>C2490</f>
        <v>RODRIGO FIOLA                                     (Dalabona)</v>
      </c>
      <c r="B2488" s="68" t="s">
        <v>1570</v>
      </c>
      <c r="C2488" s="66" t="s">
        <v>2883</v>
      </c>
      <c r="D2488" s="61">
        <v>52987</v>
      </c>
      <c r="E2488" s="70">
        <v>42282</v>
      </c>
      <c r="F2488" s="284"/>
    </row>
    <row r="2489" spans="1:16" ht="14.25" thickTop="1" thickBot="1">
      <c r="A2489" s="267" t="str">
        <f>C2491</f>
        <v>RODRIGO LOURENÇO DA SILVA</v>
      </c>
      <c r="B2489" s="68" t="s">
        <v>1812</v>
      </c>
      <c r="C2489" s="66" t="s">
        <v>258</v>
      </c>
      <c r="D2489" s="65">
        <v>59966</v>
      </c>
      <c r="E2489" s="62">
        <v>40491</v>
      </c>
      <c r="F2489" s="285"/>
    </row>
    <row r="2490" spans="1:16" ht="14.25" thickTop="1" thickBot="1">
      <c r="A2490" s="267" t="str">
        <f>C2492</f>
        <v>RODRIGO MARTINS CORREIA</v>
      </c>
      <c r="B2490" s="68" t="s">
        <v>62</v>
      </c>
      <c r="C2490" s="66" t="s">
        <v>3260</v>
      </c>
      <c r="D2490" s="65"/>
      <c r="E2490" s="62">
        <v>41757</v>
      </c>
      <c r="F2490" s="285"/>
    </row>
    <row r="2491" spans="1:16" ht="14.25" thickTop="1" thickBot="1">
      <c r="A2491" s="392"/>
      <c r="B2491" s="395" t="s">
        <v>3594</v>
      </c>
      <c r="C2491" s="77" t="s">
        <v>3445</v>
      </c>
      <c r="D2491" s="82"/>
      <c r="E2491" s="61">
        <v>106369</v>
      </c>
      <c r="F2491" s="402"/>
      <c r="G2491" s="407"/>
      <c r="H2491" s="408"/>
      <c r="I2491" s="407"/>
      <c r="J2491" s="408"/>
      <c r="K2491" s="199" t="str">
        <f>HYPERLINK(CONCATENATE("http://www.spr.depen.pr.gov.br/centralvagas/exibirFoto.jpg?numProntuario=",$E2491,"&amp;idImagem=1"),"FOTO 1")</f>
        <v>FOTO 1</v>
      </c>
      <c r="L2491" s="199" t="str">
        <f>HYPERLINK(CONCATENATE("http://www.spr.depen.pr.gov.br/centralvagas/exibirFoto.jpg?numProntuario=",$E2491,"&amp;idImagem=2"),"FOTO 2")</f>
        <v>FOTO 2</v>
      </c>
      <c r="M2491" s="199" t="str">
        <f>HYPERLINK(CONCATENATE("http://www.spr.depen.pr.gov.br/centralvagas/exibirFoto.jpg?numProntuario=",$E2491,"&amp;idImagem=3"),"FOTO 3")</f>
        <v>FOTO 3</v>
      </c>
      <c r="N2491" s="199" t="str">
        <f>HYPERLINK(CONCATENATE("http://www.spr.depen.pr.gov.br/centralvagas/exibirFoto.jpg?numProntuario=",$E2491,"&amp;idImagem=4"),"FOTO 4")</f>
        <v>FOTO 4</v>
      </c>
      <c r="O2491" s="199" t="str">
        <f>HYPERLINK(CONCATENATE("http://www.spr.depen.pr.gov.br/centralvagas/exibirFoto.jpg?numProntuario=",$E2491,"&amp;idImagem=5"),"FOTO 5")</f>
        <v>FOTO 5</v>
      </c>
      <c r="P2491" s="199" t="str">
        <f>HYPERLINK(CONCATENATE("http://www.spr.depen.pr.gov.br/centralvagas/exibirFoto.jpg?numProntuario=",$E2491,"&amp;idImagem=6"),"FOTO 6")</f>
        <v>FOTO 6</v>
      </c>
    </row>
    <row r="2492" spans="1:16" ht="14.25" thickTop="1" thickBot="1">
      <c r="A2492" s="267" t="str">
        <f>C2494</f>
        <v>RODRIGO NABOSNY</v>
      </c>
      <c r="B2492" s="68" t="s">
        <v>62</v>
      </c>
      <c r="C2492" s="66" t="s">
        <v>1927</v>
      </c>
      <c r="D2492" s="312">
        <v>63836</v>
      </c>
      <c r="E2492" s="62">
        <v>40243</v>
      </c>
      <c r="F2492" s="285"/>
    </row>
    <row r="2493" spans="1:16" ht="14.25" thickTop="1" thickBot="1">
      <c r="A2493" s="267" t="str">
        <f>C2495</f>
        <v>RODRIGO RODRIGUES</v>
      </c>
      <c r="B2493" s="68" t="s">
        <v>62</v>
      </c>
      <c r="C2493" s="64" t="s">
        <v>609</v>
      </c>
      <c r="D2493" s="65">
        <v>63908</v>
      </c>
      <c r="E2493" s="62">
        <v>42240</v>
      </c>
      <c r="F2493" s="285"/>
    </row>
    <row r="2494" spans="1:16" ht="14.25" thickTop="1" thickBot="1">
      <c r="A2494" s="267" t="str">
        <f>C2496</f>
        <v>RODRIGO RODRIGUES DA CRUZ</v>
      </c>
      <c r="B2494" s="68" t="s">
        <v>62</v>
      </c>
      <c r="C2494" s="64" t="s">
        <v>1051</v>
      </c>
      <c r="D2494" s="69">
        <v>63908</v>
      </c>
      <c r="E2494" s="62">
        <v>42048</v>
      </c>
      <c r="F2494" s="285"/>
    </row>
    <row r="2495" spans="1:16" ht="14.25" thickTop="1" thickBot="1">
      <c r="A2495" s="267"/>
      <c r="B2495" s="68" t="s">
        <v>62</v>
      </c>
      <c r="C2495" s="64" t="s">
        <v>681</v>
      </c>
      <c r="D2495" s="65">
        <v>27196</v>
      </c>
      <c r="E2495" s="62">
        <v>39316</v>
      </c>
      <c r="F2495" s="285"/>
    </row>
    <row r="2496" spans="1:16" ht="14.25" thickTop="1" thickBot="1">
      <c r="A2496" s="267" t="str">
        <f t="shared" ref="A2496:A2509" si="106">C2498</f>
        <v>RODRIGO ROSA</v>
      </c>
      <c r="B2496" s="67" t="s">
        <v>2406</v>
      </c>
      <c r="C2496" s="192" t="s">
        <v>1044</v>
      </c>
      <c r="D2496" s="191">
        <v>27196</v>
      </c>
      <c r="E2496" s="62">
        <v>43756</v>
      </c>
      <c r="F2496" s="285"/>
    </row>
    <row r="2497" spans="1:6" ht="14.25" thickTop="1" thickBot="1">
      <c r="A2497" s="267" t="str">
        <f t="shared" si="106"/>
        <v>RODRIGO SOARES DA SILVA</v>
      </c>
      <c r="B2497" s="68" t="s">
        <v>62</v>
      </c>
      <c r="C2497" s="66" t="s">
        <v>632</v>
      </c>
      <c r="D2497" s="177"/>
      <c r="E2497" s="62">
        <v>42179</v>
      </c>
      <c r="F2497" s="285"/>
    </row>
    <row r="2498" spans="1:6" ht="14.25" thickTop="1" thickBot="1">
      <c r="A2498" s="267" t="str">
        <f t="shared" si="106"/>
        <v>RODRIGO VENANCIO PEREIRA CHAVES</v>
      </c>
      <c r="B2498" s="68" t="s">
        <v>62</v>
      </c>
      <c r="C2498" s="66" t="s">
        <v>1364</v>
      </c>
      <c r="D2498" s="61">
        <v>27010</v>
      </c>
      <c r="E2498" s="62">
        <v>42837</v>
      </c>
      <c r="F2498" s="285"/>
    </row>
    <row r="2499" spans="1:6" ht="14.25" thickTop="1" thickBot="1">
      <c r="A2499" s="267" t="str">
        <f t="shared" si="106"/>
        <v>ROGERIO CARLOS DOS SANTOS</v>
      </c>
      <c r="B2499" s="68" t="s">
        <v>62</v>
      </c>
      <c r="C2499" s="66" t="s">
        <v>176</v>
      </c>
      <c r="D2499" s="65">
        <v>102294</v>
      </c>
      <c r="E2499" s="62">
        <v>41885</v>
      </c>
      <c r="F2499" s="285"/>
    </row>
    <row r="2500" spans="1:6" ht="14.25" thickTop="1" thickBot="1">
      <c r="A2500" s="267" t="str">
        <f t="shared" si="106"/>
        <v>ROGERIO DA SILVA LEITE</v>
      </c>
      <c r="B2500" s="68" t="s">
        <v>2347</v>
      </c>
      <c r="C2500" s="66" t="s">
        <v>1043</v>
      </c>
      <c r="D2500" s="67"/>
      <c r="E2500" s="62">
        <v>43346</v>
      </c>
      <c r="F2500" s="285"/>
    </row>
    <row r="2501" spans="1:6" ht="14.25" thickTop="1" thickBot="1">
      <c r="A2501" s="267" t="str">
        <f t="shared" si="106"/>
        <v xml:space="preserve">ROGERIO DE LIMA        </v>
      </c>
      <c r="B2501" s="68" t="s">
        <v>62</v>
      </c>
      <c r="C2501" s="66" t="s">
        <v>1212</v>
      </c>
      <c r="D2501" s="65">
        <v>63285</v>
      </c>
      <c r="E2501" s="70">
        <v>42489</v>
      </c>
      <c r="F2501" s="284"/>
    </row>
    <row r="2502" spans="1:6" ht="14.25" thickTop="1" thickBot="1">
      <c r="A2502" s="267" t="str">
        <f t="shared" si="106"/>
        <v>ROGERIO FERNANDES SOARES</v>
      </c>
      <c r="B2502" s="68" t="s">
        <v>62</v>
      </c>
      <c r="C2502" s="77" t="s">
        <v>2280</v>
      </c>
      <c r="D2502" s="61">
        <v>24499</v>
      </c>
      <c r="E2502" s="62">
        <v>41600</v>
      </c>
      <c r="F2502" s="285"/>
    </row>
    <row r="2503" spans="1:6" ht="14.25" thickTop="1" thickBot="1">
      <c r="A2503" s="267" t="str">
        <f t="shared" si="106"/>
        <v>ROGERIO FERREIRA</v>
      </c>
      <c r="B2503" s="68" t="s">
        <v>62</v>
      </c>
      <c r="C2503" s="64" t="s">
        <v>1213</v>
      </c>
      <c r="D2503" s="177"/>
      <c r="E2503" s="97">
        <v>42578</v>
      </c>
      <c r="F2503" s="287"/>
    </row>
    <row r="2504" spans="1:6" ht="14.25" thickTop="1" thickBot="1">
      <c r="A2504" s="267" t="str">
        <f t="shared" si="106"/>
        <v>ROGERIO FRANCISCHINI                              (Burguês / Bacana)</v>
      </c>
      <c r="B2504" s="68" t="s">
        <v>62</v>
      </c>
      <c r="C2504" s="66" t="s">
        <v>1563</v>
      </c>
      <c r="D2504" s="177"/>
      <c r="E2504" s="62">
        <v>43077</v>
      </c>
      <c r="F2504" s="285"/>
    </row>
    <row r="2505" spans="1:6" ht="14.25" thickTop="1" thickBot="1">
      <c r="A2505" s="267" t="str">
        <f t="shared" si="106"/>
        <v>ROGERIO FRANCISCO GONÇALVES</v>
      </c>
      <c r="B2505" s="68" t="s">
        <v>1306</v>
      </c>
      <c r="C2505" s="66" t="s">
        <v>1281</v>
      </c>
      <c r="D2505" s="65">
        <v>8622</v>
      </c>
      <c r="E2505" s="62">
        <v>40661</v>
      </c>
      <c r="F2505" s="285"/>
    </row>
    <row r="2506" spans="1:6" ht="14.25" thickTop="1" thickBot="1">
      <c r="A2506" s="267" t="str">
        <f t="shared" si="106"/>
        <v>ROGERIO INOCENCIO LOPES</v>
      </c>
      <c r="B2506" s="68" t="s">
        <v>62</v>
      </c>
      <c r="C2506" s="66" t="s">
        <v>3259</v>
      </c>
      <c r="D2506" s="61">
        <v>133923</v>
      </c>
      <c r="E2506" s="62">
        <v>42243</v>
      </c>
      <c r="F2506" s="285"/>
    </row>
    <row r="2507" spans="1:6" ht="14.25" thickTop="1" thickBot="1">
      <c r="A2507" s="267" t="str">
        <f t="shared" si="106"/>
        <v>ROGERIO MAYER</v>
      </c>
      <c r="B2507" s="68" t="s">
        <v>62</v>
      </c>
      <c r="C2507" s="64" t="s">
        <v>438</v>
      </c>
      <c r="D2507" s="65">
        <v>27063</v>
      </c>
      <c r="E2507" s="180">
        <v>41901</v>
      </c>
      <c r="F2507" s="286" t="s">
        <v>757</v>
      </c>
    </row>
    <row r="2508" spans="1:6" ht="14.25" thickTop="1" thickBot="1">
      <c r="A2508" s="267" t="str">
        <f t="shared" si="106"/>
        <v>ROGERIO RODRIGUES</v>
      </c>
      <c r="B2508" s="68" t="s">
        <v>62</v>
      </c>
      <c r="C2508" s="66" t="s">
        <v>1259</v>
      </c>
      <c r="D2508" s="65">
        <v>63858</v>
      </c>
      <c r="E2508" s="70">
        <v>42482</v>
      </c>
      <c r="F2508" s="284"/>
    </row>
    <row r="2509" spans="1:6" ht="14.25" thickTop="1" thickBot="1">
      <c r="A2509" s="267" t="str">
        <f t="shared" si="106"/>
        <v>ROMAIR ANTUNES DA SILVA</v>
      </c>
      <c r="B2509" s="68" t="s">
        <v>62</v>
      </c>
      <c r="C2509" s="66" t="s">
        <v>1373</v>
      </c>
      <c r="D2509" s="181">
        <v>63858</v>
      </c>
      <c r="E2509" s="62">
        <v>41043</v>
      </c>
      <c r="F2509" s="285"/>
    </row>
    <row r="2510" spans="1:6" ht="14.25" thickTop="1" thickBot="1">
      <c r="A2510" s="267" t="str">
        <f>C2514</f>
        <v>ROMUALDO CONCEIÇÃO CARDOSO</v>
      </c>
      <c r="B2510" s="68" t="s">
        <v>62</v>
      </c>
      <c r="C2510" s="66" t="s">
        <v>23</v>
      </c>
      <c r="D2510" s="61">
        <v>63515</v>
      </c>
      <c r="E2510" s="62">
        <v>41380</v>
      </c>
      <c r="F2510" s="285"/>
    </row>
    <row r="2511" spans="1:6" ht="14.25" thickTop="1" thickBot="1">
      <c r="A2511" s="267" t="str">
        <f>C2515</f>
        <v>ROMULO ADRIANO CAMARGO</v>
      </c>
      <c r="B2511" s="61" t="s">
        <v>351</v>
      </c>
      <c r="C2511" s="66" t="s">
        <v>1564</v>
      </c>
      <c r="D2511" s="69">
        <v>27289</v>
      </c>
      <c r="E2511" s="62">
        <v>43383</v>
      </c>
      <c r="F2511" s="284"/>
    </row>
    <row r="2512" spans="1:6" ht="14.25" thickTop="1" thickBot="1">
      <c r="A2512" s="267"/>
      <c r="B2512" s="68" t="s">
        <v>1306</v>
      </c>
      <c r="C2512" s="66" t="s">
        <v>1262</v>
      </c>
      <c r="D2512" s="67"/>
      <c r="E2512" s="62">
        <v>40112</v>
      </c>
      <c r="F2512" s="285"/>
    </row>
    <row r="2513" spans="1:20" ht="14.25" thickTop="1" thickBot="1">
      <c r="A2513" s="267" t="str">
        <f>C2516</f>
        <v>ROMULO ADRIANO CAMARGO</v>
      </c>
      <c r="B2513" s="61" t="s">
        <v>1812</v>
      </c>
      <c r="C2513" s="77" t="s">
        <v>2711</v>
      </c>
      <c r="D2513" s="61">
        <v>127543</v>
      </c>
      <c r="E2513" s="62">
        <v>44013</v>
      </c>
      <c r="F2513" s="284"/>
    </row>
    <row r="2514" spans="1:20" ht="14.25" thickTop="1" thickBot="1">
      <c r="A2514" s="267" t="str">
        <f>C2516</f>
        <v>ROMULO ADRIANO CAMARGO</v>
      </c>
      <c r="B2514" s="68" t="s">
        <v>2413</v>
      </c>
      <c r="C2514" s="77" t="s">
        <v>2315</v>
      </c>
      <c r="D2514" s="61">
        <v>142862</v>
      </c>
      <c r="E2514" s="62">
        <v>43749</v>
      </c>
      <c r="F2514" s="285"/>
    </row>
    <row r="2515" spans="1:20" ht="14.25" thickTop="1" thickBot="1">
      <c r="A2515" s="267"/>
      <c r="B2515" s="68"/>
      <c r="C2515" s="332" t="s">
        <v>2329</v>
      </c>
      <c r="D2515" s="334">
        <v>156045</v>
      </c>
      <c r="E2515" s="70"/>
      <c r="F2515" s="284"/>
    </row>
    <row r="2516" spans="1:20" ht="14.25" thickTop="1" thickBot="1">
      <c r="A2516" s="267" t="str">
        <f>C2518</f>
        <v>ROMULO JOSE DA SILVA DE QUADROS</v>
      </c>
      <c r="B2516" s="68" t="s">
        <v>62</v>
      </c>
      <c r="C2516" s="77" t="s">
        <v>2329</v>
      </c>
      <c r="D2516" s="61">
        <v>156045</v>
      </c>
      <c r="E2516" s="62">
        <v>39478</v>
      </c>
      <c r="F2516" s="285"/>
    </row>
    <row r="2517" spans="1:20" ht="14.25" thickTop="1" thickBot="1">
      <c r="A2517" s="267" t="str">
        <f>C2519</f>
        <v>ROMULO MARTINS HOFFMANN</v>
      </c>
      <c r="B2517" s="68" t="s">
        <v>62</v>
      </c>
      <c r="C2517" s="64" t="s">
        <v>1565</v>
      </c>
      <c r="D2517" s="65">
        <v>106600</v>
      </c>
      <c r="E2517" s="62">
        <v>42551</v>
      </c>
      <c r="F2517" s="285"/>
    </row>
    <row r="2518" spans="1:20" ht="14.25" thickTop="1" thickBot="1">
      <c r="A2518" s="267" t="str">
        <f>C2520</f>
        <v>ROMULO NAVARRO DA ROCHA                   (Cascão)</v>
      </c>
      <c r="B2518" s="68" t="s">
        <v>62</v>
      </c>
      <c r="C2518" s="66" t="s">
        <v>1831</v>
      </c>
      <c r="D2518" s="67"/>
      <c r="E2518" s="62">
        <v>41080</v>
      </c>
      <c r="F2518" s="285"/>
    </row>
    <row r="2519" spans="1:20" ht="14.25" thickTop="1" thickBot="1">
      <c r="A2519" s="267"/>
      <c r="B2519" s="67" t="s">
        <v>1522</v>
      </c>
      <c r="C2519" s="64" t="s">
        <v>122</v>
      </c>
      <c r="D2519" s="65">
        <v>10748</v>
      </c>
      <c r="E2519" s="62">
        <v>41351</v>
      </c>
      <c r="F2519" s="285"/>
    </row>
    <row r="2520" spans="1:20" ht="14.25" thickTop="1" thickBot="1">
      <c r="A2520" s="267"/>
      <c r="B2520" s="68" t="s">
        <v>2406</v>
      </c>
      <c r="C2520" s="66" t="s">
        <v>3258</v>
      </c>
      <c r="D2520" s="65">
        <v>56017</v>
      </c>
      <c r="E2520" s="62">
        <v>43627</v>
      </c>
      <c r="F2520" s="285"/>
    </row>
    <row r="2521" spans="1:20" ht="14.25" thickTop="1" thickBot="1">
      <c r="A2521" s="267"/>
      <c r="B2521" s="68" t="s">
        <v>2413</v>
      </c>
      <c r="C2521" s="66" t="s">
        <v>13</v>
      </c>
      <c r="D2521" s="65">
        <v>21884</v>
      </c>
      <c r="E2521" s="62"/>
      <c r="F2521" s="285"/>
    </row>
    <row r="2522" spans="1:20" ht="14.25" thickTop="1" thickBot="1">
      <c r="A2522" s="267" t="s">
        <v>2502</v>
      </c>
      <c r="B2522" s="68" t="s">
        <v>1522</v>
      </c>
      <c r="C2522" s="60" t="s">
        <v>1621</v>
      </c>
      <c r="D2522" s="65"/>
      <c r="E2522" s="62">
        <v>41354</v>
      </c>
      <c r="F2522" s="285"/>
    </row>
    <row r="2523" spans="1:20" ht="14.25" thickTop="1" thickBot="1">
      <c r="A2523" s="274" t="s">
        <v>2761</v>
      </c>
      <c r="B2523" s="68" t="s">
        <v>2406</v>
      </c>
      <c r="C2523" s="64" t="s">
        <v>3486</v>
      </c>
      <c r="D2523" s="65">
        <v>7113</v>
      </c>
      <c r="E2523" s="70">
        <v>44130</v>
      </c>
      <c r="F2523" s="287"/>
      <c r="G2523" s="408"/>
      <c r="H2523" s="410"/>
      <c r="I2523" s="346"/>
      <c r="J2523" s="408"/>
      <c r="K2523" s="407"/>
      <c r="L2523" s="408"/>
      <c r="M2523" s="407"/>
      <c r="N2523" s="408"/>
      <c r="O2523" s="199"/>
      <c r="P2523" s="199"/>
      <c r="Q2523" s="199"/>
      <c r="R2523" s="199"/>
      <c r="S2523" s="199"/>
      <c r="T2523" s="199"/>
    </row>
    <row r="2524" spans="1:20" ht="14.25" thickTop="1" thickBot="1">
      <c r="A2524" s="267"/>
      <c r="B2524" s="68" t="s">
        <v>1264</v>
      </c>
      <c r="C2524" s="66" t="s">
        <v>272</v>
      </c>
      <c r="D2524" s="61">
        <v>122855</v>
      </c>
      <c r="E2524" s="62">
        <v>43614</v>
      </c>
      <c r="F2524" s="285"/>
    </row>
    <row r="2525" spans="1:20" ht="14.25" thickTop="1" thickBot="1">
      <c r="A2525" s="267" t="str">
        <f t="shared" ref="A2525:A2530" si="107">C2527</f>
        <v>RONALDO FERREIRA</v>
      </c>
      <c r="B2525" s="67" t="s">
        <v>1522</v>
      </c>
      <c r="C2525" s="66" t="s">
        <v>1735</v>
      </c>
      <c r="D2525" s="65">
        <v>68147</v>
      </c>
      <c r="E2525" s="62">
        <v>41955</v>
      </c>
      <c r="F2525" s="285"/>
    </row>
    <row r="2526" spans="1:20" ht="14.25" thickTop="1" thickBot="1">
      <c r="A2526" s="267" t="str">
        <f t="shared" si="107"/>
        <v>RONALDO PEREIRA DA LUZ</v>
      </c>
      <c r="B2526" s="67"/>
      <c r="C2526" s="66" t="s">
        <v>2502</v>
      </c>
      <c r="D2526" s="65"/>
      <c r="E2526" s="62">
        <v>41757</v>
      </c>
      <c r="F2526" s="285"/>
    </row>
    <row r="2527" spans="1:20" ht="14.25" thickTop="1" thickBot="1">
      <c r="A2527" s="267" t="str">
        <f t="shared" si="107"/>
        <v>RONALDO RIBEIRO DA LUZ</v>
      </c>
      <c r="B2527" s="68" t="s">
        <v>1812</v>
      </c>
      <c r="C2527" s="64" t="s">
        <v>82</v>
      </c>
      <c r="D2527" s="65">
        <v>11088</v>
      </c>
      <c r="E2527" s="62">
        <v>40653</v>
      </c>
      <c r="F2527" s="285"/>
    </row>
    <row r="2528" spans="1:20" ht="14.25" thickTop="1" thickBot="1">
      <c r="A2528" s="267" t="str">
        <f t="shared" si="107"/>
        <v>RONALDO RIBEIRO DE LIMA</v>
      </c>
      <c r="B2528" s="68" t="s">
        <v>62</v>
      </c>
      <c r="C2528" s="64" t="s">
        <v>680</v>
      </c>
      <c r="D2528" s="61">
        <v>101607</v>
      </c>
      <c r="E2528" s="62">
        <v>41572</v>
      </c>
      <c r="F2528" s="285"/>
    </row>
    <row r="2529" spans="1:6" ht="14.25" thickTop="1" thickBot="1">
      <c r="A2529" s="267" t="str">
        <f t="shared" si="107"/>
        <v>RONALDO RODRIGUES DA SILVA</v>
      </c>
      <c r="B2529" s="68" t="s">
        <v>1570</v>
      </c>
      <c r="C2529" s="66" t="s">
        <v>352</v>
      </c>
      <c r="D2529" s="61">
        <v>101848</v>
      </c>
      <c r="E2529" s="62">
        <v>40653</v>
      </c>
      <c r="F2529" s="285"/>
    </row>
    <row r="2530" spans="1:6" ht="14.25" thickTop="1" thickBot="1">
      <c r="A2530" s="267" t="str">
        <f t="shared" si="107"/>
        <v xml:space="preserve">RONALDO SAMUEL PERES DA SILVA    </v>
      </c>
      <c r="B2530" s="68" t="s">
        <v>2347</v>
      </c>
      <c r="C2530" s="66" t="s">
        <v>286</v>
      </c>
      <c r="D2530" s="67"/>
      <c r="E2530" s="62">
        <v>43346</v>
      </c>
      <c r="F2530" s="285"/>
    </row>
    <row r="2531" spans="1:6" ht="14.25" thickTop="1" thickBot="1">
      <c r="A2531" s="267" t="str">
        <f>C2531</f>
        <v>RONALDO RODRIGUES DA SILVA</v>
      </c>
      <c r="B2531" s="68" t="s">
        <v>2406</v>
      </c>
      <c r="C2531" s="64" t="s">
        <v>2850</v>
      </c>
      <c r="D2531" s="61">
        <v>115050</v>
      </c>
      <c r="E2531" s="62">
        <v>40494</v>
      </c>
      <c r="F2531" s="285"/>
    </row>
    <row r="2532" spans="1:6" ht="14.25" thickTop="1" thickBot="1">
      <c r="A2532" s="267" t="str">
        <f>C2534</f>
        <v>RONAN NONATO DA SILVA                                 (Catarina)</v>
      </c>
      <c r="B2532" s="68" t="s">
        <v>62</v>
      </c>
      <c r="C2532" s="66" t="s">
        <v>1566</v>
      </c>
      <c r="D2532" s="65">
        <v>74141</v>
      </c>
      <c r="E2532" s="62">
        <v>42914</v>
      </c>
      <c r="F2532" s="285"/>
    </row>
    <row r="2533" spans="1:6" ht="14.25" thickTop="1" thickBot="1">
      <c r="A2533" s="267" t="str">
        <f>C2535</f>
        <v>RONER JEAN FERREIRA</v>
      </c>
      <c r="B2533" s="68" t="s">
        <v>62</v>
      </c>
      <c r="C2533" s="66" t="s">
        <v>2266</v>
      </c>
      <c r="D2533" s="61">
        <v>142863</v>
      </c>
      <c r="E2533" s="62">
        <v>40473</v>
      </c>
      <c r="F2533" s="285"/>
    </row>
    <row r="2534" spans="1:6" ht="14.25" thickTop="1" thickBot="1">
      <c r="A2534" s="267" t="str">
        <f>C2536</f>
        <v>RONER JEAN FERREIRA</v>
      </c>
      <c r="B2534" s="68" t="s">
        <v>62</v>
      </c>
      <c r="C2534" s="66" t="s">
        <v>3257</v>
      </c>
      <c r="D2534" s="61">
        <v>27184</v>
      </c>
      <c r="E2534" s="70">
        <v>42247</v>
      </c>
      <c r="F2534" s="284"/>
    </row>
    <row r="2535" spans="1:6" ht="14.25" thickTop="1" thickBot="1">
      <c r="A2535" s="267" t="str">
        <f>C2537</f>
        <v>RONI CESAR DE ALMEIDA SEBERINO</v>
      </c>
      <c r="B2535" s="68" t="s">
        <v>62</v>
      </c>
      <c r="C2535" s="66" t="s">
        <v>2109</v>
      </c>
      <c r="D2535" s="67"/>
      <c r="E2535" s="62">
        <v>41961</v>
      </c>
      <c r="F2535" s="285"/>
    </row>
    <row r="2536" spans="1:6" ht="14.25" thickTop="1" thickBot="1">
      <c r="A2536" s="267" t="s">
        <v>3641</v>
      </c>
      <c r="B2536" s="68" t="s">
        <v>603</v>
      </c>
      <c r="C2536" s="383" t="s">
        <v>2109</v>
      </c>
      <c r="D2536" s="65">
        <v>27184</v>
      </c>
      <c r="E2536" s="70">
        <v>44099</v>
      </c>
      <c r="F2536" s="287"/>
    </row>
    <row r="2537" spans="1:6" ht="14.25" thickTop="1" thickBot="1">
      <c r="A2537" s="267" t="str">
        <f>C2539</f>
        <v xml:space="preserve">ROQUE DOS SANTOS BUENO </v>
      </c>
      <c r="B2537" s="68" t="s">
        <v>62</v>
      </c>
      <c r="C2537" s="66" t="s">
        <v>730</v>
      </c>
      <c r="D2537" s="61">
        <v>21853</v>
      </c>
      <c r="E2537" s="62">
        <v>41646</v>
      </c>
      <c r="F2537" s="285"/>
    </row>
    <row r="2538" spans="1:6" ht="14.25" thickTop="1" thickBot="1">
      <c r="A2538" s="267" t="str">
        <f>C2540</f>
        <v>ROQUE VANDERLEI RIBEIRO</v>
      </c>
      <c r="B2538" s="68" t="s">
        <v>62</v>
      </c>
      <c r="C2538" s="66" t="s">
        <v>568</v>
      </c>
      <c r="D2538" s="65">
        <v>63792</v>
      </c>
      <c r="E2538" s="62">
        <v>42296</v>
      </c>
      <c r="F2538" s="285"/>
    </row>
    <row r="2539" spans="1:6" ht="14.25" thickTop="1" thickBot="1">
      <c r="A2539" s="267" t="str">
        <f>C2541</f>
        <v>ROSALDO FERREIRA DOS SANTOS</v>
      </c>
      <c r="B2539" s="68" t="s">
        <v>62</v>
      </c>
      <c r="C2539" s="66" t="s">
        <v>1214</v>
      </c>
      <c r="D2539" s="61">
        <v>102107</v>
      </c>
      <c r="E2539" s="62">
        <v>41555</v>
      </c>
      <c r="F2539" s="285"/>
    </row>
    <row r="2540" spans="1:6" ht="14.25" thickTop="1" thickBot="1">
      <c r="A2540" s="267" t="str">
        <f>C2542</f>
        <v xml:space="preserve">ROSALDO FERREIRA DOS SANTOS                  </v>
      </c>
      <c r="B2540" s="68" t="s">
        <v>62</v>
      </c>
      <c r="C2540" s="66" t="s">
        <v>1233</v>
      </c>
      <c r="D2540" s="61">
        <v>27219</v>
      </c>
      <c r="E2540" s="62">
        <v>40473</v>
      </c>
      <c r="F2540" s="296"/>
    </row>
    <row r="2541" spans="1:6" ht="14.25" thickTop="1" thickBot="1">
      <c r="A2541" s="267"/>
      <c r="B2541" s="68" t="s">
        <v>2413</v>
      </c>
      <c r="C2541" s="192" t="s">
        <v>2391</v>
      </c>
      <c r="D2541" s="61">
        <v>260959</v>
      </c>
      <c r="E2541" s="62"/>
      <c r="F2541" s="285"/>
    </row>
    <row r="2542" spans="1:6" ht="14.25" thickTop="1" thickBot="1">
      <c r="A2542" s="575"/>
      <c r="B2542" s="71" t="s">
        <v>2413</v>
      </c>
      <c r="C2542" s="377" t="s">
        <v>3639</v>
      </c>
      <c r="D2542" s="69">
        <v>260959</v>
      </c>
      <c r="E2542" s="62">
        <v>44141</v>
      </c>
      <c r="F2542" s="285"/>
    </row>
    <row r="2543" spans="1:6" ht="14.25" thickTop="1" thickBot="1">
      <c r="A2543" s="267" t="str">
        <f>C2545</f>
        <v>ROSEVAL ALVES DE LIMA</v>
      </c>
      <c r="B2543" s="68" t="s">
        <v>62</v>
      </c>
      <c r="C2543" s="66" t="s">
        <v>207</v>
      </c>
      <c r="D2543" s="65">
        <v>63578</v>
      </c>
      <c r="E2543" s="62">
        <v>40679</v>
      </c>
      <c r="F2543" s="285"/>
    </row>
    <row r="2544" spans="1:6" ht="14.25" thickTop="1" thickBot="1">
      <c r="A2544" s="267" t="str">
        <f>C2546</f>
        <v>ROSILDO MACHADO PEDROSO</v>
      </c>
      <c r="B2544" s="68" t="s">
        <v>62</v>
      </c>
      <c r="C2544" s="66" t="s">
        <v>1189</v>
      </c>
      <c r="D2544" s="67"/>
      <c r="E2544" s="62">
        <v>40518</v>
      </c>
      <c r="F2544" s="285"/>
    </row>
    <row r="2545" spans="1:20" ht="14.25" thickTop="1" thickBot="1">
      <c r="A2545" s="267" t="str">
        <f>C2547</f>
        <v>ROSMAR DE OLIVEIRA                     (Chupinho)</v>
      </c>
      <c r="B2545" s="68" t="s">
        <v>62</v>
      </c>
      <c r="C2545" s="66" t="s">
        <v>1567</v>
      </c>
      <c r="D2545" s="69">
        <v>27007</v>
      </c>
      <c r="E2545" s="62">
        <v>41205</v>
      </c>
      <c r="F2545" s="285"/>
    </row>
    <row r="2546" spans="1:20" ht="14.25" thickTop="1" thickBot="1">
      <c r="A2546" s="267" t="str">
        <f>C2548</f>
        <v>ROSNEI GABRIEL VIANTE      (Gabrielzinho)</v>
      </c>
      <c r="B2546" s="68" t="s">
        <v>1306</v>
      </c>
      <c r="C2546" s="66" t="s">
        <v>177</v>
      </c>
      <c r="D2546" s="61">
        <v>65963</v>
      </c>
      <c r="E2546" s="62">
        <v>40518</v>
      </c>
      <c r="F2546" s="285"/>
    </row>
    <row r="2547" spans="1:20" ht="14.25" thickTop="1" thickBot="1">
      <c r="A2547" s="267" t="str">
        <f>C2549</f>
        <v>ROSNEI PINHEIRO</v>
      </c>
      <c r="B2547" s="68" t="s">
        <v>1033</v>
      </c>
      <c r="C2547" s="66" t="s">
        <v>3254</v>
      </c>
      <c r="D2547" s="61">
        <v>63163</v>
      </c>
      <c r="E2547" s="70">
        <v>42319</v>
      </c>
      <c r="F2547" s="284"/>
    </row>
    <row r="2548" spans="1:20" ht="14.25" thickTop="1" thickBot="1">
      <c r="A2548" s="267"/>
      <c r="B2548" s="68" t="s">
        <v>62</v>
      </c>
      <c r="C2548" s="66" t="s">
        <v>3100</v>
      </c>
      <c r="D2548" s="69">
        <v>90104</v>
      </c>
      <c r="E2548" s="70">
        <v>43363</v>
      </c>
      <c r="F2548" s="291"/>
    </row>
    <row r="2549" spans="1:20" ht="14.25" thickTop="1" thickBot="1">
      <c r="A2549" s="267" t="str">
        <f>C2551</f>
        <v>ROSNEY OLIVEIRA  CARNEIRO</v>
      </c>
      <c r="B2549" s="68" t="s">
        <v>2413</v>
      </c>
      <c r="C2549" s="193" t="s">
        <v>1957</v>
      </c>
      <c r="D2549" s="198">
        <v>107301</v>
      </c>
      <c r="E2549" s="70">
        <v>43733</v>
      </c>
      <c r="F2549" s="287"/>
    </row>
    <row r="2550" spans="1:20" ht="14.25" thickTop="1" thickBot="1">
      <c r="A2550" s="267" t="str">
        <f>C2552</f>
        <v>RUBENS ANDRE RODRIGUES RUTH</v>
      </c>
      <c r="B2550" s="68" t="s">
        <v>62</v>
      </c>
      <c r="C2550" s="66" t="s">
        <v>348</v>
      </c>
      <c r="D2550" s="61">
        <v>50407</v>
      </c>
      <c r="E2550" s="62">
        <v>39959</v>
      </c>
      <c r="F2550" s="285"/>
    </row>
    <row r="2551" spans="1:20" ht="14.25" thickTop="1" thickBot="1">
      <c r="A2551" s="268" t="s">
        <v>2483</v>
      </c>
      <c r="B2551" s="68" t="s">
        <v>62</v>
      </c>
      <c r="C2551" s="60" t="s">
        <v>2181</v>
      </c>
      <c r="D2551" s="61">
        <v>142747</v>
      </c>
      <c r="E2551" s="62">
        <v>40763</v>
      </c>
      <c r="F2551" s="285"/>
    </row>
    <row r="2552" spans="1:20" ht="14.25" thickTop="1" thickBot="1">
      <c r="A2552" s="276" t="s">
        <v>2229</v>
      </c>
      <c r="B2552" s="61" t="s">
        <v>2406</v>
      </c>
      <c r="C2552" s="246" t="s">
        <v>2483</v>
      </c>
      <c r="D2552" s="65">
        <v>161893</v>
      </c>
      <c r="E2552" s="70">
        <v>43860</v>
      </c>
      <c r="F2552" s="284"/>
      <c r="G2552" s="408"/>
      <c r="H2552" s="410"/>
      <c r="I2552" s="346"/>
      <c r="J2552" s="84"/>
      <c r="K2552" s="439"/>
      <c r="L2552" s="84"/>
      <c r="M2552" s="439"/>
      <c r="N2552" s="84"/>
      <c r="O2552" s="199"/>
      <c r="P2552" s="199"/>
      <c r="Q2552" s="199"/>
      <c r="R2552" s="199"/>
      <c r="S2552" s="199"/>
      <c r="T2552" s="199"/>
    </row>
    <row r="2553" spans="1:20" ht="14.25" thickTop="1" thickBot="1">
      <c r="A2553" s="267" t="str">
        <f t="shared" ref="A2553:A2561" si="108">C2555</f>
        <v>RUDI CESAR RIBEIRO</v>
      </c>
      <c r="B2553" s="68" t="s">
        <v>126</v>
      </c>
      <c r="C2553" s="64" t="s">
        <v>1389</v>
      </c>
      <c r="D2553" s="65"/>
      <c r="E2553" s="62">
        <v>43398</v>
      </c>
      <c r="F2553" s="285"/>
    </row>
    <row r="2554" spans="1:20" ht="14.25" thickTop="1" thickBot="1">
      <c r="A2554" s="267" t="str">
        <f t="shared" si="108"/>
        <v>SAILON DA SILVA CESAR                          (Zé Gotinha)</v>
      </c>
      <c r="B2554" s="68" t="s">
        <v>62</v>
      </c>
      <c r="C2554" s="66" t="s">
        <v>228</v>
      </c>
      <c r="D2554" s="65">
        <v>63958</v>
      </c>
      <c r="E2554" s="73">
        <v>41019</v>
      </c>
      <c r="F2554" s="285"/>
    </row>
    <row r="2555" spans="1:20" ht="14.25" thickTop="1" thickBot="1">
      <c r="A2555" s="267" t="str">
        <f t="shared" si="108"/>
        <v>SALVADOR VICENTE PEREIRA JUNIOR</v>
      </c>
      <c r="B2555" s="68" t="s">
        <v>62</v>
      </c>
      <c r="C2555" s="60" t="s">
        <v>2360</v>
      </c>
      <c r="D2555" s="61">
        <v>119766</v>
      </c>
      <c r="E2555" s="62">
        <v>42914</v>
      </c>
      <c r="F2555" s="285"/>
    </row>
    <row r="2556" spans="1:20" ht="14.25" thickTop="1" thickBot="1">
      <c r="A2556" s="267" t="str">
        <f t="shared" si="108"/>
        <v xml:space="preserve">SAMUEL ALMEIDA DA SILVA   </v>
      </c>
      <c r="B2556" s="68" t="s">
        <v>62</v>
      </c>
      <c r="C2556" s="66" t="s">
        <v>3255</v>
      </c>
      <c r="D2556" s="65">
        <v>63822</v>
      </c>
      <c r="E2556" s="180">
        <v>42232</v>
      </c>
      <c r="F2556" s="286" t="s">
        <v>1660</v>
      </c>
    </row>
    <row r="2557" spans="1:20" ht="14.25" thickTop="1" thickBot="1">
      <c r="A2557" s="267" t="str">
        <f t="shared" si="108"/>
        <v>SAMUEL CORREIA LEITE                       (Samuca)</v>
      </c>
      <c r="B2557" s="68" t="s">
        <v>98</v>
      </c>
      <c r="C2557" s="66" t="s">
        <v>1215</v>
      </c>
      <c r="D2557" s="65">
        <v>63137</v>
      </c>
      <c r="E2557" s="62">
        <v>39239</v>
      </c>
      <c r="F2557" s="285"/>
    </row>
    <row r="2558" spans="1:20" ht="14.25" thickTop="1" thickBot="1">
      <c r="A2558" s="267" t="str">
        <f t="shared" si="108"/>
        <v>SAMUEL DA CRUZ WEISS</v>
      </c>
      <c r="B2558" s="68" t="s">
        <v>62</v>
      </c>
      <c r="C2558" s="66" t="s">
        <v>1216</v>
      </c>
      <c r="D2558" s="61">
        <v>24074</v>
      </c>
      <c r="E2558" s="70">
        <v>42718</v>
      </c>
      <c r="F2558" s="287"/>
    </row>
    <row r="2559" spans="1:20" ht="14.25" thickTop="1" thickBot="1">
      <c r="A2559" s="267" t="str">
        <f t="shared" si="108"/>
        <v>SAMUEL RIBEIRO                  (Zóio)</v>
      </c>
      <c r="B2559" s="68" t="s">
        <v>62</v>
      </c>
      <c r="C2559" s="66" t="s">
        <v>3256</v>
      </c>
      <c r="D2559" s="61">
        <v>10535</v>
      </c>
      <c r="E2559" s="62">
        <v>41582</v>
      </c>
      <c r="F2559" s="285"/>
    </row>
    <row r="2560" spans="1:20" ht="14.25" thickTop="1" thickBot="1">
      <c r="A2560" s="267" t="str">
        <f t="shared" si="108"/>
        <v>SANDRO ALEX DIAS DE OLIVEIRA</v>
      </c>
      <c r="B2560" s="68" t="s">
        <v>62</v>
      </c>
      <c r="C2560" s="66" t="s">
        <v>1065</v>
      </c>
      <c r="D2560" s="61">
        <v>21855</v>
      </c>
      <c r="E2560" s="62">
        <v>42703</v>
      </c>
      <c r="F2560" s="285"/>
    </row>
    <row r="2561" spans="1:6" ht="14.25" thickTop="1" thickBot="1">
      <c r="A2561" s="267" t="str">
        <f t="shared" si="108"/>
        <v>SANDRO BIANCHI                    (Bambam / Bunda)</v>
      </c>
      <c r="B2561" s="68" t="s">
        <v>62</v>
      </c>
      <c r="C2561" s="66" t="s">
        <v>3253</v>
      </c>
      <c r="D2561" s="65">
        <v>63843</v>
      </c>
      <c r="E2561" s="62">
        <v>40759</v>
      </c>
      <c r="F2561" s="285"/>
    </row>
    <row r="2562" spans="1:6" ht="14.25" thickTop="1" thickBot="1">
      <c r="A2562" s="267"/>
      <c r="B2562" s="68" t="s">
        <v>2413</v>
      </c>
      <c r="C2562" s="66" t="s">
        <v>2312</v>
      </c>
      <c r="D2562" s="61">
        <v>112162</v>
      </c>
      <c r="E2562" s="62">
        <v>44062</v>
      </c>
      <c r="F2562" s="285"/>
    </row>
    <row r="2563" spans="1:6" ht="14.25" thickTop="1" thickBot="1">
      <c r="A2563" s="267" t="str">
        <f>C2565</f>
        <v>SANDRO GERALDA DA SILVA</v>
      </c>
      <c r="B2563" s="68" t="s">
        <v>1306</v>
      </c>
      <c r="C2563" s="66" t="s">
        <v>3252</v>
      </c>
      <c r="D2563" s="65">
        <v>63995</v>
      </c>
      <c r="E2563" s="62">
        <v>41380</v>
      </c>
      <c r="F2563" s="285"/>
    </row>
    <row r="2564" spans="1:6" ht="14.25" thickTop="1" thickBot="1">
      <c r="A2564" s="268"/>
      <c r="B2564" s="68" t="s">
        <v>546</v>
      </c>
      <c r="C2564" s="66" t="s">
        <v>203</v>
      </c>
      <c r="D2564" s="65">
        <v>55708</v>
      </c>
      <c r="E2564" s="62">
        <v>42485</v>
      </c>
      <c r="F2564" s="285"/>
    </row>
    <row r="2565" spans="1:6" ht="14.25" thickTop="1" thickBot="1">
      <c r="A2565" s="267"/>
      <c r="B2565" s="68" t="s">
        <v>2413</v>
      </c>
      <c r="C2565" s="66" t="s">
        <v>3634</v>
      </c>
      <c r="D2565" s="61">
        <v>51678</v>
      </c>
      <c r="E2565" s="62">
        <v>44126</v>
      </c>
      <c r="F2565" s="285"/>
    </row>
    <row r="2566" spans="1:6" ht="14.25" thickTop="1" thickBot="1">
      <c r="A2566" s="267" t="str">
        <f>C2568</f>
        <v>SANDRO RAFAEL TEIXEIRA DE MORAES</v>
      </c>
      <c r="B2566" s="89" t="s">
        <v>2413</v>
      </c>
      <c r="C2566" s="77" t="s">
        <v>2144</v>
      </c>
      <c r="D2566" s="61">
        <v>123278</v>
      </c>
      <c r="E2566" s="70">
        <v>43670</v>
      </c>
      <c r="F2566" s="284"/>
    </row>
    <row r="2567" spans="1:6" ht="14.25" thickTop="1" thickBot="1">
      <c r="A2567" s="267"/>
      <c r="B2567" s="68" t="s">
        <v>62</v>
      </c>
      <c r="C2567" s="66" t="s">
        <v>67</v>
      </c>
      <c r="D2567" s="67"/>
      <c r="E2567" s="62">
        <v>42291</v>
      </c>
      <c r="F2567" s="285"/>
    </row>
    <row r="2568" spans="1:6" ht="14.25" thickTop="1" thickBot="1">
      <c r="A2568" s="267" t="str">
        <f>C2570</f>
        <v>SANDRO SANTOS PIRES</v>
      </c>
      <c r="B2568" s="68" t="s">
        <v>1812</v>
      </c>
      <c r="C2568" s="66" t="s">
        <v>2794</v>
      </c>
      <c r="D2568" s="198">
        <v>55708</v>
      </c>
      <c r="E2568" s="70">
        <v>43718</v>
      </c>
      <c r="F2568" s="287"/>
    </row>
    <row r="2569" spans="1:6" ht="14.25" thickTop="1" thickBot="1">
      <c r="A2569" s="267" t="str">
        <f>C2571</f>
        <v>SANDRO SCHOBER</v>
      </c>
      <c r="B2569" s="68" t="s">
        <v>62</v>
      </c>
      <c r="C2569" s="66" t="s">
        <v>237</v>
      </c>
      <c r="D2569" s="61">
        <v>100669</v>
      </c>
      <c r="E2569" s="62">
        <v>40486</v>
      </c>
      <c r="F2569" s="285"/>
    </row>
    <row r="2570" spans="1:6" ht="14.25" thickTop="1" thickBot="1">
      <c r="A2570" s="267" t="str">
        <f>C2572</f>
        <v>SAULO DA SILVA PALHANO</v>
      </c>
      <c r="B2570" s="68" t="s">
        <v>62</v>
      </c>
      <c r="C2570" s="66" t="s">
        <v>257</v>
      </c>
      <c r="D2570" s="61">
        <v>27332</v>
      </c>
      <c r="E2570" s="70">
        <v>42325</v>
      </c>
      <c r="F2570" s="284"/>
    </row>
    <row r="2571" spans="1:6" ht="14.25" thickTop="1" thickBot="1">
      <c r="A2571" s="267"/>
      <c r="B2571" s="68" t="s">
        <v>62</v>
      </c>
      <c r="C2571" s="66" t="s">
        <v>143</v>
      </c>
      <c r="D2571" s="65">
        <v>55708</v>
      </c>
      <c r="E2571" s="62">
        <v>41207</v>
      </c>
      <c r="F2571" s="296"/>
    </row>
    <row r="2572" spans="1:6" ht="14.25" thickTop="1" thickBot="1">
      <c r="A2572" s="267"/>
      <c r="B2572" s="68" t="s">
        <v>62</v>
      </c>
      <c r="C2572" s="66" t="s">
        <v>1568</v>
      </c>
      <c r="D2572" s="65">
        <v>63618</v>
      </c>
      <c r="E2572" s="62">
        <v>41625</v>
      </c>
      <c r="F2572" s="285"/>
    </row>
    <row r="2573" spans="1:6" ht="14.25" thickTop="1" thickBot="1">
      <c r="A2573" s="267"/>
      <c r="B2573" s="68" t="s">
        <v>2820</v>
      </c>
      <c r="C2573" s="324" t="s">
        <v>1568</v>
      </c>
      <c r="D2573" s="61">
        <v>63618</v>
      </c>
      <c r="E2573" s="62">
        <v>43861</v>
      </c>
      <c r="F2573" s="285"/>
    </row>
    <row r="2574" spans="1:6" ht="14.25" thickTop="1" thickBot="1">
      <c r="A2574" s="267"/>
      <c r="B2574" s="68" t="s">
        <v>2406</v>
      </c>
      <c r="C2574" s="60" t="s">
        <v>2690</v>
      </c>
      <c r="D2574" s="61">
        <v>161894</v>
      </c>
      <c r="E2574" s="62">
        <v>44012</v>
      </c>
      <c r="F2574" s="285"/>
    </row>
    <row r="2575" spans="1:6" ht="14.25" thickTop="1" thickBot="1">
      <c r="A2575" s="267" t="str">
        <f>C2577</f>
        <v>SEBASTIÃO CARLITO SOARES</v>
      </c>
      <c r="B2575" s="68" t="s">
        <v>62</v>
      </c>
      <c r="C2575" s="66" t="s">
        <v>1095</v>
      </c>
      <c r="D2575" s="67"/>
      <c r="E2575" s="62">
        <v>39255</v>
      </c>
      <c r="F2575" s="285"/>
    </row>
    <row r="2576" spans="1:6" ht="14.25" thickTop="1" thickBot="1">
      <c r="A2576" s="267" t="str">
        <f>C2578</f>
        <v>SEBASTIAO DANIEL PEDROSO DE LIMA    (Maconha)</v>
      </c>
      <c r="B2576" s="68" t="s">
        <v>62</v>
      </c>
      <c r="C2576" s="66" t="s">
        <v>4</v>
      </c>
      <c r="D2576" s="65"/>
      <c r="E2576" s="62">
        <v>41043</v>
      </c>
      <c r="F2576" s="285"/>
    </row>
    <row r="2577" spans="1:6" ht="14.25" thickTop="1" thickBot="1">
      <c r="A2577" s="267"/>
      <c r="B2577" s="68" t="s">
        <v>62</v>
      </c>
      <c r="C2577" s="66" t="s">
        <v>244</v>
      </c>
      <c r="D2577" s="65">
        <v>27216</v>
      </c>
      <c r="E2577" s="70">
        <v>42492</v>
      </c>
      <c r="F2577" s="284"/>
    </row>
    <row r="2578" spans="1:6" ht="14.25" thickTop="1" thickBot="1">
      <c r="A2578" s="267" t="str">
        <f t="shared" ref="A2578:A2588" si="109">C2580</f>
        <v>SEBASTIAO GILBERTO LEODORO            (Jerico)</v>
      </c>
      <c r="B2578" s="68" t="s">
        <v>2406</v>
      </c>
      <c r="C2578" s="66" t="s">
        <v>2884</v>
      </c>
      <c r="D2578" s="61">
        <v>27216</v>
      </c>
      <c r="E2578" s="70">
        <v>43776</v>
      </c>
      <c r="F2578" s="284"/>
    </row>
    <row r="2579" spans="1:6" ht="14.25" thickTop="1" thickBot="1">
      <c r="A2579" s="267" t="str">
        <f t="shared" si="109"/>
        <v>SEBASTIAO MARCONDES PAES</v>
      </c>
      <c r="B2579" s="68" t="s">
        <v>62</v>
      </c>
      <c r="C2579" s="66" t="s">
        <v>2885</v>
      </c>
      <c r="D2579" s="65"/>
      <c r="E2579" s="70">
        <v>42913</v>
      </c>
      <c r="F2579" s="284"/>
    </row>
    <row r="2580" spans="1:6" ht="14.25" thickTop="1" thickBot="1">
      <c r="A2580" s="267" t="str">
        <f t="shared" si="109"/>
        <v xml:space="preserve">SEBASTIAO PEREIRA DOS SANTOS </v>
      </c>
      <c r="B2580" s="68" t="s">
        <v>62</v>
      </c>
      <c r="C2580" s="66" t="s">
        <v>3251</v>
      </c>
      <c r="D2580" s="65">
        <v>7029</v>
      </c>
      <c r="E2580" s="70">
        <v>42913</v>
      </c>
      <c r="F2580" s="284"/>
    </row>
    <row r="2581" spans="1:6" ht="14.25" thickTop="1" thickBot="1">
      <c r="A2581" s="282" t="str">
        <f t="shared" si="109"/>
        <v>SEBASTIAO ROCHA DA SILVA</v>
      </c>
      <c r="B2581" s="68" t="s">
        <v>62</v>
      </c>
      <c r="C2581" s="66" t="s">
        <v>468</v>
      </c>
      <c r="D2581" s="67"/>
      <c r="E2581" s="70">
        <v>42913</v>
      </c>
      <c r="F2581" s="284"/>
    </row>
    <row r="2582" spans="1:6" ht="14.25" thickTop="1" thickBot="1">
      <c r="A2582" s="282" t="str">
        <f t="shared" si="109"/>
        <v>SERGIO ADRIANO FERREIRA DA SILVA    (Cadela)</v>
      </c>
      <c r="B2582" s="68" t="s">
        <v>62</v>
      </c>
      <c r="C2582" s="64" t="s">
        <v>53</v>
      </c>
      <c r="D2582" s="67"/>
      <c r="E2582" s="70">
        <v>42913</v>
      </c>
      <c r="F2582" s="284"/>
    </row>
    <row r="2583" spans="1:6" ht="14.25" thickTop="1" thickBot="1">
      <c r="A2583" s="267" t="str">
        <f t="shared" si="109"/>
        <v>SERGIO BELO DA SILVA</v>
      </c>
      <c r="B2583" s="68" t="s">
        <v>62</v>
      </c>
      <c r="C2583" s="64" t="s">
        <v>469</v>
      </c>
      <c r="D2583" s="67"/>
      <c r="E2583" s="70">
        <v>42913</v>
      </c>
      <c r="F2583" s="284"/>
    </row>
    <row r="2584" spans="1:6" ht="14.25" thickTop="1" thickBot="1">
      <c r="A2584" s="267" t="str">
        <f t="shared" si="109"/>
        <v>SERGIO BUENO DE CAMARGO      (Xalico / Cruchico)</v>
      </c>
      <c r="B2584" s="68" t="s">
        <v>25</v>
      </c>
      <c r="C2584" s="64" t="s">
        <v>2886</v>
      </c>
      <c r="D2584" s="65">
        <v>45932</v>
      </c>
      <c r="E2584" s="70">
        <v>42913</v>
      </c>
      <c r="F2584" s="284"/>
    </row>
    <row r="2585" spans="1:6" ht="14.25" thickTop="1" thickBot="1">
      <c r="A2585" s="267" t="str">
        <f t="shared" si="109"/>
        <v>SERGIO DA SILVA PAIVA</v>
      </c>
      <c r="B2585" s="68" t="s">
        <v>25</v>
      </c>
      <c r="C2585" s="66" t="s">
        <v>1261</v>
      </c>
      <c r="D2585" s="67"/>
      <c r="E2585" s="70">
        <v>42913</v>
      </c>
      <c r="F2585" s="284"/>
    </row>
    <row r="2586" spans="1:6" ht="14.25" thickTop="1" thickBot="1">
      <c r="A2586" s="267" t="str">
        <f t="shared" si="109"/>
        <v>SERGIO DE FREITAS</v>
      </c>
      <c r="B2586" s="68" t="s">
        <v>62</v>
      </c>
      <c r="C2586" s="64" t="s">
        <v>3101</v>
      </c>
      <c r="D2586" s="65">
        <v>27021</v>
      </c>
      <c r="E2586" s="70">
        <v>42913</v>
      </c>
      <c r="F2586" s="284"/>
    </row>
    <row r="2587" spans="1:6" ht="14.25" thickTop="1" thickBot="1">
      <c r="A2587" s="267" t="str">
        <f t="shared" si="109"/>
        <v>SERGIO FRANCISCO</v>
      </c>
      <c r="B2587" s="68" t="s">
        <v>62</v>
      </c>
      <c r="C2587" s="64" t="s">
        <v>54</v>
      </c>
      <c r="D2587" s="65">
        <v>63788</v>
      </c>
      <c r="E2587" s="62">
        <v>43545</v>
      </c>
      <c r="F2587" s="284"/>
    </row>
    <row r="2588" spans="1:6" ht="14.25" thickTop="1" thickBot="1">
      <c r="A2588" s="267" t="str">
        <f t="shared" si="109"/>
        <v>SERGIO GONÇALVES DE MEIRA</v>
      </c>
      <c r="B2588" s="61" t="s">
        <v>2413</v>
      </c>
      <c r="C2588" s="66" t="s">
        <v>1535</v>
      </c>
      <c r="D2588" s="61">
        <v>101361</v>
      </c>
      <c r="E2588" s="70">
        <v>43648</v>
      </c>
      <c r="F2588" s="284"/>
    </row>
    <row r="2589" spans="1:6" ht="14.25" thickTop="1" thickBot="1">
      <c r="A2589" s="267"/>
      <c r="B2589" s="68" t="s">
        <v>62</v>
      </c>
      <c r="C2589" s="66" t="s">
        <v>55</v>
      </c>
      <c r="D2589" s="61">
        <v>103176</v>
      </c>
      <c r="E2589" s="70">
        <v>42913</v>
      </c>
      <c r="F2589" s="284"/>
    </row>
    <row r="2590" spans="1:6" ht="14.25" thickTop="1" thickBot="1">
      <c r="A2590" s="267"/>
      <c r="B2590" s="68" t="s">
        <v>2406</v>
      </c>
      <c r="C2590" s="78" t="s">
        <v>2871</v>
      </c>
      <c r="D2590" s="65">
        <v>103176</v>
      </c>
      <c r="E2590" s="62">
        <v>43867</v>
      </c>
      <c r="F2590" s="285"/>
    </row>
    <row r="2591" spans="1:6" ht="14.25" thickTop="1" thickBot="1">
      <c r="A2591" s="267" t="str">
        <f t="shared" ref="A2591:A2614" si="110">C2593</f>
        <v>SERGIO LUIS FERNANDES</v>
      </c>
      <c r="B2591" s="68" t="s">
        <v>62</v>
      </c>
      <c r="C2591" s="173" t="s">
        <v>2887</v>
      </c>
      <c r="D2591" s="61">
        <v>101369</v>
      </c>
      <c r="E2591" s="70">
        <v>42913</v>
      </c>
      <c r="F2591" s="284"/>
    </row>
    <row r="2592" spans="1:6" ht="14.25" thickTop="1" thickBot="1">
      <c r="A2592" s="267" t="str">
        <f t="shared" si="110"/>
        <v>SERGIO LUIZ ALVES DOS SANTOS</v>
      </c>
      <c r="B2592" s="68" t="s">
        <v>62</v>
      </c>
      <c r="C2592" s="66" t="s">
        <v>457</v>
      </c>
      <c r="D2592" s="67"/>
      <c r="E2592" s="70">
        <v>42913</v>
      </c>
      <c r="F2592" s="284"/>
    </row>
    <row r="2593" spans="1:256" ht="14.25" thickTop="1" thickBot="1">
      <c r="A2593" s="267" t="str">
        <f t="shared" si="110"/>
        <v>SERGIO LUIZ DA SILVA FERREIRA</v>
      </c>
      <c r="B2593" s="68" t="s">
        <v>62</v>
      </c>
      <c r="C2593" s="66" t="s">
        <v>448</v>
      </c>
      <c r="D2593" s="65">
        <v>63420</v>
      </c>
      <c r="E2593" s="70">
        <v>43537</v>
      </c>
      <c r="F2593" s="284"/>
    </row>
    <row r="2594" spans="1:256" ht="14.25" thickTop="1" thickBot="1">
      <c r="A2594" s="267" t="str">
        <f t="shared" si="110"/>
        <v>SERGIO LUIZ DA SILVA FERREIRA</v>
      </c>
      <c r="B2594" s="68" t="s">
        <v>2061</v>
      </c>
      <c r="C2594" s="64" t="s">
        <v>540</v>
      </c>
      <c r="D2594" s="61">
        <v>116756</v>
      </c>
      <c r="E2594" s="70">
        <v>42331</v>
      </c>
      <c r="F2594" s="284"/>
    </row>
    <row r="2595" spans="1:256" ht="14.25" thickTop="1" thickBot="1">
      <c r="A2595" s="267" t="str">
        <f t="shared" si="110"/>
        <v>SERGIO LUIZ PEREIRA</v>
      </c>
      <c r="B2595" s="68" t="s">
        <v>62</v>
      </c>
      <c r="C2595" s="66" t="s">
        <v>808</v>
      </c>
      <c r="D2595" s="61">
        <v>161739</v>
      </c>
      <c r="E2595" s="62"/>
      <c r="F2595" s="285"/>
    </row>
    <row r="2596" spans="1:256" ht="14.25" thickTop="1" thickBot="1">
      <c r="A2596" s="267" t="str">
        <f t="shared" si="110"/>
        <v>SERGIO PAULO VALENTIM</v>
      </c>
      <c r="B2596" s="68" t="s">
        <v>2061</v>
      </c>
      <c r="C2596" s="66" t="s">
        <v>808</v>
      </c>
      <c r="D2596" s="61">
        <v>27227</v>
      </c>
      <c r="E2596" s="70">
        <v>42523</v>
      </c>
      <c r="F2596" s="287"/>
    </row>
    <row r="2597" spans="1:256" ht="14.25" thickTop="1" thickBot="1">
      <c r="A2597" s="267" t="str">
        <f t="shared" si="110"/>
        <v>SERGIO RAMOS                                  (Polaco)</v>
      </c>
      <c r="B2597" s="68" t="s">
        <v>62</v>
      </c>
      <c r="C2597" s="66" t="s">
        <v>1723</v>
      </c>
      <c r="D2597" s="61">
        <v>101533</v>
      </c>
      <c r="E2597" s="70">
        <v>42909</v>
      </c>
      <c r="F2597" s="284"/>
    </row>
    <row r="2598" spans="1:256" ht="14.25" thickTop="1" thickBot="1">
      <c r="A2598" s="267" t="str">
        <f t="shared" si="110"/>
        <v>SEVERINO DO RAMO NASCIMENTO</v>
      </c>
      <c r="B2598" s="68" t="s">
        <v>62</v>
      </c>
      <c r="C2598" s="66" t="s">
        <v>426</v>
      </c>
      <c r="D2598" s="69">
        <v>27130</v>
      </c>
      <c r="E2598" s="62">
        <v>42944</v>
      </c>
      <c r="F2598" s="285"/>
    </row>
    <row r="2599" spans="1:256" ht="14.25" thickTop="1" thickBot="1">
      <c r="A2599" s="267" t="str">
        <f t="shared" si="110"/>
        <v>SEVERO PEREIRA DA SILVA</v>
      </c>
      <c r="B2599" s="68" t="s">
        <v>62</v>
      </c>
      <c r="C2599" s="66" t="s">
        <v>3250</v>
      </c>
      <c r="D2599" s="67"/>
      <c r="E2599" s="62">
        <v>43241</v>
      </c>
      <c r="F2599" s="285"/>
    </row>
    <row r="2600" spans="1:256" ht="14.25" thickTop="1" thickBot="1">
      <c r="A2600" s="267" t="str">
        <f t="shared" si="110"/>
        <v>SHAULIN KIOMA CLAUDINEI DOS SANTOS</v>
      </c>
      <c r="B2600" s="68" t="s">
        <v>1306</v>
      </c>
      <c r="C2600" s="66" t="s">
        <v>95</v>
      </c>
      <c r="D2600" s="172">
        <v>70758</v>
      </c>
      <c r="E2600" s="62">
        <v>41634</v>
      </c>
      <c r="F2600" s="285"/>
    </row>
    <row r="2601" spans="1:256" ht="14.25" thickTop="1" thickBot="1">
      <c r="A2601" s="267" t="str">
        <f t="shared" si="110"/>
        <v>SIDIMAR INÁCIO</v>
      </c>
      <c r="B2601" s="68" t="s">
        <v>1522</v>
      </c>
      <c r="C2601" s="66" t="s">
        <v>90</v>
      </c>
      <c r="D2601" s="61">
        <v>104042</v>
      </c>
      <c r="E2601" s="62">
        <v>41789</v>
      </c>
      <c r="F2601" s="285"/>
    </row>
    <row r="2602" spans="1:256" ht="14.25" thickTop="1" thickBot="1">
      <c r="A2602" s="267" t="str">
        <f t="shared" si="110"/>
        <v>SIDNEI ANTUNES DA SILVA       (Pingo)</v>
      </c>
      <c r="B2602" s="68" t="s">
        <v>62</v>
      </c>
      <c r="C2602" s="66" t="s">
        <v>1760</v>
      </c>
      <c r="D2602" s="312">
        <v>63826</v>
      </c>
      <c r="E2602" s="62">
        <v>42240</v>
      </c>
      <c r="F2602" s="285"/>
    </row>
    <row r="2603" spans="1:256" ht="14.25" thickTop="1" thickBot="1">
      <c r="A2603" s="267" t="str">
        <f t="shared" si="110"/>
        <v>SIDNEI BANDELOW</v>
      </c>
      <c r="B2603" s="68" t="s">
        <v>62</v>
      </c>
      <c r="C2603" s="78" t="s">
        <v>2169</v>
      </c>
      <c r="D2603" s="65">
        <v>63456</v>
      </c>
      <c r="E2603" s="62">
        <v>41529</v>
      </c>
      <c r="F2603" s="285"/>
    </row>
    <row r="2604" spans="1:256" ht="14.25" thickTop="1" thickBot="1">
      <c r="A2604" s="267" t="str">
        <f t="shared" si="110"/>
        <v>SIDNEI DA SILVA PARANHOS     (Paulista / São Paulo)</v>
      </c>
      <c r="B2604" s="67" t="s">
        <v>25</v>
      </c>
      <c r="C2604" s="66" t="s">
        <v>3102</v>
      </c>
      <c r="D2604" s="67"/>
      <c r="E2604" s="62">
        <v>43077</v>
      </c>
      <c r="F2604" s="285"/>
    </row>
    <row r="2605" spans="1:256" ht="14.25" thickTop="1" thickBot="1">
      <c r="A2605" s="267" t="str">
        <f t="shared" si="110"/>
        <v>SIDNEI MACIEL DE OLIVEIRA</v>
      </c>
      <c r="B2605" s="68" t="s">
        <v>62</v>
      </c>
      <c r="C2605" s="66" t="s">
        <v>56</v>
      </c>
      <c r="D2605" s="61">
        <v>92334</v>
      </c>
      <c r="E2605" s="62">
        <v>40988</v>
      </c>
      <c r="F2605" s="285"/>
    </row>
    <row r="2606" spans="1:256" s="36" customFormat="1" ht="14.1" customHeight="1" thickTop="1" thickBot="1">
      <c r="A2606" s="267" t="str">
        <f t="shared" si="110"/>
        <v>SIDNEI PACHECO PROCOPIO          (Foz / Vaca)</v>
      </c>
      <c r="B2606" s="68" t="s">
        <v>62</v>
      </c>
      <c r="C2606" s="66" t="s">
        <v>2888</v>
      </c>
      <c r="D2606" s="61"/>
      <c r="E2606" s="62">
        <v>43315</v>
      </c>
      <c r="F2606" s="285"/>
      <c r="G2606" s="37"/>
      <c r="H2606" s="37"/>
      <c r="I2606" s="37"/>
      <c r="J2606" s="37"/>
      <c r="K2606" s="37"/>
      <c r="L2606" s="37"/>
      <c r="M2606" s="37"/>
      <c r="N2606" s="37"/>
      <c r="O2606" s="37"/>
      <c r="P2606" s="37"/>
      <c r="Q2606" s="37"/>
      <c r="R2606" s="37"/>
      <c r="S2606" s="37"/>
      <c r="T2606" s="37"/>
      <c r="U2606" s="37"/>
      <c r="V2606" s="37"/>
      <c r="W2606" s="37"/>
      <c r="X2606" s="37"/>
      <c r="Y2606" s="37"/>
      <c r="Z2606" s="37"/>
      <c r="AA2606" s="37"/>
      <c r="AB2606" s="37"/>
      <c r="AC2606" s="37"/>
      <c r="AD2606" s="37"/>
      <c r="AE2606" s="37"/>
      <c r="AF2606" s="37"/>
      <c r="AG2606" s="37"/>
      <c r="AH2606" s="37"/>
      <c r="AI2606" s="37"/>
      <c r="AJ2606" s="37"/>
      <c r="AK2606" s="37"/>
      <c r="AL2606" s="37"/>
      <c r="AM2606" s="37"/>
      <c r="AN2606" s="37"/>
      <c r="AO2606" s="37"/>
      <c r="AP2606" s="37"/>
      <c r="AQ2606" s="37"/>
      <c r="AR2606" s="37"/>
      <c r="AS2606" s="37"/>
      <c r="AT2606" s="37"/>
      <c r="AU2606" s="37"/>
      <c r="AV2606" s="37"/>
      <c r="AW2606" s="37"/>
      <c r="AX2606" s="37"/>
      <c r="AY2606" s="37"/>
      <c r="AZ2606" s="37"/>
      <c r="BA2606" s="37"/>
      <c r="BB2606" s="37"/>
      <c r="BC2606" s="37"/>
      <c r="BD2606" s="37"/>
      <c r="BE2606" s="37"/>
      <c r="BF2606" s="37"/>
      <c r="BG2606" s="37"/>
      <c r="BH2606" s="37"/>
      <c r="BI2606" s="37"/>
      <c r="BJ2606" s="37"/>
      <c r="BK2606" s="37"/>
      <c r="BL2606" s="37"/>
      <c r="BM2606" s="37"/>
      <c r="BN2606" s="37"/>
      <c r="BO2606" s="37"/>
      <c r="BP2606" s="37"/>
      <c r="BQ2606" s="37"/>
      <c r="BR2606" s="37"/>
      <c r="BS2606" s="37"/>
      <c r="BT2606" s="37"/>
      <c r="BU2606" s="37"/>
      <c r="BV2606" s="37"/>
      <c r="BW2606" s="37"/>
      <c r="BX2606" s="37"/>
      <c r="BY2606" s="37"/>
      <c r="BZ2606" s="37"/>
      <c r="CA2606" s="37"/>
      <c r="CB2606" s="37"/>
      <c r="CC2606" s="37"/>
      <c r="CD2606" s="37"/>
      <c r="CE2606" s="37"/>
      <c r="CF2606" s="37"/>
      <c r="CG2606" s="37"/>
      <c r="CH2606" s="37"/>
      <c r="CI2606" s="37"/>
      <c r="CJ2606" s="37"/>
      <c r="CK2606" s="37"/>
      <c r="CL2606" s="37"/>
      <c r="CM2606" s="37"/>
      <c r="CN2606" s="37"/>
      <c r="CO2606" s="37"/>
      <c r="CP2606" s="37"/>
      <c r="CQ2606" s="37"/>
      <c r="CR2606" s="37"/>
      <c r="CS2606" s="37"/>
      <c r="CT2606" s="37"/>
      <c r="CU2606" s="37"/>
      <c r="CV2606" s="37"/>
      <c r="CW2606" s="37"/>
      <c r="CX2606" s="37"/>
      <c r="CY2606" s="37"/>
      <c r="CZ2606" s="37"/>
      <c r="DA2606" s="37"/>
      <c r="DB2606" s="37"/>
      <c r="DC2606" s="37"/>
      <c r="DD2606" s="37"/>
      <c r="DE2606" s="37"/>
      <c r="DF2606" s="37"/>
      <c r="DG2606" s="37"/>
      <c r="DH2606" s="37"/>
      <c r="DI2606" s="37"/>
      <c r="DJ2606" s="37"/>
      <c r="DK2606" s="37"/>
      <c r="DL2606" s="37"/>
      <c r="DM2606" s="37"/>
      <c r="DN2606" s="37"/>
      <c r="DO2606" s="37"/>
      <c r="DP2606" s="37"/>
      <c r="DQ2606" s="37"/>
      <c r="DR2606" s="37"/>
      <c r="DS2606" s="37"/>
      <c r="DT2606" s="37"/>
      <c r="DU2606" s="37"/>
      <c r="DV2606" s="37"/>
      <c r="DW2606" s="37"/>
      <c r="DX2606" s="37"/>
      <c r="DY2606" s="37"/>
      <c r="DZ2606" s="37"/>
      <c r="EA2606" s="37"/>
      <c r="EB2606" s="37"/>
      <c r="EC2606" s="37"/>
      <c r="ED2606" s="37"/>
      <c r="EE2606" s="37"/>
      <c r="EF2606" s="37"/>
      <c r="EG2606" s="37"/>
      <c r="EH2606" s="37"/>
      <c r="EI2606" s="37"/>
      <c r="EJ2606" s="37"/>
      <c r="EK2606" s="37"/>
      <c r="EL2606" s="37"/>
      <c r="EM2606" s="37"/>
      <c r="EN2606" s="37"/>
      <c r="EO2606" s="37"/>
      <c r="EP2606" s="37"/>
      <c r="EQ2606" s="37"/>
      <c r="ER2606" s="37"/>
      <c r="ES2606" s="37"/>
      <c r="ET2606" s="37"/>
      <c r="EU2606" s="37"/>
      <c r="EV2606" s="37"/>
      <c r="EW2606" s="37"/>
      <c r="EX2606" s="37"/>
      <c r="EY2606" s="37"/>
      <c r="EZ2606" s="37"/>
      <c r="FA2606" s="37"/>
      <c r="FB2606" s="37"/>
      <c r="FC2606" s="37"/>
      <c r="FD2606" s="37"/>
      <c r="FE2606" s="37"/>
      <c r="FF2606" s="37"/>
      <c r="FG2606" s="37"/>
      <c r="FH2606" s="37"/>
      <c r="FI2606" s="37"/>
      <c r="FJ2606" s="37"/>
      <c r="FK2606" s="37"/>
      <c r="FL2606" s="37"/>
      <c r="FM2606" s="37"/>
      <c r="FN2606" s="37"/>
      <c r="FO2606" s="37"/>
      <c r="FP2606" s="37"/>
      <c r="FQ2606" s="37"/>
      <c r="FR2606" s="37"/>
      <c r="FS2606" s="37"/>
      <c r="FT2606" s="37"/>
      <c r="FU2606" s="37"/>
      <c r="FV2606" s="37"/>
      <c r="FW2606" s="37"/>
      <c r="FX2606" s="37"/>
      <c r="FY2606" s="37"/>
      <c r="FZ2606" s="37"/>
      <c r="GA2606" s="37"/>
      <c r="GB2606" s="37"/>
      <c r="GC2606" s="37"/>
      <c r="GD2606" s="37"/>
      <c r="GE2606" s="37"/>
      <c r="GF2606" s="37"/>
      <c r="GG2606" s="37"/>
      <c r="GH2606" s="37"/>
      <c r="GI2606" s="37"/>
      <c r="GJ2606" s="37"/>
      <c r="GK2606" s="37"/>
      <c r="GL2606" s="37"/>
      <c r="GM2606" s="37"/>
      <c r="GN2606" s="37"/>
      <c r="GO2606" s="37"/>
      <c r="GP2606" s="37"/>
      <c r="GQ2606" s="37"/>
      <c r="GR2606" s="37"/>
      <c r="GS2606" s="37"/>
      <c r="GT2606" s="37"/>
      <c r="GU2606" s="37"/>
      <c r="GV2606" s="37"/>
      <c r="GW2606" s="37"/>
      <c r="GX2606" s="37"/>
      <c r="GY2606" s="37"/>
      <c r="GZ2606" s="37"/>
      <c r="HA2606" s="37"/>
      <c r="HB2606" s="37"/>
      <c r="HC2606" s="37"/>
      <c r="HD2606" s="37"/>
      <c r="HE2606" s="37"/>
      <c r="HF2606" s="37"/>
      <c r="HG2606" s="37"/>
      <c r="HH2606" s="37"/>
      <c r="HI2606" s="37"/>
      <c r="HJ2606" s="37"/>
      <c r="HK2606" s="37"/>
      <c r="HL2606" s="37"/>
      <c r="HM2606" s="37"/>
      <c r="HN2606" s="37"/>
      <c r="HO2606" s="37"/>
      <c r="HP2606" s="37"/>
      <c r="HQ2606" s="37"/>
      <c r="HR2606" s="37"/>
      <c r="HS2606" s="37"/>
      <c r="HT2606" s="37"/>
      <c r="HU2606" s="37"/>
      <c r="HV2606" s="37"/>
      <c r="HW2606" s="37"/>
      <c r="HX2606" s="37"/>
      <c r="HY2606" s="37"/>
      <c r="HZ2606" s="37"/>
      <c r="IA2606" s="37"/>
      <c r="IB2606" s="37"/>
      <c r="IC2606" s="37"/>
      <c r="ID2606" s="37"/>
      <c r="IE2606" s="37"/>
      <c r="IF2606" s="37"/>
      <c r="IG2606" s="37"/>
      <c r="IH2606" s="37"/>
      <c r="II2606" s="37"/>
      <c r="IJ2606" s="37"/>
      <c r="IK2606" s="37"/>
      <c r="IL2606" s="37"/>
      <c r="IM2606" s="37"/>
      <c r="IN2606" s="37"/>
      <c r="IO2606" s="37"/>
      <c r="IP2606" s="37"/>
      <c r="IQ2606" s="37"/>
      <c r="IR2606" s="37"/>
      <c r="IS2606" s="37"/>
      <c r="IT2606" s="37"/>
      <c r="IU2606" s="37"/>
      <c r="IV2606" s="37"/>
    </row>
    <row r="2607" spans="1:256" ht="14.25" thickTop="1" thickBot="1">
      <c r="A2607" s="267" t="str">
        <f t="shared" si="110"/>
        <v>SIDNEI SARNOSKI NEGREIROS           (Quibe / Marrom)</v>
      </c>
      <c r="B2607" s="68" t="s">
        <v>62</v>
      </c>
      <c r="C2607" s="66" t="s">
        <v>2228</v>
      </c>
      <c r="D2607" s="61">
        <v>110966</v>
      </c>
      <c r="E2607" s="62">
        <v>41019</v>
      </c>
      <c r="F2607" s="285"/>
    </row>
    <row r="2608" spans="1:256" ht="14.25" thickTop="1" thickBot="1">
      <c r="A2608" s="267" t="str">
        <f t="shared" si="110"/>
        <v>SIDNEI VAZ</v>
      </c>
      <c r="B2608" s="68" t="s">
        <v>62</v>
      </c>
      <c r="C2608" s="66" t="s">
        <v>3249</v>
      </c>
      <c r="D2608" s="61">
        <v>27023</v>
      </c>
      <c r="E2608" s="62">
        <v>42590</v>
      </c>
      <c r="F2608" s="285"/>
    </row>
    <row r="2609" spans="1:256" ht="14.25" thickTop="1" thickBot="1">
      <c r="A2609" s="267" t="str">
        <f t="shared" si="110"/>
        <v>SIDNEY LOPES LEITE</v>
      </c>
      <c r="B2609" s="68" t="s">
        <v>62</v>
      </c>
      <c r="C2609" s="66" t="s">
        <v>3248</v>
      </c>
      <c r="D2609" s="61">
        <v>63872</v>
      </c>
      <c r="E2609" s="62">
        <v>40868</v>
      </c>
      <c r="F2609" s="285"/>
    </row>
    <row r="2610" spans="1:256" ht="14.25" thickTop="1" thickBot="1">
      <c r="A2610" s="267" t="str">
        <f t="shared" si="110"/>
        <v>SILAS DE MORAIS NETO</v>
      </c>
      <c r="B2610" s="67" t="s">
        <v>846</v>
      </c>
      <c r="C2610" s="66" t="s">
        <v>1809</v>
      </c>
      <c r="D2610" s="65">
        <v>63872</v>
      </c>
      <c r="E2610" s="62">
        <v>42704</v>
      </c>
      <c r="F2610" s="285"/>
    </row>
    <row r="2611" spans="1:256" ht="14.25" thickTop="1" thickBot="1">
      <c r="A2611" s="267" t="str">
        <f t="shared" si="110"/>
        <v>SILSO VIEIRA SIMÃO</v>
      </c>
      <c r="B2611" s="68" t="s">
        <v>62</v>
      </c>
      <c r="C2611" s="66" t="s">
        <v>198</v>
      </c>
      <c r="D2611" s="61"/>
      <c r="E2611" s="62">
        <v>41647</v>
      </c>
      <c r="F2611" s="285"/>
    </row>
    <row r="2612" spans="1:256" ht="14.25" thickTop="1" thickBot="1">
      <c r="A2612" s="267" t="str">
        <f t="shared" si="110"/>
        <v>SILVANO DE LIMA</v>
      </c>
      <c r="B2612" s="68" t="s">
        <v>516</v>
      </c>
      <c r="C2612" s="66" t="s">
        <v>611</v>
      </c>
      <c r="D2612" s="69">
        <v>90017</v>
      </c>
      <c r="E2612" s="62">
        <v>39601</v>
      </c>
      <c r="F2612" s="285"/>
    </row>
    <row r="2613" spans="1:256" ht="14.25" thickTop="1" thickBot="1">
      <c r="A2613" s="267" t="str">
        <f t="shared" si="110"/>
        <v>SILVANO PALHANO</v>
      </c>
      <c r="B2613" s="68" t="s">
        <v>62</v>
      </c>
      <c r="C2613" s="66" t="s">
        <v>1064</v>
      </c>
      <c r="D2613" s="61">
        <v>63219</v>
      </c>
      <c r="E2613" s="62">
        <v>39601</v>
      </c>
      <c r="F2613" s="285"/>
    </row>
    <row r="2614" spans="1:256" ht="14.25" thickTop="1" thickBot="1">
      <c r="A2614" s="267" t="str">
        <f t="shared" si="110"/>
        <v>SILVIO DOS ANJOS CARVALHO        (Covero)</v>
      </c>
      <c r="B2614" s="68" t="s">
        <v>1033</v>
      </c>
      <c r="C2614" s="66" t="s">
        <v>981</v>
      </c>
      <c r="D2614" s="65">
        <v>63799</v>
      </c>
      <c r="E2614" s="62"/>
      <c r="F2614" s="285"/>
    </row>
    <row r="2615" spans="1:256" ht="14.25" thickTop="1" thickBot="1">
      <c r="A2615" s="267" t="s">
        <v>1711</v>
      </c>
      <c r="B2615" s="68" t="s">
        <v>62</v>
      </c>
      <c r="C2615" s="66" t="s">
        <v>844</v>
      </c>
      <c r="D2615" s="67"/>
      <c r="E2615" s="62">
        <v>40745</v>
      </c>
      <c r="F2615" s="285"/>
    </row>
    <row r="2616" spans="1:256" ht="14.25" thickTop="1" thickBot="1">
      <c r="A2616" s="267" t="str">
        <f>C2618</f>
        <v>SILVIO FERNANDES</v>
      </c>
      <c r="B2616" s="68" t="s">
        <v>2413</v>
      </c>
      <c r="C2616" s="66" t="s">
        <v>3247</v>
      </c>
      <c r="D2616" s="61">
        <v>27274</v>
      </c>
      <c r="E2616" s="62"/>
      <c r="F2616" s="285"/>
    </row>
    <row r="2617" spans="1:256" ht="14.25" thickTop="1" thickBot="1">
      <c r="A2617" s="267" t="s">
        <v>2622</v>
      </c>
      <c r="B2617" s="67" t="s">
        <v>25</v>
      </c>
      <c r="C2617" s="66" t="s">
        <v>401</v>
      </c>
      <c r="D2617" s="65"/>
      <c r="E2617" s="62">
        <v>40326</v>
      </c>
      <c r="F2617" s="285"/>
    </row>
    <row r="2618" spans="1:256" ht="14.25" thickTop="1" thickBot="1">
      <c r="A2618" s="267" t="str">
        <f>C2620</f>
        <v>SILVIO JOSE STADLER</v>
      </c>
      <c r="B2618" s="68" t="s">
        <v>2413</v>
      </c>
      <c r="C2618" s="64" t="s">
        <v>1711</v>
      </c>
      <c r="D2618" s="65">
        <v>102465</v>
      </c>
      <c r="E2618" s="62">
        <v>43529</v>
      </c>
      <c r="F2618" s="285"/>
    </row>
    <row r="2619" spans="1:256" ht="14.25" thickTop="1" thickBot="1">
      <c r="A2619" s="267" t="str">
        <f>C2621</f>
        <v>SILVIO PAIZANI BARCZCZ</v>
      </c>
      <c r="B2619" s="68" t="s">
        <v>25</v>
      </c>
      <c r="C2619" s="64" t="s">
        <v>1280</v>
      </c>
      <c r="D2619" s="67"/>
      <c r="E2619" s="62">
        <v>42704</v>
      </c>
      <c r="F2619" s="285"/>
    </row>
    <row r="2620" spans="1:256" ht="14.25" thickTop="1" thickBot="1">
      <c r="A2620" s="267"/>
      <c r="B2620" s="68" t="s">
        <v>1298</v>
      </c>
      <c r="C2620" s="66" t="s">
        <v>1572</v>
      </c>
      <c r="D2620" s="61">
        <v>113217</v>
      </c>
      <c r="E2620" s="62">
        <v>42038</v>
      </c>
      <c r="F2620" s="285"/>
    </row>
    <row r="2621" spans="1:256" ht="14.25" thickTop="1" thickBot="1">
      <c r="A2621" s="267" t="str">
        <f t="shared" ref="A2621:A2629" si="111">C2623</f>
        <v>SILVONEY APARECIDO DOS SANTOS</v>
      </c>
      <c r="B2621" s="68" t="s">
        <v>1665</v>
      </c>
      <c r="C2621" s="64" t="s">
        <v>608</v>
      </c>
      <c r="D2621" s="61">
        <v>117803</v>
      </c>
      <c r="E2621" s="62">
        <v>39938</v>
      </c>
      <c r="F2621" s="285"/>
    </row>
    <row r="2622" spans="1:256" ht="14.25" thickTop="1" thickBot="1">
      <c r="A2622" s="267" t="str">
        <f t="shared" si="111"/>
        <v>SOUVENIR MACIEL NETO</v>
      </c>
      <c r="B2622" s="68" t="s">
        <v>62</v>
      </c>
      <c r="C2622" s="66" t="s">
        <v>537</v>
      </c>
      <c r="D2622" s="177"/>
      <c r="E2622" s="62">
        <v>43040</v>
      </c>
      <c r="F2622" s="289"/>
    </row>
    <row r="2623" spans="1:256" ht="14.25" thickTop="1" thickBot="1">
      <c r="A2623" s="267" t="str">
        <f t="shared" si="111"/>
        <v xml:space="preserve">TABERTON BRUNO CORREIA VICENTE </v>
      </c>
      <c r="B2623" s="68" t="s">
        <v>62</v>
      </c>
      <c r="C2623" s="66" t="s">
        <v>1648</v>
      </c>
      <c r="D2623" s="67"/>
      <c r="E2623" s="62">
        <v>40128</v>
      </c>
      <c r="F2623" s="285"/>
    </row>
    <row r="2624" spans="1:256" ht="14.25" thickTop="1" thickBot="1">
      <c r="A2624" s="267" t="str">
        <f t="shared" si="111"/>
        <v>TARCISIO ALVES DOS SANTOS</v>
      </c>
      <c r="B2624" s="68" t="s">
        <v>1983</v>
      </c>
      <c r="C2624" s="66" t="s">
        <v>1162</v>
      </c>
      <c r="D2624" s="66"/>
      <c r="E2624" s="62">
        <v>39556</v>
      </c>
      <c r="F2624" s="285"/>
      <c r="G2624" s="36"/>
      <c r="H2624" s="54"/>
      <c r="I2624" s="36"/>
      <c r="J2624" s="36"/>
      <c r="K2624" s="36"/>
      <c r="L2624" s="36"/>
      <c r="M2624" s="36"/>
      <c r="N2624" s="36"/>
      <c r="O2624" s="36"/>
      <c r="P2624" s="36"/>
      <c r="Q2624" s="36"/>
      <c r="R2624" s="36"/>
      <c r="S2624" s="36"/>
      <c r="T2624" s="36"/>
      <c r="U2624" s="36"/>
      <c r="V2624" s="36"/>
      <c r="W2624" s="36"/>
      <c r="X2624" s="36"/>
      <c r="Y2624" s="36"/>
      <c r="Z2624" s="36"/>
      <c r="AA2624" s="36"/>
      <c r="AB2624" s="36"/>
      <c r="AC2624" s="36"/>
      <c r="AD2624" s="36"/>
      <c r="AE2624" s="36"/>
      <c r="AF2624" s="36"/>
      <c r="AG2624" s="36"/>
      <c r="AH2624" s="36"/>
      <c r="AI2624" s="36"/>
      <c r="AJ2624" s="36"/>
      <c r="AK2624" s="36"/>
      <c r="AL2624" s="36"/>
      <c r="AM2624" s="36"/>
      <c r="AN2624" s="36"/>
      <c r="AO2624" s="36"/>
      <c r="AP2624" s="36"/>
      <c r="AQ2624" s="36"/>
      <c r="AR2624" s="36"/>
      <c r="AS2624" s="36"/>
      <c r="AT2624" s="36"/>
      <c r="AU2624" s="36"/>
      <c r="AV2624" s="36"/>
      <c r="AW2624" s="36"/>
      <c r="AX2624" s="36"/>
      <c r="AY2624" s="36"/>
      <c r="AZ2624" s="36"/>
      <c r="BA2624" s="36"/>
      <c r="BB2624" s="36"/>
      <c r="BC2624" s="36"/>
      <c r="BD2624" s="36"/>
      <c r="BE2624" s="36"/>
      <c r="BF2624" s="36"/>
      <c r="BG2624" s="36"/>
      <c r="BH2624" s="36"/>
      <c r="BI2624" s="36"/>
      <c r="BJ2624" s="36"/>
      <c r="BK2624" s="36"/>
      <c r="BL2624" s="36"/>
      <c r="BM2624" s="36"/>
      <c r="BN2624" s="36"/>
      <c r="BO2624" s="36"/>
      <c r="BP2624" s="36"/>
      <c r="BQ2624" s="36"/>
      <c r="BR2624" s="36"/>
      <c r="BS2624" s="36"/>
      <c r="BT2624" s="36"/>
      <c r="BU2624" s="36"/>
      <c r="BV2624" s="36"/>
      <c r="BW2624" s="36"/>
      <c r="BX2624" s="36"/>
      <c r="BY2624" s="36"/>
      <c r="BZ2624" s="36"/>
      <c r="CA2624" s="36"/>
      <c r="CB2624" s="36"/>
      <c r="CC2624" s="36"/>
      <c r="CD2624" s="36"/>
      <c r="CE2624" s="36"/>
      <c r="CF2624" s="36"/>
      <c r="CG2624" s="36"/>
      <c r="CH2624" s="36"/>
      <c r="CI2624" s="36"/>
      <c r="CJ2624" s="36"/>
      <c r="CK2624" s="36"/>
      <c r="CL2624" s="36"/>
      <c r="CM2624" s="36"/>
      <c r="CN2624" s="36"/>
      <c r="CO2624" s="36"/>
      <c r="CP2624" s="36"/>
      <c r="CQ2624" s="36"/>
      <c r="CR2624" s="36"/>
      <c r="CS2624" s="36"/>
      <c r="CT2624" s="36"/>
      <c r="CU2624" s="36"/>
      <c r="CV2624" s="36"/>
      <c r="CW2624" s="36"/>
      <c r="CX2624" s="36"/>
      <c r="CY2624" s="36"/>
      <c r="CZ2624" s="36"/>
      <c r="DA2624" s="36"/>
      <c r="DB2624" s="36"/>
      <c r="DC2624" s="36"/>
      <c r="DD2624" s="36"/>
      <c r="DE2624" s="36"/>
      <c r="DF2624" s="36"/>
      <c r="DG2624" s="36"/>
      <c r="DH2624" s="36"/>
      <c r="DI2624" s="36"/>
      <c r="DJ2624" s="36"/>
      <c r="DK2624" s="36"/>
      <c r="DL2624" s="36"/>
      <c r="DM2624" s="36"/>
      <c r="DN2624" s="36"/>
      <c r="DO2624" s="36"/>
      <c r="DP2624" s="36"/>
      <c r="DQ2624" s="36"/>
      <c r="DR2624" s="36"/>
      <c r="DS2624" s="36"/>
      <c r="DT2624" s="36"/>
      <c r="DU2624" s="36"/>
      <c r="DV2624" s="36"/>
      <c r="DW2624" s="36"/>
      <c r="DX2624" s="36"/>
      <c r="DY2624" s="36"/>
      <c r="DZ2624" s="36"/>
      <c r="EA2624" s="36"/>
      <c r="EB2624" s="36"/>
      <c r="EC2624" s="36"/>
      <c r="ED2624" s="36"/>
      <c r="EE2624" s="36"/>
      <c r="EF2624" s="36"/>
      <c r="EG2624" s="36"/>
      <c r="EH2624" s="36"/>
      <c r="EI2624" s="36"/>
      <c r="EJ2624" s="36"/>
      <c r="EK2624" s="36"/>
      <c r="EL2624" s="36"/>
      <c r="EM2624" s="36"/>
      <c r="EN2624" s="36"/>
      <c r="EO2624" s="36"/>
      <c r="EP2624" s="36"/>
      <c r="EQ2624" s="36"/>
      <c r="ER2624" s="36"/>
      <c r="ES2624" s="36"/>
      <c r="ET2624" s="36"/>
      <c r="EU2624" s="36"/>
      <c r="EV2624" s="36"/>
      <c r="EW2624" s="36"/>
      <c r="EX2624" s="36"/>
      <c r="EY2624" s="36"/>
      <c r="EZ2624" s="36"/>
      <c r="FA2624" s="36"/>
      <c r="FB2624" s="36"/>
      <c r="FC2624" s="36"/>
      <c r="FD2624" s="36"/>
      <c r="FE2624" s="36"/>
      <c r="FF2624" s="36"/>
      <c r="FG2624" s="36"/>
      <c r="FH2624" s="36"/>
      <c r="FI2624" s="36"/>
      <c r="FJ2624" s="36"/>
      <c r="FK2624" s="36"/>
      <c r="FL2624" s="36"/>
      <c r="FM2624" s="36"/>
      <c r="FN2624" s="36"/>
      <c r="FO2624" s="36"/>
      <c r="FP2624" s="36"/>
      <c r="FQ2624" s="36"/>
      <c r="FR2624" s="36"/>
      <c r="FS2624" s="36"/>
      <c r="FT2624" s="36"/>
      <c r="FU2624" s="36"/>
      <c r="FV2624" s="36"/>
      <c r="FW2624" s="36"/>
      <c r="FX2624" s="36"/>
      <c r="FY2624" s="36"/>
      <c r="FZ2624" s="36"/>
      <c r="GA2624" s="36"/>
      <c r="GB2624" s="36"/>
      <c r="GC2624" s="36"/>
      <c r="GD2624" s="36"/>
      <c r="GE2624" s="36"/>
      <c r="GF2624" s="36"/>
      <c r="GG2624" s="36"/>
      <c r="GH2624" s="36"/>
      <c r="GI2624" s="36"/>
      <c r="GJ2624" s="36"/>
      <c r="GK2624" s="36"/>
      <c r="GL2624" s="36"/>
      <c r="GM2624" s="36"/>
      <c r="GN2624" s="36"/>
      <c r="GO2624" s="36"/>
      <c r="GP2624" s="36"/>
      <c r="GQ2624" s="36"/>
      <c r="GR2624" s="36"/>
      <c r="GS2624" s="36"/>
      <c r="GT2624" s="36"/>
      <c r="GU2624" s="36"/>
      <c r="GV2624" s="36"/>
      <c r="GW2624" s="36"/>
      <c r="GX2624" s="36"/>
      <c r="GY2624" s="36"/>
      <c r="GZ2624" s="36"/>
      <c r="HA2624" s="36"/>
      <c r="HB2624" s="36"/>
      <c r="HC2624" s="36"/>
      <c r="HD2624" s="36"/>
      <c r="HE2624" s="36"/>
      <c r="HF2624" s="36"/>
      <c r="HG2624" s="36"/>
      <c r="HH2624" s="36"/>
      <c r="HI2624" s="36"/>
      <c r="HJ2624" s="36"/>
      <c r="HK2624" s="36"/>
      <c r="HL2624" s="36"/>
      <c r="HM2624" s="36"/>
      <c r="HN2624" s="36"/>
      <c r="HO2624" s="36"/>
      <c r="HP2624" s="36"/>
      <c r="HQ2624" s="36"/>
      <c r="HR2624" s="36"/>
      <c r="HS2624" s="36"/>
      <c r="HT2624" s="36"/>
      <c r="HU2624" s="36"/>
      <c r="HV2624" s="36"/>
      <c r="HW2624" s="36"/>
      <c r="HX2624" s="36"/>
      <c r="HY2624" s="36"/>
      <c r="HZ2624" s="36"/>
      <c r="IA2624" s="36"/>
      <c r="IB2624" s="36"/>
      <c r="IC2624" s="36"/>
      <c r="ID2624" s="36"/>
      <c r="IE2624" s="36"/>
      <c r="IF2624" s="36"/>
      <c r="IG2624" s="36"/>
      <c r="IH2624" s="36"/>
      <c r="II2624" s="36"/>
      <c r="IJ2624" s="36"/>
      <c r="IK2624" s="36"/>
      <c r="IL2624" s="36"/>
      <c r="IM2624" s="36"/>
      <c r="IN2624" s="36"/>
      <c r="IO2624" s="36"/>
      <c r="IP2624" s="36"/>
      <c r="IQ2624" s="36"/>
      <c r="IR2624" s="36"/>
      <c r="IS2624" s="36"/>
      <c r="IT2624" s="36"/>
      <c r="IU2624" s="36"/>
      <c r="IV2624" s="36"/>
    </row>
    <row r="2625" spans="1:256" ht="14.25" thickTop="1" thickBot="1">
      <c r="A2625" s="267" t="str">
        <f t="shared" si="111"/>
        <v>TARIK IGON PAULINO NEIA</v>
      </c>
      <c r="B2625" s="68" t="s">
        <v>351</v>
      </c>
      <c r="C2625" s="64" t="s">
        <v>1147</v>
      </c>
      <c r="D2625" s="61">
        <v>107495</v>
      </c>
      <c r="E2625" s="70">
        <v>42915</v>
      </c>
      <c r="F2625" s="284"/>
    </row>
    <row r="2626" spans="1:256" ht="14.25" thickTop="1" thickBot="1">
      <c r="A2626" s="267" t="str">
        <f t="shared" si="111"/>
        <v>TEOFILO PELINSKI FILHO</v>
      </c>
      <c r="B2626" s="68" t="s">
        <v>1306</v>
      </c>
      <c r="C2626" s="66" t="s">
        <v>2211</v>
      </c>
      <c r="D2626" s="65">
        <v>27045</v>
      </c>
      <c r="E2626" s="70">
        <v>42331</v>
      </c>
      <c r="F2626" s="284"/>
    </row>
    <row r="2627" spans="1:256" ht="14.25" thickTop="1" thickBot="1">
      <c r="A2627" s="267" t="str">
        <f t="shared" si="111"/>
        <v>TERCIO JULIANO DOS SANTOS</v>
      </c>
      <c r="B2627" s="68" t="s">
        <v>62</v>
      </c>
      <c r="C2627" s="66" t="s">
        <v>124</v>
      </c>
      <c r="D2627" s="61">
        <v>63692</v>
      </c>
      <c r="E2627" s="62">
        <v>40414</v>
      </c>
      <c r="F2627" s="285"/>
    </row>
    <row r="2628" spans="1:256" ht="14.25" thickTop="1" thickBot="1">
      <c r="A2628" s="267" t="str">
        <f t="shared" si="111"/>
        <v>TÉRCIO JULIANO DOS SANTOS</v>
      </c>
      <c r="B2628" s="68" t="s">
        <v>1298</v>
      </c>
      <c r="C2628" s="66" t="s">
        <v>57</v>
      </c>
      <c r="D2628" s="67"/>
      <c r="E2628" s="62">
        <v>43080</v>
      </c>
      <c r="F2628" s="285"/>
    </row>
    <row r="2629" spans="1:256" ht="14.25" thickTop="1" thickBot="1">
      <c r="A2629" s="267" t="str">
        <f t="shared" si="111"/>
        <v>TERCIO JULIANO SANTOS</v>
      </c>
      <c r="B2629" s="68" t="s">
        <v>62</v>
      </c>
      <c r="C2629" s="66" t="s">
        <v>850</v>
      </c>
      <c r="D2629" s="65">
        <v>101956</v>
      </c>
      <c r="E2629" s="62">
        <v>42156</v>
      </c>
      <c r="F2629" s="285"/>
    </row>
    <row r="2630" spans="1:256" ht="14.25" thickTop="1" thickBot="1">
      <c r="A2630" s="267"/>
      <c r="B2630" s="68" t="s">
        <v>603</v>
      </c>
      <c r="C2630" s="66" t="s">
        <v>3615</v>
      </c>
      <c r="D2630" s="61">
        <v>63692</v>
      </c>
      <c r="E2630" s="81">
        <v>44117</v>
      </c>
      <c r="F2630" s="285"/>
    </row>
    <row r="2631" spans="1:256" ht="14.25" thickTop="1" thickBot="1">
      <c r="A2631" s="267" t="str">
        <f>C2633</f>
        <v>THIAGO ABREU SILVA                     (Avatar / Curitiba)</v>
      </c>
      <c r="B2631" s="68" t="s">
        <v>62</v>
      </c>
      <c r="C2631" s="66" t="s">
        <v>1267</v>
      </c>
      <c r="D2631" s="61">
        <v>102372</v>
      </c>
      <c r="E2631" s="62">
        <v>40414</v>
      </c>
      <c r="F2631" s="285"/>
    </row>
    <row r="2632" spans="1:256" ht="14.25" thickTop="1" thickBot="1">
      <c r="A2632" s="267" t="str">
        <f>C2634</f>
        <v xml:space="preserve">THIAGO BRUNO GONÇALVES </v>
      </c>
      <c r="B2632" s="68" t="s">
        <v>546</v>
      </c>
      <c r="C2632" s="66" t="s">
        <v>424</v>
      </c>
      <c r="D2632" s="65">
        <v>42312</v>
      </c>
      <c r="E2632" s="62">
        <v>40679</v>
      </c>
      <c r="F2632" s="285"/>
    </row>
    <row r="2633" spans="1:256" ht="14.25" thickTop="1" thickBot="1">
      <c r="A2633" s="269" t="s">
        <v>2661</v>
      </c>
      <c r="B2633" s="68" t="s">
        <v>62</v>
      </c>
      <c r="C2633" s="66" t="s">
        <v>3246</v>
      </c>
      <c r="D2633" s="65">
        <v>27004</v>
      </c>
      <c r="E2633" s="70">
        <v>42283</v>
      </c>
      <c r="F2633" s="284"/>
    </row>
    <row r="2634" spans="1:256" ht="14.25" thickTop="1" thickBot="1">
      <c r="A2634" s="267" t="str">
        <f>C2636</f>
        <v>THIAGO CASTILHO PINTO                 (Bonitinho)</v>
      </c>
      <c r="B2634" s="68" t="s">
        <v>62</v>
      </c>
      <c r="C2634" s="66" t="s">
        <v>1163</v>
      </c>
      <c r="D2634" s="61">
        <v>102912</v>
      </c>
      <c r="E2634" s="70"/>
      <c r="F2634" s="287"/>
    </row>
    <row r="2635" spans="1:256" ht="14.25" thickTop="1" thickBot="1">
      <c r="A2635" s="267"/>
      <c r="B2635" s="68" t="s">
        <v>2413</v>
      </c>
      <c r="C2635" s="77" t="s">
        <v>1974</v>
      </c>
      <c r="D2635" s="61">
        <v>134355</v>
      </c>
      <c r="E2635" s="62">
        <v>43984</v>
      </c>
      <c r="F2635" s="285"/>
    </row>
    <row r="2636" spans="1:256" s="36" customFormat="1" ht="14.1" customHeight="1" thickTop="1" thickBot="1">
      <c r="A2636" s="267" t="str">
        <f>C2638</f>
        <v>THIAGO CUSTODIO</v>
      </c>
      <c r="B2636" s="68" t="s">
        <v>62</v>
      </c>
      <c r="C2636" s="64" t="s">
        <v>3245</v>
      </c>
      <c r="D2636" s="65">
        <v>27236</v>
      </c>
      <c r="E2636" s="62">
        <v>40120</v>
      </c>
      <c r="F2636" s="285"/>
      <c r="G2636" s="37"/>
      <c r="H2636" s="37"/>
      <c r="I2636" s="37"/>
      <c r="J2636" s="37"/>
      <c r="K2636" s="37"/>
      <c r="L2636" s="37"/>
      <c r="M2636" s="37"/>
      <c r="N2636" s="37"/>
      <c r="O2636" s="37"/>
      <c r="P2636" s="37"/>
      <c r="Q2636" s="37"/>
      <c r="R2636" s="37"/>
      <c r="S2636" s="37"/>
      <c r="T2636" s="37"/>
      <c r="U2636" s="37"/>
      <c r="V2636" s="37"/>
      <c r="W2636" s="37"/>
      <c r="X2636" s="37"/>
      <c r="Y2636" s="37"/>
      <c r="Z2636" s="37"/>
      <c r="AA2636" s="37"/>
      <c r="AB2636" s="37"/>
      <c r="AC2636" s="37"/>
      <c r="AD2636" s="37"/>
      <c r="AE2636" s="37"/>
      <c r="AF2636" s="37"/>
      <c r="AG2636" s="37"/>
      <c r="AH2636" s="37"/>
      <c r="AI2636" s="37"/>
      <c r="AJ2636" s="37"/>
      <c r="AK2636" s="37"/>
      <c r="AL2636" s="37"/>
      <c r="AM2636" s="37"/>
      <c r="AN2636" s="37"/>
      <c r="AO2636" s="37"/>
      <c r="AP2636" s="37"/>
      <c r="AQ2636" s="37"/>
      <c r="AR2636" s="37"/>
      <c r="AS2636" s="37"/>
      <c r="AT2636" s="37"/>
      <c r="AU2636" s="37"/>
      <c r="AV2636" s="37"/>
      <c r="AW2636" s="37"/>
      <c r="AX2636" s="37"/>
      <c r="AY2636" s="37"/>
      <c r="AZ2636" s="37"/>
      <c r="BA2636" s="37"/>
      <c r="BB2636" s="37"/>
      <c r="BC2636" s="37"/>
      <c r="BD2636" s="37"/>
      <c r="BE2636" s="37"/>
      <c r="BF2636" s="37"/>
      <c r="BG2636" s="37"/>
      <c r="BH2636" s="37"/>
      <c r="BI2636" s="37"/>
      <c r="BJ2636" s="37"/>
      <c r="BK2636" s="37"/>
      <c r="BL2636" s="37"/>
      <c r="BM2636" s="37"/>
      <c r="BN2636" s="37"/>
      <c r="BO2636" s="37"/>
      <c r="BP2636" s="37"/>
      <c r="BQ2636" s="37"/>
      <c r="BR2636" s="37"/>
      <c r="BS2636" s="37"/>
      <c r="BT2636" s="37"/>
      <c r="BU2636" s="37"/>
      <c r="BV2636" s="37"/>
      <c r="BW2636" s="37"/>
      <c r="BX2636" s="37"/>
      <c r="BY2636" s="37"/>
      <c r="BZ2636" s="37"/>
      <c r="CA2636" s="37"/>
      <c r="CB2636" s="37"/>
      <c r="CC2636" s="37"/>
      <c r="CD2636" s="37"/>
      <c r="CE2636" s="37"/>
      <c r="CF2636" s="37"/>
      <c r="CG2636" s="37"/>
      <c r="CH2636" s="37"/>
      <c r="CI2636" s="37"/>
      <c r="CJ2636" s="37"/>
      <c r="CK2636" s="37"/>
      <c r="CL2636" s="37"/>
      <c r="CM2636" s="37"/>
      <c r="CN2636" s="37"/>
      <c r="CO2636" s="37"/>
      <c r="CP2636" s="37"/>
      <c r="CQ2636" s="37"/>
      <c r="CR2636" s="37"/>
      <c r="CS2636" s="37"/>
      <c r="CT2636" s="37"/>
      <c r="CU2636" s="37"/>
      <c r="CV2636" s="37"/>
      <c r="CW2636" s="37"/>
      <c r="CX2636" s="37"/>
      <c r="CY2636" s="37"/>
      <c r="CZ2636" s="37"/>
      <c r="DA2636" s="37"/>
      <c r="DB2636" s="37"/>
      <c r="DC2636" s="37"/>
      <c r="DD2636" s="37"/>
      <c r="DE2636" s="37"/>
      <c r="DF2636" s="37"/>
      <c r="DG2636" s="37"/>
      <c r="DH2636" s="37"/>
      <c r="DI2636" s="37"/>
      <c r="DJ2636" s="37"/>
      <c r="DK2636" s="37"/>
      <c r="DL2636" s="37"/>
      <c r="DM2636" s="37"/>
      <c r="DN2636" s="37"/>
      <c r="DO2636" s="37"/>
      <c r="DP2636" s="37"/>
      <c r="DQ2636" s="37"/>
      <c r="DR2636" s="37"/>
      <c r="DS2636" s="37"/>
      <c r="DT2636" s="37"/>
      <c r="DU2636" s="37"/>
      <c r="DV2636" s="37"/>
      <c r="DW2636" s="37"/>
      <c r="DX2636" s="37"/>
      <c r="DY2636" s="37"/>
      <c r="DZ2636" s="37"/>
      <c r="EA2636" s="37"/>
      <c r="EB2636" s="37"/>
      <c r="EC2636" s="37"/>
      <c r="ED2636" s="37"/>
      <c r="EE2636" s="37"/>
      <c r="EF2636" s="37"/>
      <c r="EG2636" s="37"/>
      <c r="EH2636" s="37"/>
      <c r="EI2636" s="37"/>
      <c r="EJ2636" s="37"/>
      <c r="EK2636" s="37"/>
      <c r="EL2636" s="37"/>
      <c r="EM2636" s="37"/>
      <c r="EN2636" s="37"/>
      <c r="EO2636" s="37"/>
      <c r="EP2636" s="37"/>
      <c r="EQ2636" s="37"/>
      <c r="ER2636" s="37"/>
      <c r="ES2636" s="37"/>
      <c r="ET2636" s="37"/>
      <c r="EU2636" s="37"/>
      <c r="EV2636" s="37"/>
      <c r="EW2636" s="37"/>
      <c r="EX2636" s="37"/>
      <c r="EY2636" s="37"/>
      <c r="EZ2636" s="37"/>
      <c r="FA2636" s="37"/>
      <c r="FB2636" s="37"/>
      <c r="FC2636" s="37"/>
      <c r="FD2636" s="37"/>
      <c r="FE2636" s="37"/>
      <c r="FF2636" s="37"/>
      <c r="FG2636" s="37"/>
      <c r="FH2636" s="37"/>
      <c r="FI2636" s="37"/>
      <c r="FJ2636" s="37"/>
      <c r="FK2636" s="37"/>
      <c r="FL2636" s="37"/>
      <c r="FM2636" s="37"/>
      <c r="FN2636" s="37"/>
      <c r="FO2636" s="37"/>
      <c r="FP2636" s="37"/>
      <c r="FQ2636" s="37"/>
      <c r="FR2636" s="37"/>
      <c r="FS2636" s="37"/>
      <c r="FT2636" s="37"/>
      <c r="FU2636" s="37"/>
      <c r="FV2636" s="37"/>
      <c r="FW2636" s="37"/>
      <c r="FX2636" s="37"/>
      <c r="FY2636" s="37"/>
      <c r="FZ2636" s="37"/>
      <c r="GA2636" s="37"/>
      <c r="GB2636" s="37"/>
      <c r="GC2636" s="37"/>
      <c r="GD2636" s="37"/>
      <c r="GE2636" s="37"/>
      <c r="GF2636" s="37"/>
      <c r="GG2636" s="37"/>
      <c r="GH2636" s="37"/>
      <c r="GI2636" s="37"/>
      <c r="GJ2636" s="37"/>
      <c r="GK2636" s="37"/>
      <c r="GL2636" s="37"/>
      <c r="GM2636" s="37"/>
      <c r="GN2636" s="37"/>
      <c r="GO2636" s="37"/>
      <c r="GP2636" s="37"/>
      <c r="GQ2636" s="37"/>
      <c r="GR2636" s="37"/>
      <c r="GS2636" s="37"/>
      <c r="GT2636" s="37"/>
      <c r="GU2636" s="37"/>
      <c r="GV2636" s="37"/>
      <c r="GW2636" s="37"/>
      <c r="GX2636" s="37"/>
      <c r="GY2636" s="37"/>
      <c r="GZ2636" s="37"/>
      <c r="HA2636" s="37"/>
      <c r="HB2636" s="37"/>
      <c r="HC2636" s="37"/>
      <c r="HD2636" s="37"/>
      <c r="HE2636" s="37"/>
      <c r="HF2636" s="37"/>
      <c r="HG2636" s="37"/>
      <c r="HH2636" s="37"/>
      <c r="HI2636" s="37"/>
      <c r="HJ2636" s="37"/>
      <c r="HK2636" s="37"/>
      <c r="HL2636" s="37"/>
      <c r="HM2636" s="37"/>
      <c r="HN2636" s="37"/>
      <c r="HO2636" s="37"/>
      <c r="HP2636" s="37"/>
      <c r="HQ2636" s="37"/>
      <c r="HR2636" s="37"/>
      <c r="HS2636" s="37"/>
      <c r="HT2636" s="37"/>
      <c r="HU2636" s="37"/>
      <c r="HV2636" s="37"/>
      <c r="HW2636" s="37"/>
      <c r="HX2636" s="37"/>
      <c r="HY2636" s="37"/>
      <c r="HZ2636" s="37"/>
      <c r="IA2636" s="37"/>
      <c r="IB2636" s="37"/>
      <c r="IC2636" s="37"/>
      <c r="ID2636" s="37"/>
      <c r="IE2636" s="37"/>
      <c r="IF2636" s="37"/>
      <c r="IG2636" s="37"/>
      <c r="IH2636" s="37"/>
      <c r="II2636" s="37"/>
      <c r="IJ2636" s="37"/>
      <c r="IK2636" s="37"/>
      <c r="IL2636" s="37"/>
      <c r="IM2636" s="37"/>
      <c r="IN2636" s="37"/>
      <c r="IO2636" s="37"/>
      <c r="IP2636" s="37"/>
      <c r="IQ2636" s="37"/>
      <c r="IR2636" s="37"/>
      <c r="IS2636" s="37"/>
      <c r="IT2636" s="37"/>
      <c r="IU2636" s="37"/>
      <c r="IV2636" s="37"/>
    </row>
    <row r="2637" spans="1:256" ht="14.25" thickTop="1" thickBot="1">
      <c r="A2637" s="267" t="str">
        <f>C2639</f>
        <v>THIAGO DE OLIVEIRA RODRIGUES</v>
      </c>
      <c r="B2637" s="68" t="s">
        <v>62</v>
      </c>
      <c r="C2637" s="60" t="s">
        <v>2661</v>
      </c>
      <c r="D2637" s="155"/>
      <c r="E2637" s="62">
        <v>41788</v>
      </c>
      <c r="F2637" s="285"/>
    </row>
    <row r="2638" spans="1:256" ht="14.25" thickTop="1" thickBot="1">
      <c r="A2638" s="267"/>
      <c r="B2638" s="68"/>
      <c r="C2638" s="66" t="s">
        <v>2404</v>
      </c>
      <c r="D2638" s="61">
        <v>159352</v>
      </c>
      <c r="E2638" s="62"/>
      <c r="F2638" s="285"/>
    </row>
    <row r="2639" spans="1:256" ht="14.25" thickTop="1" thickBot="1">
      <c r="A2639" s="267" t="str">
        <f>C2641</f>
        <v>THIAGO DO PRADO</v>
      </c>
      <c r="B2639" s="68" t="s">
        <v>62</v>
      </c>
      <c r="C2639" s="66" t="s">
        <v>354</v>
      </c>
      <c r="D2639" s="61">
        <v>27187</v>
      </c>
      <c r="E2639" s="62">
        <v>43346</v>
      </c>
      <c r="F2639" s="285"/>
    </row>
    <row r="2640" spans="1:256" ht="14.25" thickTop="1" thickBot="1">
      <c r="A2640" s="269" t="s">
        <v>1390</v>
      </c>
      <c r="B2640" s="68" t="s">
        <v>3576</v>
      </c>
      <c r="C2640" s="60" t="s">
        <v>1390</v>
      </c>
      <c r="D2640" s="198">
        <v>27236</v>
      </c>
      <c r="E2640" s="62" t="s">
        <v>3575</v>
      </c>
      <c r="F2640" s="285"/>
    </row>
    <row r="2641" spans="1:256" ht="14.25" thickTop="1" thickBot="1">
      <c r="A2641" s="267" t="str">
        <f>C2643</f>
        <v>THIAGO HANNCH MULLER</v>
      </c>
      <c r="B2641" s="68" t="s">
        <v>2347</v>
      </c>
      <c r="C2641" s="66" t="s">
        <v>1390</v>
      </c>
      <c r="D2641" s="67"/>
      <c r="E2641" s="204">
        <v>43360</v>
      </c>
      <c r="F2641" s="284"/>
    </row>
    <row r="2642" spans="1:256" ht="14.25" thickTop="1" thickBot="1">
      <c r="A2642" s="267" t="str">
        <f>C2644</f>
        <v>THIAGO HENRIQUE SABINO</v>
      </c>
      <c r="B2642" s="163" t="s">
        <v>62</v>
      </c>
      <c r="C2642" s="66" t="s">
        <v>627</v>
      </c>
      <c r="D2642" s="61">
        <v>124303</v>
      </c>
      <c r="E2642" s="62">
        <v>42703</v>
      </c>
      <c r="F2642" s="285"/>
    </row>
    <row r="2643" spans="1:256" ht="14.25" thickTop="1" thickBot="1">
      <c r="A2643" s="267"/>
      <c r="B2643" s="68" t="s">
        <v>62</v>
      </c>
      <c r="C2643" s="66" t="s">
        <v>2260</v>
      </c>
      <c r="D2643" s="61">
        <v>101805</v>
      </c>
      <c r="E2643" s="62">
        <v>41437</v>
      </c>
      <c r="F2643" s="285"/>
    </row>
    <row r="2644" spans="1:256" ht="14.25" thickTop="1" thickBot="1">
      <c r="A2644" s="267" t="str">
        <f>C2646</f>
        <v>THIAGO MOREIRA DA SILVA             (Boi)</v>
      </c>
      <c r="B2644" s="68" t="s">
        <v>2406</v>
      </c>
      <c r="C2644" s="192" t="s">
        <v>492</v>
      </c>
      <c r="D2644" s="61">
        <v>101805</v>
      </c>
      <c r="E2644" s="97">
        <v>43682</v>
      </c>
      <c r="F2644" s="287"/>
    </row>
    <row r="2645" spans="1:256" ht="14.25" thickTop="1" thickBot="1">
      <c r="A2645" s="267" t="str">
        <f>C2649</f>
        <v>THIAGO RIBEIRO DA ROSA                (Planeta)</v>
      </c>
      <c r="B2645" s="68" t="s">
        <v>62</v>
      </c>
      <c r="C2645" s="194" t="s">
        <v>492</v>
      </c>
      <c r="D2645" s="61">
        <v>7026</v>
      </c>
      <c r="E2645" s="62">
        <v>42327</v>
      </c>
      <c r="F2645" s="285"/>
    </row>
    <row r="2646" spans="1:256" ht="14.25" thickTop="1" thickBot="1">
      <c r="A2646" s="267" t="str">
        <f>C2650</f>
        <v>THIAGO SCHUEROFF PATRICIO</v>
      </c>
      <c r="B2646" s="68" t="s">
        <v>1570</v>
      </c>
      <c r="C2646" s="66" t="s">
        <v>3244</v>
      </c>
      <c r="D2646" s="65">
        <v>14892</v>
      </c>
      <c r="E2646" s="62">
        <v>41834</v>
      </c>
      <c r="F2646" s="285"/>
    </row>
    <row r="2647" spans="1:256" ht="14.25" thickTop="1" thickBot="1">
      <c r="A2647" s="267"/>
      <c r="B2647" s="68" t="s">
        <v>62</v>
      </c>
      <c r="C2647" s="66" t="s">
        <v>744</v>
      </c>
      <c r="D2647" s="65">
        <v>102245</v>
      </c>
      <c r="E2647" s="62">
        <v>40532</v>
      </c>
      <c r="F2647" s="285"/>
    </row>
    <row r="2648" spans="1:256" ht="14.25" thickTop="1" thickBot="1">
      <c r="A2648" s="267" t="s">
        <v>2814</v>
      </c>
      <c r="B2648" s="68" t="s">
        <v>1522</v>
      </c>
      <c r="C2648" s="66" t="s">
        <v>3402</v>
      </c>
      <c r="D2648" s="65"/>
      <c r="E2648" s="62">
        <v>43888</v>
      </c>
      <c r="F2648" s="285"/>
    </row>
    <row r="2649" spans="1:256" ht="14.25" thickTop="1" thickBot="1">
      <c r="A2649" s="267"/>
      <c r="B2649" s="89" t="s">
        <v>1522</v>
      </c>
      <c r="C2649" s="66" t="s">
        <v>3243</v>
      </c>
      <c r="D2649" s="88">
        <v>63681</v>
      </c>
      <c r="E2649" s="62">
        <v>40442</v>
      </c>
      <c r="F2649" s="285"/>
    </row>
    <row r="2650" spans="1:256" ht="14.25" thickTop="1" thickBot="1">
      <c r="A2650" s="267" t="str">
        <f>C2652</f>
        <v>THIARLES WILLIAN DA SILVA</v>
      </c>
      <c r="B2650" s="68" t="s">
        <v>62</v>
      </c>
      <c r="C2650" s="66" t="s">
        <v>558</v>
      </c>
      <c r="D2650" s="312">
        <v>27142</v>
      </c>
      <c r="E2650" s="62">
        <v>42437</v>
      </c>
      <c r="F2650" s="285"/>
    </row>
    <row r="2651" spans="1:256" ht="14.25" thickTop="1" thickBot="1">
      <c r="A2651" s="267"/>
      <c r="B2651" s="68" t="s">
        <v>62</v>
      </c>
      <c r="C2651" s="78" t="s">
        <v>1433</v>
      </c>
      <c r="D2651" s="65">
        <v>55711</v>
      </c>
      <c r="E2651" s="62">
        <v>39408</v>
      </c>
      <c r="F2651" s="285"/>
    </row>
    <row r="2652" spans="1:256" ht="14.25" thickTop="1" thickBot="1">
      <c r="A2652" s="267"/>
      <c r="B2652" s="68" t="s">
        <v>2413</v>
      </c>
      <c r="C2652" s="66" t="s">
        <v>2175</v>
      </c>
      <c r="D2652" s="61">
        <v>142696</v>
      </c>
      <c r="E2652" s="70">
        <v>43847</v>
      </c>
      <c r="F2652" s="284"/>
    </row>
    <row r="2653" spans="1:256" ht="14.25" thickTop="1" thickBot="1">
      <c r="A2653" s="267" t="str">
        <f>C2655</f>
        <v>TIAGO ALVES</v>
      </c>
      <c r="B2653" s="68" t="s">
        <v>62</v>
      </c>
      <c r="C2653" s="66" t="s">
        <v>906</v>
      </c>
      <c r="D2653" s="65">
        <v>63681</v>
      </c>
      <c r="E2653" s="62">
        <v>40009</v>
      </c>
      <c r="F2653" s="285"/>
    </row>
    <row r="2654" spans="1:256" ht="14.25" thickTop="1" thickBot="1">
      <c r="A2654" s="267"/>
      <c r="B2654" s="68" t="s">
        <v>62</v>
      </c>
      <c r="C2654" s="66" t="s">
        <v>306</v>
      </c>
      <c r="D2654" s="67">
        <v>63776</v>
      </c>
      <c r="E2654" s="62">
        <v>40339</v>
      </c>
      <c r="F2654" s="285"/>
    </row>
    <row r="2655" spans="1:256" ht="14.25" thickTop="1" thickBot="1">
      <c r="A2655" s="272" t="str">
        <f>C2657</f>
        <v>TIAGO ANTONIO PEREIRA</v>
      </c>
      <c r="B2655" s="68" t="s">
        <v>2406</v>
      </c>
      <c r="C2655" s="66" t="s">
        <v>2474</v>
      </c>
      <c r="D2655" s="68">
        <v>112369</v>
      </c>
      <c r="E2655" s="62">
        <v>43682</v>
      </c>
      <c r="F2655" s="285"/>
      <c r="G2655" s="36"/>
      <c r="H2655" s="36"/>
      <c r="I2655" s="36"/>
      <c r="J2655" s="36"/>
      <c r="K2655" s="36"/>
      <c r="L2655" s="36"/>
      <c r="M2655" s="36"/>
      <c r="N2655" s="36"/>
      <c r="O2655" s="36"/>
      <c r="P2655" s="36"/>
      <c r="Q2655" s="36"/>
      <c r="R2655" s="36"/>
      <c r="S2655" s="36"/>
      <c r="T2655" s="36"/>
      <c r="U2655" s="36"/>
      <c r="V2655" s="36"/>
      <c r="W2655" s="36"/>
      <c r="X2655" s="36"/>
      <c r="Y2655" s="36"/>
      <c r="Z2655" s="36"/>
      <c r="AA2655" s="36"/>
      <c r="AB2655" s="36"/>
      <c r="AC2655" s="36"/>
      <c r="AD2655" s="36"/>
      <c r="AE2655" s="36"/>
      <c r="AF2655" s="36"/>
      <c r="AG2655" s="36"/>
      <c r="AH2655" s="36"/>
      <c r="AI2655" s="36"/>
      <c r="AJ2655" s="36"/>
      <c r="AK2655" s="36"/>
      <c r="AL2655" s="36"/>
      <c r="AM2655" s="36"/>
      <c r="AN2655" s="36"/>
      <c r="AO2655" s="36"/>
      <c r="AP2655" s="36"/>
      <c r="AQ2655" s="36"/>
      <c r="AR2655" s="36"/>
      <c r="AS2655" s="36"/>
      <c r="AT2655" s="36"/>
      <c r="AU2655" s="36"/>
      <c r="AV2655" s="36"/>
      <c r="AW2655" s="36"/>
      <c r="AX2655" s="36"/>
      <c r="AY2655" s="36"/>
      <c r="AZ2655" s="36"/>
      <c r="BA2655" s="36"/>
      <c r="BB2655" s="36"/>
      <c r="BC2655" s="36"/>
      <c r="BD2655" s="36"/>
      <c r="BE2655" s="36"/>
      <c r="BF2655" s="36"/>
      <c r="BG2655" s="36"/>
      <c r="BH2655" s="36"/>
      <c r="BI2655" s="36"/>
      <c r="BJ2655" s="36"/>
      <c r="BK2655" s="36"/>
      <c r="BL2655" s="36"/>
      <c r="BM2655" s="36"/>
      <c r="BN2655" s="36"/>
      <c r="BO2655" s="36"/>
      <c r="BP2655" s="36"/>
      <c r="BQ2655" s="36"/>
      <c r="BR2655" s="36"/>
      <c r="BS2655" s="36"/>
      <c r="BT2655" s="36"/>
      <c r="BU2655" s="36"/>
      <c r="BV2655" s="36"/>
      <c r="BW2655" s="36"/>
      <c r="BX2655" s="36"/>
      <c r="BY2655" s="36"/>
      <c r="BZ2655" s="36"/>
      <c r="CA2655" s="36"/>
      <c r="CB2655" s="36"/>
      <c r="CC2655" s="36"/>
      <c r="CD2655" s="36"/>
      <c r="CE2655" s="36"/>
      <c r="CF2655" s="36"/>
      <c r="CG2655" s="36"/>
      <c r="CH2655" s="36"/>
      <c r="CI2655" s="36"/>
      <c r="CJ2655" s="36"/>
      <c r="CK2655" s="36"/>
      <c r="CL2655" s="36"/>
      <c r="CM2655" s="36"/>
      <c r="CN2655" s="36"/>
      <c r="CO2655" s="36"/>
      <c r="CP2655" s="36"/>
      <c r="CQ2655" s="36"/>
      <c r="CR2655" s="36"/>
      <c r="CS2655" s="36"/>
      <c r="CT2655" s="36"/>
      <c r="CU2655" s="36"/>
      <c r="CV2655" s="36"/>
      <c r="CW2655" s="36"/>
      <c r="CX2655" s="36"/>
      <c r="CY2655" s="36"/>
      <c r="CZ2655" s="36"/>
      <c r="DA2655" s="36"/>
      <c r="DB2655" s="36"/>
      <c r="DC2655" s="36"/>
      <c r="DD2655" s="36"/>
      <c r="DE2655" s="36"/>
      <c r="DF2655" s="36"/>
      <c r="DG2655" s="36"/>
      <c r="DH2655" s="36"/>
      <c r="DI2655" s="36"/>
      <c r="DJ2655" s="36"/>
      <c r="DK2655" s="36"/>
      <c r="DL2655" s="36"/>
      <c r="DM2655" s="36"/>
      <c r="DN2655" s="36"/>
      <c r="DO2655" s="36"/>
      <c r="DP2655" s="36"/>
      <c r="DQ2655" s="36"/>
      <c r="DR2655" s="36"/>
      <c r="DS2655" s="36"/>
      <c r="DT2655" s="36"/>
      <c r="DU2655" s="36"/>
      <c r="DV2655" s="36"/>
      <c r="DW2655" s="36"/>
      <c r="DX2655" s="36"/>
      <c r="DY2655" s="36"/>
      <c r="DZ2655" s="36"/>
      <c r="EA2655" s="36"/>
      <c r="EB2655" s="36"/>
      <c r="EC2655" s="36"/>
      <c r="ED2655" s="36"/>
      <c r="EE2655" s="36"/>
      <c r="EF2655" s="36"/>
      <c r="EG2655" s="36"/>
      <c r="EH2655" s="36"/>
      <c r="EI2655" s="36"/>
      <c r="EJ2655" s="36"/>
      <c r="EK2655" s="36"/>
      <c r="EL2655" s="36"/>
      <c r="EM2655" s="36"/>
      <c r="EN2655" s="36"/>
      <c r="EO2655" s="36"/>
      <c r="EP2655" s="36"/>
      <c r="EQ2655" s="36"/>
      <c r="ER2655" s="36"/>
      <c r="ES2655" s="36"/>
      <c r="ET2655" s="36"/>
      <c r="EU2655" s="36"/>
      <c r="EV2655" s="36"/>
      <c r="EW2655" s="36"/>
      <c r="EX2655" s="36"/>
      <c r="EY2655" s="36"/>
      <c r="EZ2655" s="36"/>
      <c r="FA2655" s="36"/>
      <c r="FB2655" s="36"/>
      <c r="FC2655" s="36"/>
      <c r="FD2655" s="36"/>
      <c r="FE2655" s="36"/>
      <c r="FF2655" s="36"/>
      <c r="FG2655" s="36"/>
      <c r="FH2655" s="36"/>
      <c r="FI2655" s="36"/>
      <c r="FJ2655" s="36"/>
      <c r="FK2655" s="36"/>
      <c r="FL2655" s="36"/>
      <c r="FM2655" s="36"/>
      <c r="FN2655" s="36"/>
      <c r="FO2655" s="36"/>
      <c r="FP2655" s="36"/>
      <c r="FQ2655" s="36"/>
      <c r="FR2655" s="36"/>
      <c r="FS2655" s="36"/>
      <c r="FT2655" s="36"/>
      <c r="FU2655" s="36"/>
      <c r="FV2655" s="36"/>
      <c r="FW2655" s="36"/>
      <c r="FX2655" s="36"/>
      <c r="FY2655" s="36"/>
      <c r="FZ2655" s="36"/>
      <c r="GA2655" s="36"/>
      <c r="GB2655" s="36"/>
      <c r="GC2655" s="36"/>
      <c r="GD2655" s="36"/>
      <c r="GE2655" s="36"/>
      <c r="GF2655" s="36"/>
      <c r="GG2655" s="36"/>
      <c r="GH2655" s="36"/>
      <c r="GI2655" s="36"/>
      <c r="GJ2655" s="36"/>
      <c r="GK2655" s="36"/>
      <c r="GL2655" s="36"/>
      <c r="GM2655" s="36"/>
      <c r="GN2655" s="36"/>
      <c r="GO2655" s="36"/>
      <c r="GP2655" s="36"/>
      <c r="GQ2655" s="36"/>
      <c r="GR2655" s="36"/>
      <c r="GS2655" s="36"/>
      <c r="GT2655" s="36"/>
      <c r="GU2655" s="36"/>
      <c r="GV2655" s="36"/>
      <c r="GW2655" s="36"/>
      <c r="GX2655" s="36"/>
      <c r="GY2655" s="36"/>
      <c r="GZ2655" s="36"/>
      <c r="HA2655" s="36"/>
      <c r="HB2655" s="36"/>
      <c r="HC2655" s="36"/>
      <c r="HD2655" s="36"/>
      <c r="HE2655" s="36"/>
      <c r="HF2655" s="36"/>
      <c r="HG2655" s="36"/>
      <c r="HH2655" s="36"/>
      <c r="HI2655" s="36"/>
      <c r="HJ2655" s="36"/>
      <c r="HK2655" s="36"/>
      <c r="HL2655" s="36"/>
      <c r="HM2655" s="36"/>
      <c r="HN2655" s="36"/>
      <c r="HO2655" s="36"/>
      <c r="HP2655" s="36"/>
      <c r="HQ2655" s="36"/>
      <c r="HR2655" s="36"/>
      <c r="HS2655" s="36"/>
      <c r="HT2655" s="36"/>
      <c r="HU2655" s="36"/>
      <c r="HV2655" s="36"/>
      <c r="HW2655" s="36"/>
      <c r="HX2655" s="36"/>
      <c r="HY2655" s="36"/>
      <c r="HZ2655" s="36"/>
      <c r="IA2655" s="36"/>
      <c r="IB2655" s="36"/>
      <c r="IC2655" s="36"/>
      <c r="ID2655" s="36"/>
      <c r="IE2655" s="36"/>
      <c r="IF2655" s="36"/>
      <c r="IG2655" s="36"/>
      <c r="IH2655" s="36"/>
      <c r="II2655" s="36"/>
      <c r="IJ2655" s="36"/>
      <c r="IK2655" s="36"/>
      <c r="IL2655" s="36"/>
      <c r="IM2655" s="36"/>
      <c r="IN2655" s="36"/>
      <c r="IO2655" s="36"/>
      <c r="IP2655" s="36"/>
      <c r="IQ2655" s="36"/>
      <c r="IR2655" s="36"/>
      <c r="IS2655" s="36"/>
      <c r="IT2655" s="36"/>
      <c r="IU2655" s="36"/>
      <c r="IV2655" s="36"/>
    </row>
    <row r="2656" spans="1:256" ht="14.25" thickTop="1" thickBot="1">
      <c r="A2656" s="272" t="str">
        <f>C2658</f>
        <v>TIAGO ANTONIO PEREIRA              (Taz / Pipoca)</v>
      </c>
      <c r="B2656" s="68" t="s">
        <v>62</v>
      </c>
      <c r="C2656" s="66" t="s">
        <v>1529</v>
      </c>
      <c r="D2656" s="65">
        <v>63197</v>
      </c>
      <c r="E2656" s="62">
        <v>40759</v>
      </c>
      <c r="F2656" s="285"/>
    </row>
    <row r="2657" spans="1:6" ht="14.25" thickTop="1" thickBot="1">
      <c r="A2657" s="328" t="str">
        <f>C2659</f>
        <v>TIAGO APARECIDO MACHADO</v>
      </c>
      <c r="B2657" s="68" t="s">
        <v>62</v>
      </c>
      <c r="C2657" s="66" t="s">
        <v>24</v>
      </c>
      <c r="D2657" s="69">
        <v>4198</v>
      </c>
      <c r="E2657" s="62">
        <v>40763</v>
      </c>
      <c r="F2657" s="285"/>
    </row>
    <row r="2658" spans="1:6" ht="14.25" thickTop="1" thickBot="1">
      <c r="A2658" s="267" t="str">
        <f>C2660</f>
        <v>TIAGO CARDOSO RODRIGUES</v>
      </c>
      <c r="B2658" s="68" t="s">
        <v>516</v>
      </c>
      <c r="C2658" s="66" t="s">
        <v>3241</v>
      </c>
      <c r="D2658" s="65">
        <v>63625</v>
      </c>
      <c r="E2658" s="70">
        <v>42565</v>
      </c>
      <c r="F2658" s="287"/>
    </row>
    <row r="2659" spans="1:6" ht="14.25" thickTop="1" thickBot="1">
      <c r="A2659" s="267" t="str">
        <f>C2662</f>
        <v>TIAGO DA SILVA CARNEIRO</v>
      </c>
      <c r="B2659" s="89" t="s">
        <v>15</v>
      </c>
      <c r="C2659" s="66" t="s">
        <v>1458</v>
      </c>
      <c r="D2659" s="61">
        <v>55720</v>
      </c>
      <c r="E2659" s="62">
        <v>42704</v>
      </c>
      <c r="F2659" s="285"/>
    </row>
    <row r="2660" spans="1:6" ht="14.25" thickTop="1" thickBot="1">
      <c r="A2660" s="267" t="str">
        <f>C2663</f>
        <v>TIAGO DE GOIS</v>
      </c>
      <c r="B2660" s="68" t="s">
        <v>62</v>
      </c>
      <c r="C2660" s="64" t="s">
        <v>583</v>
      </c>
      <c r="D2660" s="61">
        <v>27267</v>
      </c>
      <c r="E2660" s="62">
        <v>42720</v>
      </c>
      <c r="F2660" s="285"/>
    </row>
    <row r="2661" spans="1:6" ht="14.25" thickTop="1" thickBot="1">
      <c r="A2661" s="267" t="str">
        <f>C2664</f>
        <v>TIAGO DE OLIVEIRA</v>
      </c>
      <c r="B2661" s="68" t="s">
        <v>62</v>
      </c>
      <c r="C2661" s="66" t="s">
        <v>3242</v>
      </c>
      <c r="D2661" s="61">
        <v>101569</v>
      </c>
      <c r="E2661" s="62">
        <v>41396</v>
      </c>
      <c r="F2661" s="285"/>
    </row>
    <row r="2662" spans="1:6" ht="14.25" thickTop="1" thickBot="1">
      <c r="A2662" s="267" t="str">
        <f>C2664</f>
        <v>TIAGO DE OLIVEIRA</v>
      </c>
      <c r="B2662" s="68" t="s">
        <v>1033</v>
      </c>
      <c r="C2662" s="66" t="s">
        <v>1379</v>
      </c>
      <c r="D2662" s="65">
        <v>27271</v>
      </c>
      <c r="E2662" s="62">
        <v>40087</v>
      </c>
      <c r="F2662" s="285"/>
    </row>
    <row r="2663" spans="1:6" ht="14.25" thickTop="1" thickBot="1">
      <c r="A2663" s="267" t="str">
        <f>C2665</f>
        <v>TIAGO DE OLIVEIRA CHEPLUKI</v>
      </c>
      <c r="B2663" s="68" t="s">
        <v>62</v>
      </c>
      <c r="C2663" s="66" t="s">
        <v>1009</v>
      </c>
      <c r="D2663" s="61">
        <v>55720</v>
      </c>
      <c r="E2663" s="62">
        <v>43546</v>
      </c>
      <c r="F2663" s="284"/>
    </row>
    <row r="2664" spans="1:6" ht="14.25" thickTop="1" thickBot="1">
      <c r="A2664" s="267" t="str">
        <f>C2666</f>
        <v>TIAGO DE OLIVEIRA CHEPLUKI</v>
      </c>
      <c r="B2664" s="61" t="s">
        <v>2413</v>
      </c>
      <c r="C2664" s="66" t="s">
        <v>699</v>
      </c>
      <c r="D2664" s="61">
        <v>103430</v>
      </c>
      <c r="E2664" s="62">
        <v>43080</v>
      </c>
      <c r="F2664" s="285"/>
    </row>
    <row r="2665" spans="1:6" ht="14.25" thickTop="1" thickBot="1">
      <c r="A2665" s="267"/>
      <c r="B2665" s="68"/>
      <c r="C2665" s="332" t="s">
        <v>297</v>
      </c>
      <c r="D2665" s="333">
        <v>63949</v>
      </c>
      <c r="E2665" s="70"/>
      <c r="F2665" s="284"/>
    </row>
    <row r="2666" spans="1:6" ht="14.25" thickTop="1" thickBot="1">
      <c r="A2666" s="271"/>
      <c r="B2666" s="68" t="s">
        <v>62</v>
      </c>
      <c r="C2666" s="66" t="s">
        <v>297</v>
      </c>
      <c r="D2666" s="61">
        <v>88278</v>
      </c>
      <c r="E2666" s="62">
        <v>43243</v>
      </c>
      <c r="F2666" s="285"/>
    </row>
    <row r="2667" spans="1:6" ht="14.25" thickTop="1" thickBot="1">
      <c r="A2667" s="272" t="str">
        <f>C2672</f>
        <v>TIAGO MENDES                        (Gordinho)</v>
      </c>
      <c r="B2667" s="68" t="s">
        <v>62</v>
      </c>
      <c r="C2667" s="192" t="s">
        <v>1734</v>
      </c>
      <c r="D2667" s="61">
        <v>112421</v>
      </c>
      <c r="E2667" s="62">
        <v>40974</v>
      </c>
      <c r="F2667" s="285"/>
    </row>
    <row r="2668" spans="1:6" ht="14.25" thickTop="1" thickBot="1">
      <c r="A2668" s="267" t="str">
        <f>C2672</f>
        <v>TIAGO MENDES                        (Gordinho)</v>
      </c>
      <c r="B2668" s="68" t="s">
        <v>62</v>
      </c>
      <c r="C2668" s="66" t="s">
        <v>2034</v>
      </c>
      <c r="D2668" s="61">
        <v>106428</v>
      </c>
      <c r="E2668" s="62">
        <v>40612</v>
      </c>
      <c r="F2668" s="285"/>
    </row>
    <row r="2669" spans="1:6" ht="14.25" thickTop="1" thickBot="1">
      <c r="A2669" s="267" t="str">
        <f>C2673</f>
        <v>TIAGO MOREIRA DA SILVA</v>
      </c>
      <c r="B2669" s="68" t="s">
        <v>62</v>
      </c>
      <c r="C2669" s="66" t="s">
        <v>821</v>
      </c>
      <c r="D2669" s="61">
        <v>27038</v>
      </c>
      <c r="E2669" s="70">
        <v>42206</v>
      </c>
      <c r="F2669" s="284"/>
    </row>
    <row r="2670" spans="1:6" ht="14.25" thickTop="1" thickBot="1">
      <c r="A2670" s="267" t="str">
        <f>C2672</f>
        <v>TIAGO MENDES                        (Gordinho)</v>
      </c>
      <c r="B2670" s="68" t="s">
        <v>62</v>
      </c>
      <c r="C2670" s="66" t="s">
        <v>1756</v>
      </c>
      <c r="D2670" s="61">
        <v>63949</v>
      </c>
      <c r="E2670" s="62">
        <v>40183</v>
      </c>
      <c r="F2670" s="285"/>
    </row>
    <row r="2671" spans="1:6" ht="14.25" thickTop="1" thickBot="1">
      <c r="A2671" s="267"/>
      <c r="B2671" s="68"/>
      <c r="C2671" s="66" t="s">
        <v>2605</v>
      </c>
      <c r="D2671" s="69">
        <v>21878</v>
      </c>
      <c r="E2671" s="62">
        <v>43902</v>
      </c>
      <c r="F2671" s="285"/>
    </row>
    <row r="2672" spans="1:6" ht="14.25" thickTop="1" thickBot="1">
      <c r="A2672" s="272" t="str">
        <f>C2674</f>
        <v>TIAGO OLIVEIRA DOS SANTOS</v>
      </c>
      <c r="B2672" s="89" t="s">
        <v>15</v>
      </c>
      <c r="C2672" s="66" t="s">
        <v>3240</v>
      </c>
      <c r="D2672" s="68"/>
      <c r="E2672" s="70">
        <v>43077</v>
      </c>
      <c r="F2672" s="284"/>
    </row>
    <row r="2673" spans="1:6" ht="14.25" thickTop="1" thickBot="1">
      <c r="A2673" s="272" t="str">
        <f>C2676</f>
        <v>TIAGO PODAN</v>
      </c>
      <c r="B2673" s="68" t="s">
        <v>62</v>
      </c>
      <c r="C2673" s="66" t="s">
        <v>26</v>
      </c>
      <c r="D2673" s="65">
        <v>63986</v>
      </c>
      <c r="E2673" s="70">
        <v>42199</v>
      </c>
      <c r="F2673" s="284"/>
    </row>
    <row r="2674" spans="1:6" ht="14.25" thickTop="1" thickBot="1">
      <c r="A2674" s="272"/>
      <c r="B2674" s="68" t="s">
        <v>1522</v>
      </c>
      <c r="C2674" s="66" t="s">
        <v>1</v>
      </c>
      <c r="D2674" s="61">
        <v>7026</v>
      </c>
      <c r="E2674" s="62">
        <v>43888</v>
      </c>
      <c r="F2674" s="285"/>
    </row>
    <row r="2675" spans="1:6" ht="14.25" thickTop="1" thickBot="1">
      <c r="A2675" s="272" t="str">
        <f>C2678</f>
        <v>TIAGO PONTES DE LIMA DE PAULA</v>
      </c>
      <c r="B2675" s="68" t="s">
        <v>62</v>
      </c>
      <c r="C2675" s="66" t="s">
        <v>1569</v>
      </c>
      <c r="D2675" s="67"/>
      <c r="E2675" s="70">
        <v>43089</v>
      </c>
      <c r="F2675" s="284"/>
    </row>
    <row r="2676" spans="1:6" ht="14.25" thickTop="1" thickBot="1">
      <c r="A2676" s="272"/>
      <c r="B2676" s="68" t="s">
        <v>2244</v>
      </c>
      <c r="C2676" s="66" t="s">
        <v>1183</v>
      </c>
      <c r="D2676" s="67"/>
      <c r="E2676" s="62">
        <v>42389</v>
      </c>
      <c r="F2676" s="285"/>
    </row>
    <row r="2677" spans="1:6" ht="14.25" thickTop="1" thickBot="1">
      <c r="A2677" s="272" t="str">
        <f>C2679</f>
        <v>TIAGO PRESTES BRAGA DE PAULA</v>
      </c>
      <c r="B2677" s="68" t="s">
        <v>2244</v>
      </c>
      <c r="C2677" s="66" t="s">
        <v>1183</v>
      </c>
      <c r="D2677" s="172">
        <v>63802</v>
      </c>
      <c r="E2677" s="62">
        <v>43644</v>
      </c>
      <c r="F2677" s="285"/>
    </row>
    <row r="2678" spans="1:6" ht="14.25" thickTop="1" thickBot="1">
      <c r="A2678" s="272" t="str">
        <f>C2680</f>
        <v>TIAGO RIBEIRO</v>
      </c>
      <c r="B2678" s="67" t="s">
        <v>1522</v>
      </c>
      <c r="C2678" s="78" t="s">
        <v>2136</v>
      </c>
      <c r="D2678" s="65">
        <v>101497</v>
      </c>
      <c r="E2678" s="62">
        <v>39959</v>
      </c>
      <c r="F2678" s="285"/>
    </row>
    <row r="2679" spans="1:6" ht="14.25" thickTop="1" thickBot="1">
      <c r="A2679" s="272" t="str">
        <f>C2681</f>
        <v>TIAGO RODRIGO DE SOUZA</v>
      </c>
      <c r="B2679" s="68" t="s">
        <v>62</v>
      </c>
      <c r="C2679" s="66" t="s">
        <v>911</v>
      </c>
      <c r="D2679" s="65">
        <v>27254</v>
      </c>
      <c r="E2679" s="70">
        <v>42909</v>
      </c>
      <c r="F2679" s="284"/>
    </row>
    <row r="2680" spans="1:6" ht="14.25" thickTop="1" thickBot="1">
      <c r="A2680" s="272"/>
      <c r="B2680" s="68" t="s">
        <v>1264</v>
      </c>
      <c r="C2680" s="184" t="s">
        <v>3654</v>
      </c>
      <c r="D2680" s="65">
        <v>410559</v>
      </c>
      <c r="E2680" s="62">
        <v>44140</v>
      </c>
      <c r="F2680" s="285"/>
    </row>
    <row r="2681" spans="1:6" ht="14.25" thickTop="1" thickBot="1">
      <c r="A2681" s="272" t="str">
        <f>C2683</f>
        <v>TIAGO WAGNER MACHADO</v>
      </c>
      <c r="B2681" s="68" t="s">
        <v>62</v>
      </c>
      <c r="C2681" s="66" t="s">
        <v>1685</v>
      </c>
      <c r="D2681" s="65">
        <v>7026</v>
      </c>
      <c r="E2681" s="62">
        <v>40827</v>
      </c>
      <c r="F2681" s="285"/>
    </row>
    <row r="2682" spans="1:6" ht="14.25" thickTop="1" thickBot="1">
      <c r="A2682" s="272" t="str">
        <f>C2684</f>
        <v>TONY ROBSON DE LIMA</v>
      </c>
      <c r="B2682" s="68" t="s">
        <v>62</v>
      </c>
      <c r="C2682" s="66" t="s">
        <v>983</v>
      </c>
      <c r="D2682" s="67"/>
      <c r="E2682" s="62">
        <v>42765</v>
      </c>
      <c r="F2682" s="285"/>
    </row>
    <row r="2683" spans="1:6" ht="14.25" thickTop="1" thickBot="1">
      <c r="A2683" s="272" t="str">
        <f>C2685</f>
        <v>TRAJANO FERREIRA CALDAS NETO</v>
      </c>
      <c r="B2683" s="68" t="s">
        <v>62</v>
      </c>
      <c r="C2683" s="64" t="s">
        <v>1165</v>
      </c>
      <c r="D2683" s="65">
        <v>63920</v>
      </c>
      <c r="E2683" s="62">
        <v>41732</v>
      </c>
      <c r="F2683" s="285"/>
    </row>
    <row r="2684" spans="1:6" ht="14.25" thickTop="1" thickBot="1">
      <c r="A2684" s="272"/>
      <c r="B2684" s="68" t="s">
        <v>62</v>
      </c>
      <c r="C2684" s="64" t="s">
        <v>552</v>
      </c>
      <c r="D2684" s="65">
        <v>27165</v>
      </c>
      <c r="E2684" s="62">
        <v>41688</v>
      </c>
      <c r="F2684" s="285"/>
    </row>
    <row r="2685" spans="1:6" ht="14.25" thickTop="1" thickBot="1">
      <c r="A2685" s="272" t="str">
        <f>C2687</f>
        <v>ULISSES BITTENCOURT</v>
      </c>
      <c r="B2685" s="68" t="s">
        <v>1812</v>
      </c>
      <c r="C2685" s="66" t="s">
        <v>1363</v>
      </c>
      <c r="D2685" s="67"/>
      <c r="E2685" s="81">
        <v>43550</v>
      </c>
      <c r="F2685" s="285"/>
    </row>
    <row r="2686" spans="1:6" ht="14.25" thickTop="1" thickBot="1">
      <c r="A2686" s="272"/>
      <c r="B2686" s="68" t="s">
        <v>62</v>
      </c>
      <c r="C2686" s="66" t="s">
        <v>2889</v>
      </c>
      <c r="D2686" s="67"/>
      <c r="E2686" s="62">
        <v>42038</v>
      </c>
      <c r="F2686" s="285"/>
    </row>
    <row r="2687" spans="1:6" ht="14.25" thickTop="1" thickBot="1">
      <c r="A2687" s="267" t="str">
        <f>C2689</f>
        <v>VAGNEI FERREIRA BORGES DE PONTES</v>
      </c>
      <c r="B2687" s="68" t="s">
        <v>62</v>
      </c>
      <c r="C2687" s="60" t="s">
        <v>1830</v>
      </c>
      <c r="D2687" s="61">
        <v>126908</v>
      </c>
      <c r="E2687" s="62">
        <v>43356</v>
      </c>
      <c r="F2687" s="293"/>
    </row>
    <row r="2688" spans="1:6" ht="14.25" thickTop="1" thickBot="1">
      <c r="A2688" s="270"/>
      <c r="B2688" s="62" t="s">
        <v>1812</v>
      </c>
      <c r="C2688" s="66" t="s">
        <v>27</v>
      </c>
      <c r="D2688" s="61">
        <v>63253</v>
      </c>
      <c r="E2688" s="62">
        <v>41464</v>
      </c>
      <c r="F2688" s="285"/>
    </row>
    <row r="2689" spans="1:6" ht="14.25" thickTop="1" thickBot="1">
      <c r="A2689" s="267" t="str">
        <f>C2691</f>
        <v>VALDECI BRIANO</v>
      </c>
      <c r="B2689" s="68" t="s">
        <v>1306</v>
      </c>
      <c r="C2689" s="64" t="s">
        <v>1166</v>
      </c>
      <c r="D2689" s="61">
        <v>29754</v>
      </c>
      <c r="E2689" s="70">
        <v>42692</v>
      </c>
      <c r="F2689" s="284"/>
    </row>
    <row r="2690" spans="1:6" ht="14.25" thickTop="1" thickBot="1">
      <c r="A2690" s="267" t="str">
        <f>C2692</f>
        <v>VALDECI DA SILVA ROSA</v>
      </c>
      <c r="B2690" s="68" t="s">
        <v>62</v>
      </c>
      <c r="C2690" s="66" t="s">
        <v>2243</v>
      </c>
      <c r="D2690" s="65">
        <v>63253</v>
      </c>
      <c r="E2690" s="70">
        <v>42523</v>
      </c>
      <c r="F2690" s="287"/>
    </row>
    <row r="2691" spans="1:6" ht="14.25" thickTop="1" thickBot="1">
      <c r="A2691" s="267" t="str">
        <f>C2693</f>
        <v>VALDECI DE JESUS MACHADO    (Diabinho / Máscara)</v>
      </c>
      <c r="B2691" s="68" t="s">
        <v>25</v>
      </c>
      <c r="C2691" s="66" t="s">
        <v>735</v>
      </c>
      <c r="D2691" s="67"/>
      <c r="E2691" s="62">
        <v>41271</v>
      </c>
      <c r="F2691" s="285"/>
    </row>
    <row r="2692" spans="1:6" ht="14.25" thickTop="1" thickBot="1">
      <c r="A2692" s="267"/>
      <c r="B2692" s="68" t="s">
        <v>62</v>
      </c>
      <c r="C2692" s="66" t="s">
        <v>1167</v>
      </c>
      <c r="D2692" s="69">
        <v>63686</v>
      </c>
      <c r="E2692" s="62">
        <v>42837</v>
      </c>
      <c r="F2692" s="285"/>
    </row>
    <row r="2693" spans="1:6" ht="14.25" thickTop="1" thickBot="1">
      <c r="A2693" s="267" t="str">
        <f t="shared" ref="A2693:A2698" si="112">C2695</f>
        <v>VALDECI DOS ANJOS</v>
      </c>
      <c r="B2693" s="68" t="s">
        <v>62</v>
      </c>
      <c r="C2693" s="64" t="s">
        <v>2890</v>
      </c>
      <c r="D2693" s="65">
        <v>90084</v>
      </c>
      <c r="E2693" s="62">
        <v>41802</v>
      </c>
      <c r="F2693" s="285"/>
    </row>
    <row r="2694" spans="1:6" ht="14.25" thickTop="1" thickBot="1">
      <c r="A2694" s="267" t="str">
        <f t="shared" si="112"/>
        <v>VALDECI JONAS DE OLIVEIRA PRESTES</v>
      </c>
      <c r="B2694" s="68" t="s">
        <v>62</v>
      </c>
      <c r="C2694" s="66" t="s">
        <v>815</v>
      </c>
      <c r="D2694" s="67"/>
      <c r="E2694" s="70">
        <v>42320</v>
      </c>
      <c r="F2694" s="284"/>
    </row>
    <row r="2695" spans="1:6" ht="14.25" thickTop="1" thickBot="1">
      <c r="A2695" s="267" t="str">
        <f t="shared" si="112"/>
        <v>VALDECI KULEK</v>
      </c>
      <c r="B2695" s="182"/>
      <c r="C2695" s="66" t="s">
        <v>1168</v>
      </c>
      <c r="D2695" s="181">
        <v>14363</v>
      </c>
      <c r="E2695" s="62">
        <v>42849</v>
      </c>
      <c r="F2695" s="285"/>
    </row>
    <row r="2696" spans="1:6" ht="14.25" thickTop="1" thickBot="1">
      <c r="A2696" s="267" t="str">
        <f t="shared" si="112"/>
        <v>VALDECI LEMES PEREIRA</v>
      </c>
      <c r="B2696" s="68" t="s">
        <v>62</v>
      </c>
      <c r="C2696" s="66" t="s">
        <v>1169</v>
      </c>
      <c r="D2696" s="67"/>
      <c r="E2696" s="62">
        <v>41242</v>
      </c>
      <c r="F2696" s="285"/>
    </row>
    <row r="2697" spans="1:6" ht="14.25" thickTop="1" thickBot="1">
      <c r="A2697" s="267" t="str">
        <f t="shared" si="112"/>
        <v>VALDECI MATHIAS DA SILVA</v>
      </c>
      <c r="B2697" s="68" t="s">
        <v>415</v>
      </c>
      <c r="C2697" s="66" t="s">
        <v>266</v>
      </c>
      <c r="D2697" s="61"/>
      <c r="E2697" s="62">
        <v>42038</v>
      </c>
      <c r="F2697" s="285"/>
    </row>
    <row r="2698" spans="1:6" ht="14.25" thickTop="1" thickBot="1">
      <c r="A2698" s="267" t="str">
        <f t="shared" si="112"/>
        <v>VALDECI SUBTIL</v>
      </c>
      <c r="B2698" s="68" t="s">
        <v>62</v>
      </c>
      <c r="C2698" s="66" t="s">
        <v>28</v>
      </c>
      <c r="D2698" s="65">
        <v>63325</v>
      </c>
      <c r="E2698" s="62">
        <v>42914</v>
      </c>
      <c r="F2698" s="285"/>
    </row>
    <row r="2699" spans="1:6" ht="14.25" thickTop="1" thickBot="1">
      <c r="A2699" s="267" t="str">
        <f>C2704</f>
        <v>VALDECIR PINHEIRO DE SOUZA</v>
      </c>
      <c r="B2699" s="68" t="s">
        <v>1812</v>
      </c>
      <c r="C2699" s="66" t="s">
        <v>1869</v>
      </c>
      <c r="D2699" s="65"/>
      <c r="E2699" s="70">
        <v>42909</v>
      </c>
      <c r="F2699" s="284"/>
    </row>
    <row r="2700" spans="1:6" ht="14.25" thickTop="1" thickBot="1">
      <c r="A2700" s="267" t="str">
        <f>C2705</f>
        <v>VALDECIR PINHEIRO DE SOUZA</v>
      </c>
      <c r="B2700" s="68" t="s">
        <v>62</v>
      </c>
      <c r="C2700" s="66" t="s">
        <v>1170</v>
      </c>
      <c r="D2700" s="61">
        <v>27134</v>
      </c>
      <c r="E2700" s="62">
        <v>42228</v>
      </c>
      <c r="F2700" s="285"/>
    </row>
    <row r="2701" spans="1:6" ht="14.25" thickTop="1" thickBot="1">
      <c r="A2701" s="267" t="str">
        <f>C2703</f>
        <v>VALDECIR OLIVEIRA SANTOS</v>
      </c>
      <c r="B2701" s="68" t="s">
        <v>62</v>
      </c>
      <c r="C2701" s="66" t="s">
        <v>820</v>
      </c>
      <c r="D2701" s="67"/>
      <c r="E2701" s="70">
        <v>42718</v>
      </c>
      <c r="F2701" s="287"/>
    </row>
    <row r="2702" spans="1:6" ht="14.25" thickTop="1" thickBot="1">
      <c r="A2702" s="267" t="str">
        <f>C2704</f>
        <v>VALDECIR PINHEIRO DE SOUZA</v>
      </c>
      <c r="B2702" s="68" t="s">
        <v>62</v>
      </c>
      <c r="C2702" s="131" t="s">
        <v>958</v>
      </c>
      <c r="D2702" s="140"/>
      <c r="E2702" s="70"/>
      <c r="F2702" s="284"/>
    </row>
    <row r="2703" spans="1:6" ht="14.25" thickTop="1" thickBot="1">
      <c r="A2703" s="267" t="str">
        <f>C2705</f>
        <v>VALDECIR PINHEIRO DE SOUZA</v>
      </c>
      <c r="B2703" s="89" t="s">
        <v>62</v>
      </c>
      <c r="C2703" s="360" t="s">
        <v>530</v>
      </c>
      <c r="D2703" s="202">
        <v>27082</v>
      </c>
      <c r="E2703" s="62">
        <v>42341</v>
      </c>
      <c r="F2703" s="285"/>
    </row>
    <row r="2704" spans="1:6" ht="14.25" thickTop="1" thickBot="1">
      <c r="A2704" s="267" t="str">
        <f>C2707</f>
        <v>VALDEIR ALVES DE QUADROS</v>
      </c>
      <c r="B2704" s="68" t="s">
        <v>62</v>
      </c>
      <c r="C2704" s="131" t="s">
        <v>197</v>
      </c>
      <c r="D2704" s="117">
        <v>63942</v>
      </c>
      <c r="E2704" s="62">
        <v>41459</v>
      </c>
      <c r="F2704" s="285"/>
    </row>
    <row r="2705" spans="1:6" ht="14.25" thickTop="1" thickBot="1">
      <c r="A2705" s="267" t="str">
        <f>C2708</f>
        <v>VALDEIR PAULINO TEIXEIRA</v>
      </c>
      <c r="B2705" s="67" t="s">
        <v>1821</v>
      </c>
      <c r="C2705" s="260" t="s">
        <v>197</v>
      </c>
      <c r="D2705" s="117">
        <v>98437</v>
      </c>
      <c r="E2705" s="70">
        <v>41742</v>
      </c>
      <c r="F2705" s="284"/>
    </row>
    <row r="2706" spans="1:6" ht="14.25" thickTop="1" thickBot="1">
      <c r="A2706" s="267" t="str">
        <f>C2708</f>
        <v>VALDEIR PAULINO TEIXEIRA</v>
      </c>
      <c r="B2706" s="67" t="s">
        <v>1522</v>
      </c>
      <c r="C2706" s="131" t="s">
        <v>1462</v>
      </c>
      <c r="D2706" s="117">
        <v>113219</v>
      </c>
      <c r="E2706" s="62">
        <v>41788</v>
      </c>
      <c r="F2706" s="285"/>
    </row>
    <row r="2707" spans="1:6" ht="14.25" thickTop="1" thickBot="1">
      <c r="A2707" s="267"/>
      <c r="B2707" s="67" t="s">
        <v>2413</v>
      </c>
      <c r="C2707" s="131" t="s">
        <v>2720</v>
      </c>
      <c r="D2707" s="599">
        <v>150462</v>
      </c>
      <c r="E2707" s="70">
        <v>43983</v>
      </c>
      <c r="F2707" s="284"/>
    </row>
    <row r="2708" spans="1:6" ht="14.25" thickTop="1" thickBot="1">
      <c r="A2708" s="267" t="str">
        <f>C2711</f>
        <v>VALDEMAR APARECIDO DE QUADROS             (Índio)</v>
      </c>
      <c r="B2708" s="68" t="s">
        <v>62</v>
      </c>
      <c r="C2708" s="131" t="s">
        <v>1822</v>
      </c>
      <c r="D2708" s="202">
        <v>63942</v>
      </c>
      <c r="E2708" s="62">
        <v>41646</v>
      </c>
      <c r="F2708" s="285"/>
    </row>
    <row r="2709" spans="1:6" ht="14.25" thickTop="1" thickBot="1">
      <c r="A2709" s="267" t="str">
        <f>C2712</f>
        <v>VALDEMAR DE SOUZA ROSA</v>
      </c>
      <c r="B2709" s="68" t="s">
        <v>62</v>
      </c>
      <c r="C2709" s="131" t="s">
        <v>3237</v>
      </c>
      <c r="D2709" s="205">
        <v>63534</v>
      </c>
      <c r="E2709" s="62">
        <v>43346</v>
      </c>
      <c r="F2709" s="285"/>
    </row>
    <row r="2710" spans="1:6" ht="14.25" thickTop="1" thickBot="1">
      <c r="A2710" s="267" t="s">
        <v>1908</v>
      </c>
      <c r="B2710" s="68" t="s">
        <v>2347</v>
      </c>
      <c r="C2710" s="131" t="s">
        <v>1171</v>
      </c>
      <c r="D2710" s="202">
        <v>63976</v>
      </c>
      <c r="E2710" s="62">
        <v>42039</v>
      </c>
      <c r="F2710" s="286"/>
    </row>
    <row r="2711" spans="1:6" ht="14.25" thickTop="1" thickBot="1">
      <c r="A2711" s="267" t="str">
        <f>C2713</f>
        <v>VALDEMAR LEMES PEDROSO                (Neguinho)</v>
      </c>
      <c r="B2711" s="68" t="s">
        <v>2413</v>
      </c>
      <c r="C2711" s="131" t="s">
        <v>3238</v>
      </c>
      <c r="D2711" s="117">
        <v>76766</v>
      </c>
      <c r="E2711" s="62">
        <v>43529</v>
      </c>
      <c r="F2711" s="285"/>
    </row>
    <row r="2712" spans="1:6" ht="14.25" thickTop="1" thickBot="1">
      <c r="A2712" s="271"/>
      <c r="B2712" s="68" t="s">
        <v>1812</v>
      </c>
      <c r="C2712" s="130" t="s">
        <v>2465</v>
      </c>
      <c r="D2712" s="117">
        <v>161733</v>
      </c>
      <c r="E2712" s="62">
        <v>43935</v>
      </c>
      <c r="F2712" s="285"/>
    </row>
    <row r="2713" spans="1:6" ht="14.25" thickTop="1" thickBot="1">
      <c r="A2713" s="267" t="str">
        <f>C2715</f>
        <v>VALDEMIR ANTONIO DE MATOS CASTRO</v>
      </c>
      <c r="B2713" s="68" t="s">
        <v>62</v>
      </c>
      <c r="C2713" s="131" t="s">
        <v>3239</v>
      </c>
      <c r="D2713" s="140"/>
      <c r="E2713" s="70">
        <v>42422</v>
      </c>
      <c r="F2713" s="287"/>
    </row>
    <row r="2714" spans="1:6" ht="14.25" thickTop="1" thickBot="1">
      <c r="A2714" s="267" t="str">
        <f>C2716</f>
        <v>VALDEMIR ANTONIO DE MATOS CASTRO</v>
      </c>
      <c r="B2714" s="68" t="s">
        <v>62</v>
      </c>
      <c r="C2714" s="385" t="s">
        <v>1908</v>
      </c>
      <c r="D2714" s="374">
        <v>74142</v>
      </c>
      <c r="E2714" s="62">
        <v>42522</v>
      </c>
      <c r="F2714" s="285"/>
    </row>
    <row r="2715" spans="1:6" ht="14.25" thickTop="1" thickBot="1">
      <c r="A2715" s="268"/>
      <c r="B2715" s="68"/>
      <c r="C2715" s="161" t="s">
        <v>880</v>
      </c>
      <c r="D2715" s="140"/>
      <c r="E2715" s="62">
        <v>39624</v>
      </c>
      <c r="F2715" s="285"/>
    </row>
    <row r="2716" spans="1:6" ht="14.25" thickTop="1" thickBot="1">
      <c r="A2716" s="267" t="str">
        <f t="shared" ref="A2716:A2728" si="113">C2718</f>
        <v>VALDEMIR DA SILVA CHAGAS</v>
      </c>
      <c r="B2716" s="89" t="s">
        <v>2413</v>
      </c>
      <c r="C2716" s="248" t="s">
        <v>880</v>
      </c>
      <c r="D2716" s="117">
        <v>63976</v>
      </c>
      <c r="E2716" s="70">
        <v>43670</v>
      </c>
      <c r="F2716" s="284"/>
    </row>
    <row r="2717" spans="1:6" ht="14.25" thickTop="1" thickBot="1">
      <c r="A2717" s="267" t="str">
        <f t="shared" si="113"/>
        <v>VALDEMIR DA SILVA GUIMARÃES</v>
      </c>
      <c r="B2717" s="68" t="s">
        <v>62</v>
      </c>
      <c r="C2717" s="161" t="s">
        <v>29</v>
      </c>
      <c r="D2717" s="202">
        <v>8448</v>
      </c>
      <c r="E2717" s="62">
        <v>43250</v>
      </c>
      <c r="F2717" s="285"/>
    </row>
    <row r="2718" spans="1:6" ht="14.25" thickTop="1" thickBot="1">
      <c r="A2718" s="267" t="str">
        <f t="shared" si="113"/>
        <v>VALDEMIR GOMES DAS DORES JUNIOR    (Gordinho)</v>
      </c>
      <c r="B2718" s="68" t="s">
        <v>62</v>
      </c>
      <c r="C2718" s="161" t="s">
        <v>91</v>
      </c>
      <c r="D2718" s="117">
        <v>101542</v>
      </c>
      <c r="E2718" s="70">
        <v>42326</v>
      </c>
      <c r="F2718" s="284"/>
    </row>
    <row r="2719" spans="1:6" ht="14.25" thickTop="1" thickBot="1">
      <c r="A2719" s="267" t="str">
        <f t="shared" si="113"/>
        <v>VALDEMIR GONÇALVES SANCHES</v>
      </c>
      <c r="B2719" s="68" t="s">
        <v>62</v>
      </c>
      <c r="C2719" s="590" t="s">
        <v>903</v>
      </c>
      <c r="D2719" s="117">
        <v>24492</v>
      </c>
      <c r="E2719" s="62">
        <v>39542</v>
      </c>
      <c r="F2719" s="285"/>
    </row>
    <row r="2720" spans="1:6" ht="14.25" thickTop="1" thickBot="1">
      <c r="A2720" s="267" t="str">
        <f t="shared" si="113"/>
        <v>VALDENEI DOS SANTOS                 (Japones)</v>
      </c>
      <c r="B2720" s="68" t="s">
        <v>62</v>
      </c>
      <c r="C2720" s="161" t="s">
        <v>2891</v>
      </c>
      <c r="D2720" s="117">
        <v>100497</v>
      </c>
      <c r="E2720" s="204">
        <v>43360</v>
      </c>
      <c r="F2720" s="284"/>
    </row>
    <row r="2721" spans="1:6" ht="14.25" thickTop="1" thickBot="1">
      <c r="A2721" s="267" t="str">
        <f t="shared" si="113"/>
        <v>VALDENEI DOS SANTOS                 (Japones)</v>
      </c>
      <c r="B2721" s="163" t="s">
        <v>62</v>
      </c>
      <c r="C2721" s="131" t="s">
        <v>1752</v>
      </c>
      <c r="D2721" s="202">
        <v>8448</v>
      </c>
      <c r="E2721" s="62">
        <v>42920</v>
      </c>
      <c r="F2721" s="285"/>
    </row>
    <row r="2722" spans="1:6" ht="14.25" thickTop="1" thickBot="1">
      <c r="A2722" s="267" t="str">
        <f t="shared" si="113"/>
        <v>VALDENIR DE ASSIS OLIVEIRA</v>
      </c>
      <c r="B2722" s="68" t="s">
        <v>62</v>
      </c>
      <c r="C2722" s="248" t="s">
        <v>3236</v>
      </c>
      <c r="D2722" s="117">
        <v>103236</v>
      </c>
      <c r="E2722" s="62">
        <v>39876</v>
      </c>
      <c r="F2722" s="285"/>
    </row>
    <row r="2723" spans="1:6" ht="14.25" thickTop="1" thickBot="1">
      <c r="A2723" s="267" t="str">
        <f t="shared" si="113"/>
        <v>VALDENIR LOPES DOS SANTOS</v>
      </c>
      <c r="B2723" s="68" t="s">
        <v>62</v>
      </c>
      <c r="C2723" s="248" t="s">
        <v>3236</v>
      </c>
      <c r="D2723" s="117">
        <v>103236</v>
      </c>
      <c r="E2723" s="62">
        <v>39475</v>
      </c>
      <c r="F2723" s="285"/>
    </row>
    <row r="2724" spans="1:6" ht="14.25" thickTop="1" thickBot="1">
      <c r="A2724" s="267" t="str">
        <f t="shared" si="113"/>
        <v>VALDEVINO BUENO DOS SANTOS</v>
      </c>
      <c r="B2724" s="67" t="s">
        <v>617</v>
      </c>
      <c r="C2724" s="161" t="s">
        <v>1333</v>
      </c>
      <c r="D2724" s="202">
        <v>27044</v>
      </c>
      <c r="E2724" s="62">
        <v>40619</v>
      </c>
      <c r="F2724" s="285"/>
    </row>
    <row r="2725" spans="1:6" ht="14.25" thickTop="1" thickBot="1">
      <c r="A2725" s="267" t="str">
        <f t="shared" si="113"/>
        <v>VALDEVINO FERREIRA PEDROSO</v>
      </c>
      <c r="B2725" s="68" t="s">
        <v>62</v>
      </c>
      <c r="C2725" s="131" t="s">
        <v>315</v>
      </c>
      <c r="D2725" s="117">
        <v>28879</v>
      </c>
      <c r="E2725" s="62">
        <v>41712</v>
      </c>
      <c r="F2725" s="285"/>
    </row>
    <row r="2726" spans="1:6" ht="14.25" thickTop="1" thickBot="1">
      <c r="A2726" s="267" t="str">
        <f t="shared" si="113"/>
        <v>VALDEVINO TEIXEIRA</v>
      </c>
      <c r="B2726" s="68" t="s">
        <v>62</v>
      </c>
      <c r="C2726" s="161" t="s">
        <v>600</v>
      </c>
      <c r="D2726" s="117">
        <v>108465</v>
      </c>
      <c r="E2726" s="70">
        <v>42919</v>
      </c>
      <c r="F2726" s="284"/>
    </row>
    <row r="2727" spans="1:6" ht="14.25" thickTop="1" thickBot="1">
      <c r="A2727" s="267" t="str">
        <f t="shared" si="113"/>
        <v xml:space="preserve">VALDIERI PEREIRA GONÇALVES     </v>
      </c>
      <c r="B2727" s="68" t="s">
        <v>62</v>
      </c>
      <c r="C2727" s="66" t="s">
        <v>265</v>
      </c>
      <c r="D2727" s="69">
        <v>63493</v>
      </c>
      <c r="E2727" s="62">
        <v>43346</v>
      </c>
      <c r="F2727" s="285"/>
    </row>
    <row r="2728" spans="1:6" ht="14.25" thickTop="1" thickBot="1">
      <c r="A2728" s="267" t="str">
        <f t="shared" si="113"/>
        <v>VALDINEI APARECIDO DE ABREU       (Maluco)</v>
      </c>
      <c r="B2728" s="68" t="s">
        <v>2347</v>
      </c>
      <c r="C2728" s="66" t="s">
        <v>567</v>
      </c>
      <c r="D2728" s="61">
        <v>27292</v>
      </c>
      <c r="E2728" s="62">
        <v>39330</v>
      </c>
      <c r="F2728" s="285"/>
    </row>
    <row r="2729" spans="1:6" ht="14.25" thickTop="1" thickBot="1">
      <c r="A2729" s="267" t="str">
        <f>C2732</f>
        <v>VALDINEI APARECIDO REVELLIM</v>
      </c>
      <c r="B2729" s="89" t="s">
        <v>62</v>
      </c>
      <c r="C2729" s="66" t="s">
        <v>2875</v>
      </c>
      <c r="D2729" s="61">
        <v>137263</v>
      </c>
      <c r="E2729" s="62">
        <v>41409</v>
      </c>
      <c r="F2729" s="285"/>
    </row>
    <row r="2730" spans="1:6" ht="14.25" thickTop="1" thickBot="1">
      <c r="A2730" s="267"/>
      <c r="B2730" s="68" t="s">
        <v>62</v>
      </c>
      <c r="C2730" s="66" t="s">
        <v>3103</v>
      </c>
      <c r="D2730" s="69">
        <v>27336</v>
      </c>
      <c r="E2730" s="62">
        <v>39601</v>
      </c>
      <c r="F2730" s="285"/>
    </row>
    <row r="2731" spans="1:6" ht="14.25" thickTop="1" thickBot="1">
      <c r="A2731" s="267" t="str">
        <f>C2733</f>
        <v>VALDINEI DE OLIVEIRA</v>
      </c>
      <c r="B2731" s="68" t="s">
        <v>1665</v>
      </c>
      <c r="C2731" s="66" t="s">
        <v>924</v>
      </c>
      <c r="D2731" s="61">
        <v>117802</v>
      </c>
      <c r="E2731" s="62">
        <v>40112</v>
      </c>
      <c r="F2731" s="287"/>
    </row>
    <row r="2732" spans="1:6" ht="14.25" thickTop="1" thickBot="1">
      <c r="A2732" s="267" t="s">
        <v>1795</v>
      </c>
      <c r="B2732" s="68" t="s">
        <v>2406</v>
      </c>
      <c r="C2732" s="66" t="s">
        <v>924</v>
      </c>
      <c r="D2732" s="61">
        <v>27292</v>
      </c>
      <c r="E2732" s="62">
        <v>43874</v>
      </c>
      <c r="F2732" s="285"/>
    </row>
    <row r="2733" spans="1:6" ht="14.25" thickTop="1" thickBot="1">
      <c r="A2733" s="267" t="str">
        <f>C2735</f>
        <v>VALDINEI MOREIRA</v>
      </c>
      <c r="B2733" s="68" t="s">
        <v>62</v>
      </c>
      <c r="C2733" s="66" t="s">
        <v>968</v>
      </c>
      <c r="D2733" s="69"/>
      <c r="E2733" s="73">
        <v>40668</v>
      </c>
      <c r="F2733" s="287"/>
    </row>
    <row r="2734" spans="1:6" ht="14.25" thickTop="1" thickBot="1">
      <c r="A2734" s="267" t="str">
        <f>C2736</f>
        <v>VALDINEI PEREZ</v>
      </c>
      <c r="B2734" s="68" t="s">
        <v>62</v>
      </c>
      <c r="C2734" s="66" t="s">
        <v>3104</v>
      </c>
      <c r="D2734" s="65">
        <v>27019</v>
      </c>
      <c r="E2734" s="62">
        <v>42327</v>
      </c>
      <c r="F2734" s="285"/>
    </row>
    <row r="2735" spans="1:6" ht="14.25" thickTop="1" thickBot="1">
      <c r="A2735" s="267" t="str">
        <f>C2737</f>
        <v>VALDINEY GONÇALVES</v>
      </c>
      <c r="B2735" s="68" t="s">
        <v>62</v>
      </c>
      <c r="C2735" s="66" t="s">
        <v>1109</v>
      </c>
      <c r="D2735" s="69">
        <v>27156</v>
      </c>
      <c r="E2735" s="70">
        <v>42166</v>
      </c>
      <c r="F2735" s="291"/>
    </row>
    <row r="2736" spans="1:6" ht="14.25" thickTop="1" thickBot="1">
      <c r="A2736" s="267" t="str">
        <f>C2738</f>
        <v>VALDIR ANGIESKI</v>
      </c>
      <c r="B2736" s="68" t="s">
        <v>62</v>
      </c>
      <c r="C2736" s="66" t="s">
        <v>0</v>
      </c>
      <c r="D2736" s="65">
        <v>101897</v>
      </c>
      <c r="E2736" s="62">
        <v>40996</v>
      </c>
      <c r="F2736" s="287"/>
    </row>
    <row r="2737" spans="1:6" ht="14.25" thickTop="1" thickBot="1">
      <c r="A2737" s="267" t="str">
        <f>C2740</f>
        <v xml:space="preserve">VALDIR INOCENCIO DA SILVA        </v>
      </c>
      <c r="B2737" s="68" t="s">
        <v>62</v>
      </c>
      <c r="C2737" s="66" t="s">
        <v>671</v>
      </c>
      <c r="D2737" s="65">
        <v>27019</v>
      </c>
      <c r="E2737" s="62">
        <v>42480</v>
      </c>
      <c r="F2737" s="287"/>
    </row>
    <row r="2738" spans="1:6" ht="14.25" thickTop="1" thickBot="1">
      <c r="A2738" s="269" t="s">
        <v>2860</v>
      </c>
      <c r="B2738" s="68" t="s">
        <v>1812</v>
      </c>
      <c r="C2738" s="64" t="s">
        <v>1605</v>
      </c>
      <c r="D2738" s="65"/>
      <c r="E2738" s="62">
        <v>40016</v>
      </c>
      <c r="F2738" s="287"/>
    </row>
    <row r="2739" spans="1:6" ht="14.25" thickTop="1" thickBot="1">
      <c r="A2739" s="267" t="str">
        <f>C2742</f>
        <v>VALDIVAN PEREIRA DOS SANTOS</v>
      </c>
      <c r="B2739" s="68" t="s">
        <v>2413</v>
      </c>
      <c r="C2739" s="192" t="s">
        <v>2860</v>
      </c>
      <c r="D2739" s="61">
        <v>177932</v>
      </c>
      <c r="E2739" s="70">
        <v>43818</v>
      </c>
      <c r="F2739" s="287"/>
    </row>
    <row r="2740" spans="1:6" ht="14.25" thickTop="1" thickBot="1">
      <c r="A2740" s="304" t="s">
        <v>2157</v>
      </c>
      <c r="B2740" s="68" t="s">
        <v>62</v>
      </c>
      <c r="C2740" s="64" t="s">
        <v>1172</v>
      </c>
      <c r="D2740" s="69">
        <v>51129</v>
      </c>
      <c r="E2740" s="62">
        <v>42639</v>
      </c>
      <c r="F2740" s="287"/>
    </row>
    <row r="2741" spans="1:6" ht="14.25" thickTop="1" thickBot="1">
      <c r="A2741" s="274"/>
      <c r="B2741" s="68" t="s">
        <v>2413</v>
      </c>
      <c r="C2741" s="192" t="s">
        <v>2429</v>
      </c>
      <c r="D2741" s="61">
        <v>3642</v>
      </c>
      <c r="E2741" s="62">
        <v>44062</v>
      </c>
      <c r="F2741" s="285"/>
    </row>
    <row r="2742" spans="1:6" ht="14.25" thickTop="1" thickBot="1">
      <c r="A2742" s="267" t="str">
        <f t="shared" ref="A2742:A2748" si="114">C2744</f>
        <v>VALDIVINO BUENO CAMARGO</v>
      </c>
      <c r="B2742" s="68" t="s">
        <v>2406</v>
      </c>
      <c r="C2742" s="66" t="s">
        <v>2157</v>
      </c>
      <c r="D2742" s="61">
        <v>19719</v>
      </c>
      <c r="E2742" s="62">
        <v>43656</v>
      </c>
      <c r="F2742" s="287"/>
    </row>
    <row r="2743" spans="1:6" ht="14.25" thickTop="1" thickBot="1">
      <c r="A2743" s="267" t="str">
        <f t="shared" si="114"/>
        <v>VALDOMIRO ENES DOS SANTOS</v>
      </c>
      <c r="B2743" s="68" t="s">
        <v>62</v>
      </c>
      <c r="C2743" s="64" t="s">
        <v>1678</v>
      </c>
      <c r="D2743" s="61">
        <v>49604</v>
      </c>
      <c r="E2743" s="70">
        <v>43363</v>
      </c>
      <c r="F2743" s="291"/>
    </row>
    <row r="2744" spans="1:6" ht="14.25" thickTop="1" thickBot="1">
      <c r="A2744" s="267" t="str">
        <f t="shared" si="114"/>
        <v>VALDOMIRO JOSÉ DOS S. PEREIRA</v>
      </c>
      <c r="B2744" s="68" t="s">
        <v>62</v>
      </c>
      <c r="C2744" s="66" t="s">
        <v>1276</v>
      </c>
      <c r="D2744" s="67"/>
      <c r="E2744" s="70">
        <v>42326</v>
      </c>
      <c r="F2744" s="287"/>
    </row>
    <row r="2745" spans="1:6" ht="14.25" thickTop="1" thickBot="1">
      <c r="A2745" s="267" t="str">
        <f t="shared" si="114"/>
        <v>VALDOVINO GONÇALVES DA CRUZ FILHO</v>
      </c>
      <c r="B2745" s="68" t="s">
        <v>516</v>
      </c>
      <c r="C2745" s="66" t="s">
        <v>1463</v>
      </c>
      <c r="D2745" s="61">
        <v>105338</v>
      </c>
      <c r="E2745" s="62"/>
      <c r="F2745" s="285"/>
    </row>
    <row r="2746" spans="1:6" ht="14.25" thickTop="1" thickBot="1">
      <c r="A2746" s="267" t="str">
        <f t="shared" si="114"/>
        <v>VALERIO APARECIDO DE LIMA</v>
      </c>
      <c r="B2746" s="68" t="s">
        <v>2406</v>
      </c>
      <c r="C2746" s="77" t="s">
        <v>2286</v>
      </c>
      <c r="D2746" s="67"/>
      <c r="E2746" s="115"/>
      <c r="F2746" s="288"/>
    </row>
    <row r="2747" spans="1:6" ht="14.25" thickTop="1" thickBot="1">
      <c r="A2747" s="267" t="str">
        <f t="shared" si="114"/>
        <v>VALERIO JOSE RODRIGUES</v>
      </c>
      <c r="B2747" s="68" t="s">
        <v>516</v>
      </c>
      <c r="C2747" s="66" t="s">
        <v>30</v>
      </c>
      <c r="D2747" s="67"/>
      <c r="E2747" s="62"/>
      <c r="F2747" s="285"/>
    </row>
    <row r="2748" spans="1:6" ht="14.25" thickTop="1" thickBot="1">
      <c r="A2748" s="267" t="str">
        <f t="shared" si="114"/>
        <v>VALMECI FEREIRA BRANCO</v>
      </c>
      <c r="B2748" s="68" t="s">
        <v>62</v>
      </c>
      <c r="C2748" s="66" t="s">
        <v>2705</v>
      </c>
      <c r="D2748" s="65">
        <v>406713</v>
      </c>
      <c r="E2748" s="62"/>
      <c r="F2748" s="285"/>
    </row>
    <row r="2749" spans="1:6" ht="14.25" thickTop="1" thickBot="1">
      <c r="A2749" s="267"/>
      <c r="B2749" s="68" t="s">
        <v>62</v>
      </c>
      <c r="C2749" s="66" t="s">
        <v>31</v>
      </c>
      <c r="D2749" s="61">
        <v>27034</v>
      </c>
      <c r="E2749" s="62"/>
      <c r="F2749" s="285"/>
    </row>
    <row r="2750" spans="1:6" ht="14.25" thickTop="1" thickBot="1">
      <c r="A2750" s="267" t="str">
        <f>C2776</f>
        <v>VANIR FERREIRA DE LIMA</v>
      </c>
      <c r="B2750" s="68" t="s">
        <v>1812</v>
      </c>
      <c r="C2750" s="66" t="s">
        <v>1466</v>
      </c>
      <c r="D2750" s="65"/>
      <c r="E2750" s="81">
        <v>43550</v>
      </c>
      <c r="F2750" s="285"/>
    </row>
    <row r="2751" spans="1:6" ht="14.25" thickTop="1" thickBot="1">
      <c r="A2751" s="267" t="str">
        <f>C2777</f>
        <v>VARDEMIL PEREIRA BATISTA</v>
      </c>
      <c r="B2751" s="68" t="s">
        <v>1812</v>
      </c>
      <c r="C2751" s="66" t="s">
        <v>1173</v>
      </c>
      <c r="D2751" s="65">
        <v>102395</v>
      </c>
      <c r="E2751" s="62"/>
      <c r="F2751" s="285"/>
    </row>
    <row r="2752" spans="1:6" ht="14.25" thickTop="1" thickBot="1">
      <c r="A2752" s="267" t="s">
        <v>2640</v>
      </c>
      <c r="B2752" s="68" t="s">
        <v>415</v>
      </c>
      <c r="C2752" s="60" t="s">
        <v>2316</v>
      </c>
      <c r="D2752" s="61">
        <v>14566</v>
      </c>
      <c r="E2752" s="62"/>
      <c r="F2752" s="285"/>
    </row>
    <row r="2753" spans="1:256" ht="14.25" thickTop="1" thickBot="1">
      <c r="A2753" s="267" t="str">
        <f>C2755</f>
        <v>VALTER CONTADOR DE OLIVEIRA</v>
      </c>
      <c r="B2753" s="68" t="s">
        <v>2413</v>
      </c>
      <c r="C2753" s="64" t="s">
        <v>1677</v>
      </c>
      <c r="D2753" s="61">
        <v>63631</v>
      </c>
      <c r="E2753" s="62"/>
      <c r="F2753" s="285"/>
    </row>
    <row r="2754" spans="1:256" ht="14.25" thickTop="1" thickBot="1">
      <c r="A2754" s="267"/>
      <c r="B2754" s="68" t="s">
        <v>62</v>
      </c>
      <c r="C2754" s="66" t="s">
        <v>3105</v>
      </c>
      <c r="D2754" s="65">
        <v>63488</v>
      </c>
      <c r="E2754" s="62"/>
      <c r="F2754" s="285"/>
    </row>
    <row r="2755" spans="1:256" ht="14.25" thickTop="1" thickBot="1">
      <c r="A2755" s="267"/>
      <c r="B2755" s="68" t="s">
        <v>2406</v>
      </c>
      <c r="C2755" s="192" t="s">
        <v>2792</v>
      </c>
      <c r="D2755" s="61">
        <v>141623</v>
      </c>
      <c r="E2755" s="70">
        <v>43739</v>
      </c>
      <c r="F2755" s="287"/>
    </row>
    <row r="2756" spans="1:256" ht="14.25" thickTop="1" thickBot="1">
      <c r="A2756" s="267" t="str">
        <f t="shared" ref="A2756:A2768" si="115">C2758</f>
        <v>VANDERLEI ALVES DE GOIS</v>
      </c>
      <c r="B2756" s="68" t="s">
        <v>62</v>
      </c>
      <c r="C2756" s="64" t="s">
        <v>1118</v>
      </c>
      <c r="D2756" s="65">
        <v>102248</v>
      </c>
      <c r="E2756" s="62"/>
      <c r="F2756" s="285"/>
    </row>
    <row r="2757" spans="1:256" ht="14.25" thickTop="1" thickBot="1">
      <c r="A2757" s="267" t="str">
        <f t="shared" si="115"/>
        <v>VANDERLEI BUENO DE LIMA</v>
      </c>
      <c r="B2757" s="68" t="s">
        <v>62</v>
      </c>
      <c r="C2757" s="66" t="s">
        <v>481</v>
      </c>
      <c r="D2757" s="65">
        <v>63707</v>
      </c>
      <c r="E2757" s="115"/>
      <c r="F2757" s="288" t="s">
        <v>1027</v>
      </c>
    </row>
    <row r="2758" spans="1:256" ht="14.25" thickTop="1" thickBot="1">
      <c r="A2758" s="267" t="str">
        <f t="shared" si="115"/>
        <v>VANDERLEI CARLOS FERREIRA</v>
      </c>
      <c r="B2758" s="68" t="s">
        <v>62</v>
      </c>
      <c r="C2758" s="66" t="s">
        <v>166</v>
      </c>
      <c r="D2758" s="69">
        <v>8224</v>
      </c>
      <c r="E2758" s="70">
        <v>42922</v>
      </c>
      <c r="F2758" s="284"/>
    </row>
    <row r="2759" spans="1:256" ht="14.25" thickTop="1" thickBot="1">
      <c r="A2759" s="267" t="str">
        <f t="shared" si="115"/>
        <v>VANDERLEI DIEGO SIEIRO</v>
      </c>
      <c r="B2759" s="68" t="s">
        <v>62</v>
      </c>
      <c r="C2759" s="64" t="s">
        <v>32</v>
      </c>
      <c r="D2759" s="61">
        <v>102133</v>
      </c>
      <c r="E2759" s="62"/>
      <c r="F2759" s="285"/>
    </row>
    <row r="2760" spans="1:256" ht="14.25" thickTop="1" thickBot="1">
      <c r="A2760" s="267" t="str">
        <f t="shared" si="115"/>
        <v>VANDERLEI FERREIRA</v>
      </c>
      <c r="B2760" s="68" t="s">
        <v>62</v>
      </c>
      <c r="C2760" s="66" t="s">
        <v>462</v>
      </c>
      <c r="D2760" s="61">
        <v>63812</v>
      </c>
      <c r="E2760" s="62"/>
      <c r="F2760" s="285"/>
    </row>
    <row r="2761" spans="1:256" ht="14.25" thickTop="1" thickBot="1">
      <c r="A2761" s="267" t="str">
        <f t="shared" si="115"/>
        <v>VANDERLEI FERREIRA</v>
      </c>
      <c r="B2761" s="68" t="s">
        <v>62</v>
      </c>
      <c r="C2761" s="66" t="s">
        <v>493</v>
      </c>
      <c r="D2761" s="67"/>
      <c r="E2761" s="62"/>
      <c r="F2761" s="285"/>
    </row>
    <row r="2762" spans="1:256" ht="14.25" thickTop="1" thickBot="1">
      <c r="A2762" s="267" t="str">
        <f t="shared" si="115"/>
        <v>VANDERLEI FILISBINO</v>
      </c>
      <c r="B2762" s="68" t="s">
        <v>62</v>
      </c>
      <c r="C2762" s="66" t="s">
        <v>73</v>
      </c>
      <c r="D2762" s="65">
        <v>27139</v>
      </c>
      <c r="E2762" s="70">
        <v>42922</v>
      </c>
      <c r="F2762" s="284"/>
    </row>
    <row r="2763" spans="1:256" ht="14.25" thickTop="1" thickBot="1">
      <c r="A2763" s="267" t="str">
        <f t="shared" si="115"/>
        <v xml:space="preserve">VANDERLEI HASS </v>
      </c>
      <c r="B2763" s="68" t="s">
        <v>62</v>
      </c>
      <c r="C2763" s="66" t="s">
        <v>73</v>
      </c>
      <c r="D2763" s="65">
        <v>63812</v>
      </c>
      <c r="E2763" s="62"/>
      <c r="F2763" s="285"/>
    </row>
    <row r="2764" spans="1:256" ht="14.25" thickTop="1" thickBot="1">
      <c r="A2764" s="267" t="str">
        <f t="shared" si="115"/>
        <v>VANDERLEI MARTINS                         (Careca)</v>
      </c>
      <c r="B2764" s="68" t="s">
        <v>62</v>
      </c>
      <c r="C2764" s="66" t="s">
        <v>708</v>
      </c>
      <c r="D2764" s="61">
        <v>10519</v>
      </c>
      <c r="E2764" s="62">
        <v>43547</v>
      </c>
      <c r="F2764" s="284"/>
    </row>
    <row r="2765" spans="1:256" ht="14.25" thickTop="1" thickBot="1">
      <c r="A2765" s="267" t="str">
        <f t="shared" si="115"/>
        <v>VANDERLEI MATOS DOS SANTOS              (Corujinha)</v>
      </c>
      <c r="B2765" s="61" t="s">
        <v>2413</v>
      </c>
      <c r="C2765" s="64" t="s">
        <v>482</v>
      </c>
      <c r="D2765" s="67"/>
      <c r="E2765" s="62"/>
      <c r="F2765" s="285"/>
    </row>
    <row r="2766" spans="1:256" ht="14.25" thickTop="1" thickBot="1">
      <c r="A2766" s="267" t="str">
        <f t="shared" si="115"/>
        <v>VANDERLEI MATOS DOS SANTOS              (Corujinha)</v>
      </c>
      <c r="B2766" s="68" t="s">
        <v>62</v>
      </c>
      <c r="C2766" s="66" t="s">
        <v>3234</v>
      </c>
      <c r="D2766" s="61">
        <v>63488</v>
      </c>
      <c r="E2766" s="62"/>
      <c r="F2766" s="285"/>
    </row>
    <row r="2767" spans="1:256" ht="14.25" thickTop="1" thickBot="1">
      <c r="A2767" s="267" t="str">
        <f t="shared" si="115"/>
        <v>VANDERLEI MOREIRA</v>
      </c>
      <c r="B2767" s="68" t="s">
        <v>62</v>
      </c>
      <c r="C2767" s="60" t="s">
        <v>3235</v>
      </c>
      <c r="D2767" s="61">
        <v>102263</v>
      </c>
      <c r="E2767" s="62"/>
      <c r="F2767" s="285"/>
    </row>
    <row r="2768" spans="1:256" s="239" customFormat="1" ht="14.25" thickTop="1" thickBot="1">
      <c r="A2768" s="267" t="str">
        <f t="shared" si="115"/>
        <v>VANDERLEI RIBEIRO</v>
      </c>
      <c r="B2768" s="68" t="s">
        <v>62</v>
      </c>
      <c r="C2768" s="64" t="s">
        <v>3235</v>
      </c>
      <c r="D2768" s="67"/>
      <c r="E2768" s="62"/>
      <c r="F2768" s="285"/>
      <c r="G2768" s="37"/>
      <c r="H2768" s="37"/>
      <c r="I2768" s="37"/>
      <c r="J2768" s="37"/>
      <c r="K2768" s="37"/>
      <c r="L2768" s="37"/>
      <c r="M2768" s="37"/>
      <c r="N2768" s="37"/>
      <c r="O2768" s="37"/>
      <c r="P2768" s="37"/>
      <c r="Q2768" s="37"/>
      <c r="R2768" s="37"/>
      <c r="S2768" s="37"/>
      <c r="T2768" s="37"/>
      <c r="U2768" s="37"/>
      <c r="V2768" s="37"/>
      <c r="W2768" s="37"/>
      <c r="X2768" s="37"/>
      <c r="Y2768" s="37"/>
      <c r="Z2768" s="37"/>
      <c r="AA2768" s="37"/>
      <c r="AB2768" s="37"/>
      <c r="AC2768" s="37"/>
      <c r="AD2768" s="37"/>
      <c r="AE2768" s="37"/>
      <c r="AF2768" s="37"/>
      <c r="AG2768" s="37"/>
      <c r="AH2768" s="37"/>
      <c r="AI2768" s="37"/>
      <c r="AJ2768" s="37"/>
      <c r="AK2768" s="37"/>
      <c r="AL2768" s="37"/>
      <c r="AM2768" s="37"/>
      <c r="AN2768" s="37"/>
      <c r="AO2768" s="37"/>
      <c r="AP2768" s="37"/>
      <c r="AQ2768" s="37"/>
      <c r="AR2768" s="37"/>
      <c r="AS2768" s="37"/>
      <c r="AT2768" s="37"/>
      <c r="AU2768" s="37"/>
      <c r="AV2768" s="37"/>
      <c r="AW2768" s="37"/>
      <c r="AX2768" s="37"/>
      <c r="AY2768" s="37"/>
      <c r="AZ2768" s="37"/>
      <c r="BA2768" s="37"/>
      <c r="BB2768" s="37"/>
      <c r="BC2768" s="37"/>
      <c r="BD2768" s="37"/>
      <c r="BE2768" s="37"/>
      <c r="BF2768" s="37"/>
      <c r="BG2768" s="37"/>
      <c r="BH2768" s="37"/>
      <c r="BI2768" s="37"/>
      <c r="BJ2768" s="37"/>
      <c r="BK2768" s="37"/>
      <c r="BL2768" s="37"/>
      <c r="BM2768" s="37"/>
      <c r="BN2768" s="37"/>
      <c r="BO2768" s="37"/>
      <c r="BP2768" s="37"/>
      <c r="BQ2768" s="37"/>
      <c r="BR2768" s="37"/>
      <c r="BS2768" s="37"/>
      <c r="BT2768" s="37"/>
      <c r="BU2768" s="37"/>
      <c r="BV2768" s="37"/>
      <c r="BW2768" s="37"/>
      <c r="BX2768" s="37"/>
      <c r="BY2768" s="37"/>
      <c r="BZ2768" s="37"/>
      <c r="CA2768" s="37"/>
      <c r="CB2768" s="37"/>
      <c r="CC2768" s="37"/>
      <c r="CD2768" s="37"/>
      <c r="CE2768" s="37"/>
      <c r="CF2768" s="37"/>
      <c r="CG2768" s="37"/>
      <c r="CH2768" s="37"/>
      <c r="CI2768" s="37"/>
      <c r="CJ2768" s="37"/>
      <c r="CK2768" s="37"/>
      <c r="CL2768" s="37"/>
      <c r="CM2768" s="37"/>
      <c r="CN2768" s="37"/>
      <c r="CO2768" s="37"/>
      <c r="CP2768" s="37"/>
      <c r="CQ2768" s="37"/>
      <c r="CR2768" s="37"/>
      <c r="CS2768" s="37"/>
      <c r="CT2768" s="37"/>
      <c r="CU2768" s="37"/>
      <c r="CV2768" s="37"/>
      <c r="CW2768" s="37"/>
      <c r="CX2768" s="37"/>
      <c r="CY2768" s="37"/>
      <c r="CZ2768" s="37"/>
      <c r="DA2768" s="37"/>
      <c r="DB2768" s="37"/>
      <c r="DC2768" s="37"/>
      <c r="DD2768" s="37"/>
      <c r="DE2768" s="37"/>
      <c r="DF2768" s="37"/>
      <c r="DG2768" s="37"/>
      <c r="DH2768" s="37"/>
      <c r="DI2768" s="37"/>
      <c r="DJ2768" s="37"/>
      <c r="DK2768" s="37"/>
      <c r="DL2768" s="37"/>
      <c r="DM2768" s="37"/>
      <c r="DN2768" s="37"/>
      <c r="DO2768" s="37"/>
      <c r="DP2768" s="37"/>
      <c r="DQ2768" s="37"/>
      <c r="DR2768" s="37"/>
      <c r="DS2768" s="37"/>
      <c r="DT2768" s="37"/>
      <c r="DU2768" s="37"/>
      <c r="DV2768" s="37"/>
      <c r="DW2768" s="37"/>
      <c r="DX2768" s="37"/>
      <c r="DY2768" s="37"/>
      <c r="DZ2768" s="37"/>
      <c r="EA2768" s="37"/>
      <c r="EB2768" s="37"/>
      <c r="EC2768" s="37"/>
      <c r="ED2768" s="37"/>
      <c r="EE2768" s="37"/>
      <c r="EF2768" s="37"/>
      <c r="EG2768" s="37"/>
      <c r="EH2768" s="37"/>
      <c r="EI2768" s="37"/>
      <c r="EJ2768" s="37"/>
      <c r="EK2768" s="37"/>
      <c r="EL2768" s="37"/>
      <c r="EM2768" s="37"/>
      <c r="EN2768" s="37"/>
      <c r="EO2768" s="37"/>
      <c r="EP2768" s="37"/>
      <c r="EQ2768" s="37"/>
      <c r="ER2768" s="37"/>
      <c r="ES2768" s="37"/>
      <c r="ET2768" s="37"/>
      <c r="EU2768" s="37"/>
      <c r="EV2768" s="37"/>
      <c r="EW2768" s="37"/>
      <c r="EX2768" s="37"/>
      <c r="EY2768" s="37"/>
      <c r="EZ2768" s="37"/>
      <c r="FA2768" s="37"/>
      <c r="FB2768" s="37"/>
      <c r="FC2768" s="37"/>
      <c r="FD2768" s="37"/>
      <c r="FE2768" s="37"/>
      <c r="FF2768" s="37"/>
      <c r="FG2768" s="37"/>
      <c r="FH2768" s="37"/>
      <c r="FI2768" s="37"/>
      <c r="FJ2768" s="37"/>
      <c r="FK2768" s="37"/>
      <c r="FL2768" s="37"/>
      <c r="FM2768" s="37"/>
      <c r="FN2768" s="37"/>
      <c r="FO2768" s="37"/>
      <c r="FP2768" s="37"/>
      <c r="FQ2768" s="37"/>
      <c r="FR2768" s="37"/>
      <c r="FS2768" s="37"/>
      <c r="FT2768" s="37"/>
      <c r="FU2768" s="37"/>
      <c r="FV2768" s="37"/>
      <c r="FW2768" s="37"/>
      <c r="FX2768" s="37"/>
      <c r="FY2768" s="37"/>
      <c r="FZ2768" s="37"/>
      <c r="GA2768" s="37"/>
      <c r="GB2768" s="37"/>
      <c r="GC2768" s="37"/>
      <c r="GD2768" s="37"/>
      <c r="GE2768" s="37"/>
      <c r="GF2768" s="37"/>
      <c r="GG2768" s="37"/>
      <c r="GH2768" s="37"/>
      <c r="GI2768" s="37"/>
      <c r="GJ2768" s="37"/>
      <c r="GK2768" s="37"/>
      <c r="GL2768" s="37"/>
      <c r="GM2768" s="37"/>
      <c r="GN2768" s="37"/>
      <c r="GO2768" s="37"/>
      <c r="GP2768" s="37"/>
      <c r="GQ2768" s="37"/>
      <c r="GR2768" s="37"/>
      <c r="GS2768" s="37"/>
      <c r="GT2768" s="37"/>
      <c r="GU2768" s="37"/>
      <c r="GV2768" s="37"/>
      <c r="GW2768" s="37"/>
      <c r="GX2768" s="37"/>
      <c r="GY2768" s="37"/>
      <c r="GZ2768" s="37"/>
      <c r="HA2768" s="37"/>
      <c r="HB2768" s="37"/>
      <c r="HC2768" s="37"/>
      <c r="HD2768" s="37"/>
      <c r="HE2768" s="37"/>
      <c r="HF2768" s="37"/>
      <c r="HG2768" s="37"/>
      <c r="HH2768" s="37"/>
      <c r="HI2768" s="37"/>
      <c r="HJ2768" s="37"/>
      <c r="HK2768" s="37"/>
      <c r="HL2768" s="37"/>
      <c r="HM2768" s="37"/>
      <c r="HN2768" s="37"/>
      <c r="HO2768" s="37"/>
      <c r="HP2768" s="37"/>
      <c r="HQ2768" s="37"/>
      <c r="HR2768" s="37"/>
      <c r="HS2768" s="37"/>
      <c r="HT2768" s="37"/>
      <c r="HU2768" s="37"/>
      <c r="HV2768" s="37"/>
      <c r="HW2768" s="37"/>
      <c r="HX2768" s="37"/>
      <c r="HY2768" s="37"/>
      <c r="HZ2768" s="37"/>
      <c r="IA2768" s="37"/>
      <c r="IB2768" s="37"/>
      <c r="IC2768" s="37"/>
      <c r="ID2768" s="37"/>
      <c r="IE2768" s="37"/>
      <c r="IF2768" s="37"/>
      <c r="IG2768" s="37"/>
      <c r="IH2768" s="37"/>
      <c r="II2768" s="37"/>
      <c r="IJ2768" s="37"/>
      <c r="IK2768" s="37"/>
      <c r="IL2768" s="37"/>
      <c r="IM2768" s="37"/>
      <c r="IN2768" s="37"/>
      <c r="IO2768" s="37"/>
      <c r="IP2768" s="37"/>
      <c r="IQ2768" s="37"/>
      <c r="IR2768" s="37"/>
      <c r="IS2768" s="37"/>
      <c r="IT2768" s="37"/>
      <c r="IU2768" s="37"/>
      <c r="IV2768" s="37"/>
    </row>
    <row r="2769" spans="1:6" ht="14.25" thickTop="1" thickBot="1">
      <c r="A2769" s="267" t="s">
        <v>2641</v>
      </c>
      <c r="B2769" s="68" t="s">
        <v>62</v>
      </c>
      <c r="C2769" s="64" t="s">
        <v>532</v>
      </c>
      <c r="D2769" s="65">
        <v>142546</v>
      </c>
      <c r="E2769" s="62"/>
      <c r="F2769" s="285"/>
    </row>
    <row r="2770" spans="1:6" ht="14.25" thickTop="1" thickBot="1">
      <c r="A2770" s="267" t="str">
        <f t="shared" ref="A2770:A2778" si="116">C2772</f>
        <v>VANDERLEY MARTINS</v>
      </c>
      <c r="B2770" s="68" t="s">
        <v>2413</v>
      </c>
      <c r="C2770" s="64" t="s">
        <v>523</v>
      </c>
      <c r="D2770" s="65">
        <v>63696</v>
      </c>
      <c r="E2770" s="62"/>
      <c r="F2770" s="285"/>
    </row>
    <row r="2771" spans="1:6" ht="14.25" thickTop="1" thickBot="1">
      <c r="A2771" s="267" t="str">
        <f t="shared" si="116"/>
        <v>VANDERSON BATISTA DA SILVA</v>
      </c>
      <c r="B2771" s="68" t="s">
        <v>62</v>
      </c>
      <c r="C2771" s="66" t="s">
        <v>2166</v>
      </c>
      <c r="D2771" s="61">
        <v>101606</v>
      </c>
      <c r="E2771" s="62"/>
      <c r="F2771" s="285"/>
    </row>
    <row r="2772" spans="1:6" ht="14.25" thickTop="1" thickBot="1">
      <c r="A2772" s="267" t="str">
        <f t="shared" si="116"/>
        <v>VANDRO KRASNHAK</v>
      </c>
      <c r="B2772" s="68" t="s">
        <v>62</v>
      </c>
      <c r="C2772" s="64" t="s">
        <v>2642</v>
      </c>
      <c r="D2772" s="65">
        <v>10159</v>
      </c>
      <c r="E2772" s="62"/>
      <c r="F2772" s="285"/>
    </row>
    <row r="2773" spans="1:6" ht="14.25" thickTop="1" thickBot="1">
      <c r="A2773" s="267" t="str">
        <f t="shared" si="116"/>
        <v>VANDRO KRASNHAK</v>
      </c>
      <c r="B2773" s="68" t="s">
        <v>1812</v>
      </c>
      <c r="C2773" s="66" t="s">
        <v>483</v>
      </c>
      <c r="D2773" s="65"/>
      <c r="E2773" s="62"/>
      <c r="F2773" s="285"/>
    </row>
    <row r="2774" spans="1:6" ht="14.25" thickTop="1" thickBot="1">
      <c r="A2774" s="267" t="str">
        <f t="shared" si="116"/>
        <v>VANIR FERREIRA DE LIMA</v>
      </c>
      <c r="B2774" s="68" t="s">
        <v>62</v>
      </c>
      <c r="C2774" s="66" t="s">
        <v>1015</v>
      </c>
      <c r="D2774" s="65"/>
      <c r="E2774" s="62"/>
      <c r="F2774" s="285"/>
    </row>
    <row r="2775" spans="1:6" ht="14.25" thickTop="1" thickBot="1">
      <c r="A2775" s="267" t="str">
        <f t="shared" si="116"/>
        <v>VARDEMIL PEREIRA BATISTA</v>
      </c>
      <c r="B2775" s="68" t="s">
        <v>62</v>
      </c>
      <c r="C2775" s="66" t="s">
        <v>1015</v>
      </c>
      <c r="D2775" s="61">
        <v>27024</v>
      </c>
      <c r="E2775" s="62"/>
      <c r="F2775" s="285"/>
    </row>
    <row r="2776" spans="1:6" ht="14.25" thickTop="1" thickBot="1">
      <c r="A2776" s="267" t="str">
        <f t="shared" si="116"/>
        <v>VENILTON DOS SANTOS</v>
      </c>
      <c r="B2776" s="68" t="s">
        <v>62</v>
      </c>
      <c r="C2776" s="66" t="s">
        <v>1107</v>
      </c>
      <c r="D2776" s="65">
        <v>38598</v>
      </c>
      <c r="E2776" s="62"/>
      <c r="F2776" s="285"/>
    </row>
    <row r="2777" spans="1:6" ht="14.25" thickTop="1" thickBot="1">
      <c r="A2777" s="267" t="str">
        <f t="shared" si="116"/>
        <v>VERIDIANO FRANCELINO DOS SANTOS</v>
      </c>
      <c r="B2777" s="68" t="s">
        <v>62</v>
      </c>
      <c r="C2777" s="66" t="s">
        <v>472</v>
      </c>
      <c r="D2777" s="65">
        <v>63060</v>
      </c>
      <c r="E2777" s="62"/>
      <c r="F2777" s="285"/>
    </row>
    <row r="2778" spans="1:6" ht="14.25" thickTop="1" thickBot="1">
      <c r="A2778" s="267" t="str">
        <f t="shared" si="116"/>
        <v>VICENTE MARIA RIBEIRO</v>
      </c>
      <c r="B2778" s="68" t="s">
        <v>62</v>
      </c>
      <c r="C2778" s="64" t="s">
        <v>141</v>
      </c>
      <c r="D2778" s="65">
        <v>63959</v>
      </c>
      <c r="E2778" s="70">
        <v>42923</v>
      </c>
      <c r="F2778" s="287"/>
    </row>
    <row r="2779" spans="1:6" ht="14.25" thickTop="1" thickBot="1">
      <c r="A2779" s="267" t="str">
        <f>C2783</f>
        <v>VICTOR HENRIQUE DA CRUZ ALVES            (Branquinho)</v>
      </c>
      <c r="B2779" s="68" t="s">
        <v>62</v>
      </c>
      <c r="C2779" s="64" t="s">
        <v>230</v>
      </c>
      <c r="D2779" s="65">
        <v>102303</v>
      </c>
      <c r="E2779" s="70"/>
      <c r="F2779" s="287"/>
    </row>
    <row r="2780" spans="1:6" ht="14.25" thickTop="1" thickBot="1">
      <c r="A2780" s="267"/>
      <c r="B2780" s="68" t="s">
        <v>62</v>
      </c>
      <c r="C2780" s="64" t="s">
        <v>458</v>
      </c>
      <c r="D2780" s="65">
        <v>113261</v>
      </c>
      <c r="E2780" s="70">
        <v>43346</v>
      </c>
      <c r="F2780" s="287"/>
    </row>
    <row r="2781" spans="1:6" ht="14.25" thickTop="1" thickBot="1">
      <c r="A2781" s="267" t="str">
        <f>C2783</f>
        <v>VICTOR HENRIQUE DA CRUZ ALVES            (Branquinho)</v>
      </c>
      <c r="B2781" s="68" t="s">
        <v>2347</v>
      </c>
      <c r="C2781" s="64" t="s">
        <v>3233</v>
      </c>
      <c r="D2781" s="65">
        <v>63643</v>
      </c>
      <c r="E2781" s="70">
        <v>43383</v>
      </c>
      <c r="F2781" s="287"/>
    </row>
    <row r="2782" spans="1:6" ht="14.25" thickTop="1" thickBot="1">
      <c r="A2782" s="267" t="str">
        <f>C2784</f>
        <v>VICTOR HENRIQUE DE ALMEIDA OLIVEIRA</v>
      </c>
      <c r="B2782" s="68" t="s">
        <v>351</v>
      </c>
      <c r="C2782" s="64" t="s">
        <v>2035</v>
      </c>
      <c r="D2782" s="65">
        <v>145756</v>
      </c>
      <c r="E2782" s="70"/>
      <c r="F2782" s="287"/>
    </row>
    <row r="2783" spans="1:6" ht="14.25" thickTop="1" thickBot="1">
      <c r="A2783" s="267"/>
      <c r="B2783" s="68" t="s">
        <v>62</v>
      </c>
      <c r="C2783" s="64" t="s">
        <v>3232</v>
      </c>
      <c r="D2783" s="65">
        <v>124052</v>
      </c>
      <c r="E2783" s="70"/>
      <c r="F2783" s="287"/>
    </row>
    <row r="2784" spans="1:6" ht="14.25" thickTop="1" thickBot="1">
      <c r="A2784" s="267"/>
      <c r="B2784" s="68" t="s">
        <v>2413</v>
      </c>
      <c r="C2784" s="195" t="s">
        <v>2038</v>
      </c>
      <c r="D2784" s="61">
        <v>101216</v>
      </c>
      <c r="E2784" s="62">
        <v>43749</v>
      </c>
      <c r="F2784" s="285"/>
    </row>
    <row r="2785" spans="1:256" ht="14.25" thickTop="1" thickBot="1">
      <c r="A2785" s="267" t="str">
        <f>C2787</f>
        <v xml:space="preserve">VILMAR DOS SANTOS         </v>
      </c>
      <c r="B2785" s="68" t="s">
        <v>62</v>
      </c>
      <c r="C2785" s="64" t="s">
        <v>2141</v>
      </c>
      <c r="D2785" s="65"/>
      <c r="E2785" s="70"/>
      <c r="F2785" s="287"/>
    </row>
    <row r="2786" spans="1:256" ht="14.25" thickTop="1" thickBot="1">
      <c r="A2786" s="267" t="s">
        <v>2528</v>
      </c>
      <c r="B2786" s="68" t="s">
        <v>62</v>
      </c>
      <c r="C2786" s="64" t="s">
        <v>35</v>
      </c>
      <c r="D2786" s="65"/>
      <c r="E2786" s="70">
        <v>43524</v>
      </c>
      <c r="F2786" s="287"/>
    </row>
    <row r="2787" spans="1:256" ht="14.25" thickTop="1" thickBot="1">
      <c r="A2787" s="267" t="str">
        <f t="shared" ref="A2787:A2793" si="117">C2789</f>
        <v>VILMAR SEBASTIÃO MARTINS CARDOSO     (Mancha)</v>
      </c>
      <c r="B2787" s="68" t="s">
        <v>2593</v>
      </c>
      <c r="C2787" s="64" t="s">
        <v>459</v>
      </c>
      <c r="D2787" s="65"/>
      <c r="E2787" s="70"/>
      <c r="F2787" s="287"/>
      <c r="G2787" s="238"/>
      <c r="H2787" s="238"/>
      <c r="I2787" s="238"/>
      <c r="J2787" s="238"/>
      <c r="K2787" s="238"/>
      <c r="L2787" s="238"/>
      <c r="M2787" s="238"/>
      <c r="N2787" s="238"/>
      <c r="O2787" s="238"/>
      <c r="P2787" s="238"/>
      <c r="Q2787" s="238"/>
      <c r="R2787" s="238"/>
      <c r="S2787" s="238"/>
      <c r="T2787" s="238"/>
      <c r="U2787" s="238"/>
      <c r="V2787" s="238"/>
      <c r="W2787" s="238"/>
      <c r="X2787" s="238"/>
      <c r="Y2787" s="238"/>
      <c r="Z2787" s="238"/>
      <c r="AA2787" s="238"/>
      <c r="AB2787" s="238"/>
      <c r="AC2787" s="238"/>
      <c r="AD2787" s="238"/>
      <c r="AE2787" s="238"/>
      <c r="AF2787" s="238"/>
      <c r="AG2787" s="238"/>
      <c r="AH2787" s="238"/>
      <c r="AI2787" s="238"/>
      <c r="AJ2787" s="238"/>
      <c r="AK2787" s="238"/>
      <c r="AL2787" s="238"/>
      <c r="AM2787" s="238"/>
      <c r="AN2787" s="238"/>
      <c r="AO2787" s="238"/>
      <c r="AP2787" s="238"/>
      <c r="AQ2787" s="238"/>
      <c r="AR2787" s="238"/>
      <c r="AS2787" s="238"/>
      <c r="AT2787" s="238"/>
      <c r="AU2787" s="238"/>
      <c r="AV2787" s="238"/>
      <c r="AW2787" s="238"/>
      <c r="AX2787" s="238"/>
      <c r="AY2787" s="238"/>
      <c r="AZ2787" s="238"/>
      <c r="BA2787" s="238"/>
      <c r="BB2787" s="238"/>
      <c r="BC2787" s="238"/>
      <c r="BD2787" s="238"/>
      <c r="BE2787" s="238"/>
      <c r="BF2787" s="238"/>
      <c r="BG2787" s="238"/>
      <c r="BH2787" s="238"/>
      <c r="BI2787" s="238"/>
      <c r="BJ2787" s="238"/>
      <c r="BK2787" s="238"/>
      <c r="BL2787" s="238"/>
      <c r="BM2787" s="238"/>
      <c r="BN2787" s="238"/>
      <c r="BO2787" s="238"/>
      <c r="BP2787" s="238"/>
      <c r="BQ2787" s="238"/>
      <c r="BR2787" s="238"/>
      <c r="BS2787" s="238"/>
      <c r="BT2787" s="238"/>
      <c r="BU2787" s="238"/>
      <c r="BV2787" s="238"/>
      <c r="BW2787" s="238"/>
      <c r="BX2787" s="238"/>
      <c r="BY2787" s="238"/>
      <c r="BZ2787" s="238"/>
      <c r="CA2787" s="238"/>
      <c r="CB2787" s="238"/>
      <c r="CC2787" s="238"/>
      <c r="CD2787" s="238"/>
      <c r="CE2787" s="238"/>
      <c r="CF2787" s="238"/>
      <c r="CG2787" s="238"/>
      <c r="CH2787" s="238"/>
      <c r="CI2787" s="238"/>
      <c r="CJ2787" s="238"/>
      <c r="CK2787" s="238"/>
      <c r="CL2787" s="238"/>
      <c r="CM2787" s="238"/>
      <c r="CN2787" s="238"/>
      <c r="CO2787" s="238"/>
      <c r="CP2787" s="238"/>
      <c r="CQ2787" s="238"/>
      <c r="CR2787" s="238"/>
      <c r="CS2787" s="238"/>
      <c r="CT2787" s="238"/>
      <c r="CU2787" s="238"/>
      <c r="CV2787" s="238"/>
      <c r="CW2787" s="238"/>
      <c r="CX2787" s="238"/>
      <c r="CY2787" s="238"/>
      <c r="CZ2787" s="238"/>
      <c r="DA2787" s="238"/>
      <c r="DB2787" s="238"/>
      <c r="DC2787" s="238"/>
      <c r="DD2787" s="238"/>
      <c r="DE2787" s="238"/>
      <c r="DF2787" s="238"/>
      <c r="DG2787" s="238"/>
      <c r="DH2787" s="238"/>
      <c r="DI2787" s="238"/>
      <c r="DJ2787" s="238"/>
      <c r="DK2787" s="238"/>
      <c r="DL2787" s="238"/>
      <c r="DM2787" s="238"/>
      <c r="DN2787" s="238"/>
      <c r="DO2787" s="238"/>
      <c r="DP2787" s="238"/>
      <c r="DQ2787" s="238"/>
      <c r="DR2787" s="238"/>
      <c r="DS2787" s="238"/>
      <c r="DT2787" s="238"/>
      <c r="DU2787" s="238"/>
      <c r="DV2787" s="238"/>
      <c r="DW2787" s="238"/>
      <c r="DX2787" s="238"/>
      <c r="DY2787" s="238"/>
      <c r="DZ2787" s="238"/>
      <c r="EA2787" s="238"/>
      <c r="EB2787" s="238"/>
      <c r="EC2787" s="238"/>
      <c r="ED2787" s="238"/>
      <c r="EE2787" s="238"/>
      <c r="EF2787" s="238"/>
      <c r="EG2787" s="238"/>
      <c r="EH2787" s="238"/>
      <c r="EI2787" s="238"/>
      <c r="EJ2787" s="238"/>
      <c r="EK2787" s="238"/>
      <c r="EL2787" s="238"/>
      <c r="EM2787" s="238"/>
      <c r="EN2787" s="238"/>
      <c r="EO2787" s="238"/>
      <c r="EP2787" s="238"/>
      <c r="EQ2787" s="238"/>
      <c r="ER2787" s="238"/>
      <c r="ES2787" s="238"/>
      <c r="ET2787" s="238"/>
      <c r="EU2787" s="238"/>
      <c r="EV2787" s="238"/>
      <c r="EW2787" s="238"/>
      <c r="EX2787" s="238"/>
      <c r="EY2787" s="238"/>
      <c r="EZ2787" s="238"/>
      <c r="FA2787" s="238"/>
      <c r="FB2787" s="238"/>
      <c r="FC2787" s="238"/>
      <c r="FD2787" s="238"/>
      <c r="FE2787" s="238"/>
      <c r="FF2787" s="238"/>
      <c r="FG2787" s="238"/>
      <c r="FH2787" s="238"/>
      <c r="FI2787" s="238"/>
      <c r="FJ2787" s="238"/>
      <c r="FK2787" s="238"/>
      <c r="FL2787" s="238"/>
      <c r="FM2787" s="238"/>
      <c r="FN2787" s="238"/>
      <c r="FO2787" s="238"/>
      <c r="FP2787" s="238"/>
      <c r="FQ2787" s="238"/>
      <c r="FR2787" s="238"/>
      <c r="FS2787" s="238"/>
      <c r="FT2787" s="238"/>
      <c r="FU2787" s="238"/>
      <c r="FV2787" s="238"/>
      <c r="FW2787" s="238"/>
      <c r="FX2787" s="238"/>
      <c r="FY2787" s="238"/>
      <c r="FZ2787" s="238"/>
      <c r="GA2787" s="238"/>
      <c r="GB2787" s="238"/>
      <c r="GC2787" s="238"/>
      <c r="GD2787" s="238"/>
      <c r="GE2787" s="238"/>
      <c r="GF2787" s="238"/>
      <c r="GG2787" s="238"/>
      <c r="GH2787" s="238"/>
      <c r="GI2787" s="238"/>
      <c r="GJ2787" s="238"/>
      <c r="GK2787" s="238"/>
      <c r="GL2787" s="238"/>
      <c r="GM2787" s="238"/>
      <c r="GN2787" s="238"/>
      <c r="GO2787" s="238"/>
      <c r="GP2787" s="238"/>
      <c r="GQ2787" s="238"/>
      <c r="GR2787" s="238"/>
      <c r="GS2787" s="238"/>
      <c r="GT2787" s="238"/>
      <c r="GU2787" s="238"/>
      <c r="GV2787" s="238"/>
      <c r="GW2787" s="238"/>
      <c r="GX2787" s="238"/>
      <c r="GY2787" s="238"/>
      <c r="GZ2787" s="238"/>
      <c r="HA2787" s="238"/>
      <c r="HB2787" s="238"/>
      <c r="HC2787" s="238"/>
      <c r="HD2787" s="238"/>
      <c r="HE2787" s="238"/>
      <c r="HF2787" s="238"/>
      <c r="HG2787" s="238"/>
      <c r="HH2787" s="238"/>
      <c r="HI2787" s="238"/>
      <c r="HJ2787" s="238"/>
      <c r="HK2787" s="238"/>
      <c r="HL2787" s="238"/>
      <c r="HM2787" s="238"/>
      <c r="HN2787" s="238"/>
      <c r="HO2787" s="238"/>
      <c r="HP2787" s="238"/>
      <c r="HQ2787" s="238"/>
      <c r="HR2787" s="238"/>
      <c r="HS2787" s="238"/>
      <c r="HT2787" s="238"/>
      <c r="HU2787" s="238"/>
      <c r="HV2787" s="238"/>
      <c r="HW2787" s="238"/>
      <c r="HX2787" s="238"/>
      <c r="HY2787" s="238"/>
      <c r="HZ2787" s="238"/>
      <c r="IA2787" s="238"/>
      <c r="IB2787" s="238"/>
      <c r="IC2787" s="238"/>
      <c r="ID2787" s="238"/>
      <c r="IE2787" s="238"/>
      <c r="IF2787" s="238"/>
      <c r="IG2787" s="238"/>
      <c r="IH2787" s="238"/>
      <c r="II2787" s="238"/>
      <c r="IJ2787" s="238"/>
      <c r="IK2787" s="238"/>
      <c r="IL2787" s="238"/>
      <c r="IM2787" s="238"/>
      <c r="IN2787" s="238"/>
      <c r="IO2787" s="238"/>
      <c r="IP2787" s="238"/>
      <c r="IQ2787" s="238"/>
      <c r="IR2787" s="238"/>
      <c r="IS2787" s="238"/>
      <c r="IT2787" s="238"/>
      <c r="IU2787" s="238"/>
      <c r="IV2787" s="238"/>
    </row>
    <row r="2788" spans="1:256" ht="14.25" thickTop="1" thickBot="1">
      <c r="A2788" s="267" t="str">
        <f t="shared" si="117"/>
        <v>VILSON LUIS DE LIMA</v>
      </c>
      <c r="B2788" s="68" t="s">
        <v>25</v>
      </c>
      <c r="C2788" s="64" t="s">
        <v>3106</v>
      </c>
      <c r="D2788" s="65">
        <v>63748</v>
      </c>
      <c r="E2788" s="70">
        <v>43346</v>
      </c>
      <c r="F2788" s="287"/>
    </row>
    <row r="2789" spans="1:256" ht="14.25" thickTop="1" thickBot="1">
      <c r="A2789" s="267" t="str">
        <f t="shared" si="117"/>
        <v>VINICIUS BORGES CRISSI</v>
      </c>
      <c r="B2789" s="68" t="s">
        <v>62</v>
      </c>
      <c r="C2789" s="64" t="s">
        <v>3106</v>
      </c>
      <c r="D2789" s="65">
        <v>63748</v>
      </c>
      <c r="E2789" s="70"/>
      <c r="F2789" s="287"/>
    </row>
    <row r="2790" spans="1:256" ht="14.25" thickTop="1" thickBot="1">
      <c r="A2790" s="267" t="str">
        <f t="shared" si="117"/>
        <v>VINICIUS DE QUADROS MATIAS</v>
      </c>
      <c r="B2790" s="68" t="s">
        <v>2347</v>
      </c>
      <c r="C2790" s="64" t="s">
        <v>733</v>
      </c>
      <c r="D2790" s="65">
        <v>10943</v>
      </c>
      <c r="E2790" s="70"/>
      <c r="F2790" s="287"/>
    </row>
    <row r="2791" spans="1:256" ht="14.25" thickTop="1" thickBot="1">
      <c r="A2791" s="267" t="str">
        <f t="shared" si="117"/>
        <v>VINICIUS GIORDANI DE FARIA</v>
      </c>
      <c r="B2791" s="68" t="s">
        <v>1866</v>
      </c>
      <c r="C2791" s="64" t="s">
        <v>575</v>
      </c>
      <c r="D2791" s="65">
        <v>124939</v>
      </c>
      <c r="E2791" s="70"/>
      <c r="F2791" s="287"/>
    </row>
    <row r="2792" spans="1:256" ht="14.25" thickTop="1" thickBot="1">
      <c r="A2792" s="267" t="str">
        <f t="shared" si="117"/>
        <v>VINICIUS HENRIQUE DE OLIVEIRA</v>
      </c>
      <c r="B2792" s="68" t="s">
        <v>1812</v>
      </c>
      <c r="C2792" s="64" t="s">
        <v>2210</v>
      </c>
      <c r="D2792" s="65"/>
      <c r="E2792" s="70"/>
      <c r="F2792" s="287"/>
    </row>
    <row r="2793" spans="1:256" ht="14.25" thickTop="1" thickBot="1">
      <c r="A2793" s="267" t="str">
        <f t="shared" si="117"/>
        <v>VINICIUS HENRIQUE DE OLIVEIRA</v>
      </c>
      <c r="B2793" s="68" t="s">
        <v>1812</v>
      </c>
      <c r="C2793" s="64" t="s">
        <v>14</v>
      </c>
      <c r="D2793" s="65">
        <v>70629</v>
      </c>
      <c r="E2793" s="70"/>
      <c r="F2793" s="287"/>
    </row>
    <row r="2794" spans="1:256" ht="14.25" thickTop="1" thickBot="1">
      <c r="A2794" s="267" t="s">
        <v>2765</v>
      </c>
      <c r="B2794" s="68" t="s">
        <v>1522</v>
      </c>
      <c r="C2794" s="64" t="s">
        <v>1883</v>
      </c>
      <c r="D2794" s="65"/>
      <c r="E2794" s="70"/>
      <c r="F2794" s="287"/>
    </row>
    <row r="2795" spans="1:256" ht="14.25" thickTop="1" thickBot="1">
      <c r="A2795" s="267"/>
      <c r="B2795" s="68" t="s">
        <v>2413</v>
      </c>
      <c r="C2795" s="66" t="s">
        <v>1883</v>
      </c>
      <c r="D2795" s="61">
        <v>130521</v>
      </c>
      <c r="E2795" s="62">
        <v>44126</v>
      </c>
      <c r="F2795" s="285"/>
    </row>
    <row r="2796" spans="1:256" ht="14.25" thickTop="1" thickBot="1">
      <c r="A2796" s="267" t="str">
        <f t="shared" ref="A2796:A2802" si="118">C2798</f>
        <v>VINICIUS TIAGO FLORIANO</v>
      </c>
      <c r="B2796" s="68" t="s">
        <v>1812</v>
      </c>
      <c r="C2796" s="64" t="s">
        <v>2765</v>
      </c>
      <c r="D2796" s="65">
        <v>128173</v>
      </c>
      <c r="E2796" s="70">
        <v>43817</v>
      </c>
      <c r="F2796" s="287"/>
    </row>
    <row r="2797" spans="1:256" ht="14.25" thickTop="1" thickBot="1">
      <c r="A2797" s="267" t="str">
        <f t="shared" si="118"/>
        <v>VITOR DA SILVA</v>
      </c>
      <c r="B2797" s="68" t="s">
        <v>62</v>
      </c>
      <c r="C2797" s="64" t="s">
        <v>3231</v>
      </c>
      <c r="D2797" s="65"/>
      <c r="E2797" s="70"/>
      <c r="F2797" s="287"/>
    </row>
    <row r="2798" spans="1:256" ht="14.25" thickTop="1" thickBot="1">
      <c r="A2798" s="267" t="str">
        <f t="shared" si="118"/>
        <v>WAGNER ALEIXO FERREIRA                (Toió)</v>
      </c>
      <c r="B2798" s="68" t="s">
        <v>62</v>
      </c>
      <c r="C2798" s="64" t="s">
        <v>1108</v>
      </c>
      <c r="D2798" s="65">
        <v>63810</v>
      </c>
      <c r="E2798" s="70"/>
      <c r="F2798" s="287"/>
    </row>
    <row r="2799" spans="1:256" ht="14.25" thickTop="1" thickBot="1">
      <c r="A2799" s="267" t="str">
        <f t="shared" si="118"/>
        <v>WAGNER AUGUSTO CASTANHEIRA</v>
      </c>
      <c r="B2799" s="68" t="s">
        <v>62</v>
      </c>
      <c r="C2799" s="64" t="s">
        <v>853</v>
      </c>
      <c r="D2799" s="65">
        <v>47629</v>
      </c>
      <c r="E2799" s="70"/>
      <c r="F2799" s="287"/>
    </row>
    <row r="2800" spans="1:256" ht="14.25" thickTop="1" thickBot="1">
      <c r="A2800" s="267" t="str">
        <f t="shared" si="118"/>
        <v>WAGNER BARBOSA DE OLIVEIRA        (Vaguinho)</v>
      </c>
      <c r="B2800" s="68" t="s">
        <v>62</v>
      </c>
      <c r="C2800" s="64" t="s">
        <v>3230</v>
      </c>
      <c r="D2800" s="65">
        <v>102864</v>
      </c>
      <c r="E2800" s="70"/>
      <c r="F2800" s="287"/>
    </row>
    <row r="2801" spans="1:6" ht="14.25" thickTop="1" thickBot="1">
      <c r="A2801" s="267" t="str">
        <f t="shared" si="118"/>
        <v>WAGNER CESAR PALMAS                  (Pit Bull)</v>
      </c>
      <c r="B2801" s="68" t="s">
        <v>62</v>
      </c>
      <c r="C2801" s="64" t="s">
        <v>385</v>
      </c>
      <c r="D2801" s="65">
        <v>63931</v>
      </c>
      <c r="E2801" s="70"/>
      <c r="F2801" s="287"/>
    </row>
    <row r="2802" spans="1:6" ht="14.25" thickTop="1" thickBot="1">
      <c r="A2802" s="267" t="str">
        <f t="shared" si="118"/>
        <v>WAGNER DE OLIVEIRA</v>
      </c>
      <c r="B2802" s="68" t="s">
        <v>62</v>
      </c>
      <c r="C2802" s="64" t="s">
        <v>3107</v>
      </c>
      <c r="D2802" s="65">
        <v>63939</v>
      </c>
      <c r="E2802" s="70"/>
      <c r="F2802" s="287"/>
    </row>
    <row r="2803" spans="1:6" ht="14.25" thickTop="1" thickBot="1">
      <c r="A2803" s="267"/>
      <c r="B2803" s="68" t="s">
        <v>62</v>
      </c>
      <c r="C2803" s="64" t="s">
        <v>3229</v>
      </c>
      <c r="D2803" s="65">
        <v>63535</v>
      </c>
      <c r="E2803" s="70"/>
      <c r="F2803" s="287"/>
    </row>
    <row r="2804" spans="1:6" ht="14.25" thickTop="1" thickBot="1">
      <c r="A2804" s="267" t="str">
        <f>C2809</f>
        <v>WALDEMIR DINIZ</v>
      </c>
      <c r="B2804" s="68" t="s">
        <v>15</v>
      </c>
      <c r="C2804" s="64" t="s">
        <v>88</v>
      </c>
      <c r="D2804" s="65">
        <v>129819</v>
      </c>
      <c r="E2804" s="70">
        <v>43364</v>
      </c>
      <c r="F2804" s="287"/>
    </row>
    <row r="2805" spans="1:6" ht="14.25" thickTop="1" thickBot="1">
      <c r="A2805" s="267" t="s">
        <v>2259</v>
      </c>
      <c r="B2805" s="68" t="s">
        <v>62</v>
      </c>
      <c r="C2805" s="64" t="s">
        <v>827</v>
      </c>
      <c r="D2805" s="65"/>
      <c r="E2805" s="70">
        <v>43524</v>
      </c>
      <c r="F2805" s="287"/>
    </row>
    <row r="2806" spans="1:6" ht="14.25" thickTop="1" thickBot="1">
      <c r="A2806" s="267" t="str">
        <f t="shared" ref="A2806:A2811" si="119">C2808</f>
        <v>WAGNER SCHITICOSKI</v>
      </c>
      <c r="B2806" s="68" t="s">
        <v>2593</v>
      </c>
      <c r="C2806" s="64" t="s">
        <v>1674</v>
      </c>
      <c r="D2806" s="65">
        <v>102096</v>
      </c>
      <c r="E2806" s="70"/>
      <c r="F2806" s="287"/>
    </row>
    <row r="2807" spans="1:6" ht="14.25" thickTop="1" thickBot="1">
      <c r="A2807" s="267" t="str">
        <f t="shared" si="119"/>
        <v>WALDEMIR DINIZ</v>
      </c>
      <c r="B2807" s="68" t="s">
        <v>62</v>
      </c>
      <c r="C2807" s="64" t="s">
        <v>533</v>
      </c>
      <c r="D2807" s="65">
        <v>115875</v>
      </c>
      <c r="E2807" s="70"/>
      <c r="F2807" s="287"/>
    </row>
    <row r="2808" spans="1:6" ht="14.25" thickTop="1" thickBot="1">
      <c r="A2808" s="267" t="str">
        <f t="shared" si="119"/>
        <v>WALDIR MOTTA DA SILVA</v>
      </c>
      <c r="B2808" s="68" t="s">
        <v>62</v>
      </c>
      <c r="C2808" s="64" t="s">
        <v>2259</v>
      </c>
      <c r="D2808" s="65"/>
      <c r="E2808" s="70">
        <v>43005</v>
      </c>
      <c r="F2808" s="287"/>
    </row>
    <row r="2809" spans="1:6" ht="14.25" thickTop="1" thickBot="1">
      <c r="A2809" s="267" t="str">
        <f t="shared" si="119"/>
        <v>WALINSON  RODRIGUES FORTUNATO</v>
      </c>
      <c r="B2809" s="68" t="s">
        <v>62</v>
      </c>
      <c r="C2809" s="64" t="s">
        <v>1105</v>
      </c>
      <c r="D2809" s="65">
        <v>120838</v>
      </c>
      <c r="E2809" s="70">
        <v>43396</v>
      </c>
      <c r="F2809" s="287"/>
    </row>
    <row r="2810" spans="1:6" ht="14.25" thickTop="1" thickBot="1">
      <c r="A2810" s="267" t="str">
        <f t="shared" si="119"/>
        <v>WALISSON DE SOUZA                            (Maranhão)</v>
      </c>
      <c r="B2810" s="68" t="s">
        <v>62</v>
      </c>
      <c r="C2810" s="64" t="s">
        <v>1106</v>
      </c>
      <c r="D2810" s="65">
        <v>105846</v>
      </c>
      <c r="E2810" s="70"/>
      <c r="F2810" s="287"/>
    </row>
    <row r="2811" spans="1:6" ht="14.25" thickTop="1" thickBot="1">
      <c r="A2811" s="267" t="str">
        <f t="shared" si="119"/>
        <v>WALISSON DOS SANTOS PEDROSO           (Fuzil / Titanic)</v>
      </c>
      <c r="B2811" s="68" t="s">
        <v>126</v>
      </c>
      <c r="C2811" s="64" t="s">
        <v>1913</v>
      </c>
      <c r="D2811" s="65">
        <v>117353</v>
      </c>
      <c r="E2811" s="70"/>
      <c r="F2811" s="287"/>
    </row>
    <row r="2812" spans="1:6" ht="14.25" thickTop="1" thickBot="1">
      <c r="A2812" s="267" t="s">
        <v>1694</v>
      </c>
      <c r="B2812" s="68" t="s">
        <v>62</v>
      </c>
      <c r="C2812" s="64" t="s">
        <v>3228</v>
      </c>
      <c r="D2812" s="65"/>
      <c r="E2812" s="70"/>
      <c r="F2812" s="287"/>
    </row>
    <row r="2813" spans="1:6" ht="14.25" thickTop="1" thickBot="1">
      <c r="A2813" s="272" t="str">
        <f>C2815</f>
        <v>WALNEI EUZEBIO DE OLIVEIRA</v>
      </c>
      <c r="B2813" s="68" t="s">
        <v>1306</v>
      </c>
      <c r="C2813" s="64" t="s">
        <v>3108</v>
      </c>
      <c r="D2813" s="65">
        <v>10868</v>
      </c>
      <c r="E2813" s="70"/>
      <c r="F2813" s="287"/>
    </row>
    <row r="2814" spans="1:6" ht="14.25" thickTop="1" thickBot="1">
      <c r="A2814" s="272" t="str">
        <f>C2816</f>
        <v>WANDERLEY RODRIGUES DA SILVA</v>
      </c>
      <c r="B2814" s="68" t="s">
        <v>15</v>
      </c>
      <c r="C2814" s="64" t="s">
        <v>87</v>
      </c>
      <c r="D2814" s="65">
        <v>63356</v>
      </c>
      <c r="E2814" s="70">
        <v>42919</v>
      </c>
      <c r="F2814" s="287"/>
    </row>
    <row r="2815" spans="1:6" ht="14.25" thickTop="1" thickBot="1">
      <c r="A2815" s="272" t="s">
        <v>513</v>
      </c>
      <c r="B2815" s="68" t="s">
        <v>62</v>
      </c>
      <c r="C2815" s="64" t="s">
        <v>737</v>
      </c>
      <c r="D2815" s="65">
        <v>111130</v>
      </c>
      <c r="E2815" s="70"/>
      <c r="F2815" s="287"/>
    </row>
    <row r="2816" spans="1:6" ht="14.25" thickTop="1" thickBot="1">
      <c r="A2816" s="272" t="str">
        <f>C2818</f>
        <v>WASHINGTON DO VALLE FERREIRA DE ALMEIDA</v>
      </c>
      <c r="B2816" s="68" t="s">
        <v>62</v>
      </c>
      <c r="C2816" s="64" t="s">
        <v>1980</v>
      </c>
      <c r="D2816" s="65">
        <v>2511</v>
      </c>
      <c r="E2816" s="70">
        <v>42926</v>
      </c>
      <c r="F2816" s="287"/>
    </row>
    <row r="2817" spans="1:6" ht="14.25" thickTop="1" thickBot="1">
      <c r="A2817" s="267" t="s">
        <v>2109</v>
      </c>
      <c r="B2817" s="68" t="s">
        <v>1063</v>
      </c>
      <c r="C2817" s="64" t="s">
        <v>1113</v>
      </c>
      <c r="D2817" s="65">
        <v>27237</v>
      </c>
      <c r="E2817" s="70"/>
      <c r="F2817" s="287"/>
    </row>
    <row r="2818" spans="1:6" ht="14.25" thickTop="1" thickBot="1">
      <c r="A2818" s="267" t="s">
        <v>2395</v>
      </c>
      <c r="B2818" s="68" t="s">
        <v>2146</v>
      </c>
      <c r="C2818" s="64" t="s">
        <v>2022</v>
      </c>
      <c r="D2818" s="65">
        <v>56808</v>
      </c>
      <c r="E2818" s="70">
        <v>43392</v>
      </c>
      <c r="F2818" s="287"/>
    </row>
    <row r="2819" spans="1:6" ht="14.25" thickTop="1" thickBot="1">
      <c r="A2819" s="272" t="s">
        <v>2073</v>
      </c>
      <c r="B2819" s="68" t="s">
        <v>126</v>
      </c>
      <c r="C2819" s="64" t="s">
        <v>3227</v>
      </c>
      <c r="D2819" s="65">
        <v>63909</v>
      </c>
      <c r="E2819" s="70"/>
      <c r="F2819" s="287"/>
    </row>
    <row r="2820" spans="1:6" ht="14.25" thickTop="1" thickBot="1">
      <c r="A2820" s="267" t="s">
        <v>2565</v>
      </c>
      <c r="B2820" s="68" t="s">
        <v>415</v>
      </c>
      <c r="C2820" s="64" t="s">
        <v>2040</v>
      </c>
      <c r="D2820" s="65">
        <v>121817</v>
      </c>
      <c r="E2820" s="70"/>
      <c r="F2820" s="287"/>
    </row>
    <row r="2821" spans="1:6" ht="14.25" thickTop="1" thickBot="1">
      <c r="A2821" s="267" t="str">
        <f>C2823</f>
        <v>WELLINGTON DE VINICIUS RODRIGUES BIMBATE (Corinthiano)</v>
      </c>
      <c r="B2821" s="68" t="s">
        <v>2413</v>
      </c>
      <c r="C2821" s="66" t="s">
        <v>2379</v>
      </c>
      <c r="D2821" s="61">
        <v>607481</v>
      </c>
      <c r="E2821" s="62">
        <v>44126</v>
      </c>
      <c r="F2821" s="285"/>
    </row>
    <row r="2822" spans="1:6" ht="14.25" thickTop="1" thickBot="1">
      <c r="A2822" s="267" t="str">
        <f>C2824</f>
        <v>WELLINGTON DIEGO KRIK</v>
      </c>
      <c r="B2822" s="68" t="s">
        <v>62</v>
      </c>
      <c r="C2822" s="64" t="s">
        <v>3109</v>
      </c>
      <c r="D2822" s="65"/>
      <c r="E2822" s="70">
        <v>43075</v>
      </c>
      <c r="F2822" s="287"/>
    </row>
    <row r="2823" spans="1:6" ht="14.25" thickTop="1" thickBot="1">
      <c r="A2823" s="267" t="s">
        <v>2293</v>
      </c>
      <c r="B2823" s="68" t="s">
        <v>126</v>
      </c>
      <c r="C2823" s="64" t="s">
        <v>2876</v>
      </c>
      <c r="D2823" s="65">
        <v>22291</v>
      </c>
      <c r="E2823" s="70"/>
      <c r="F2823" s="287"/>
    </row>
    <row r="2824" spans="1:6" ht="14.25" thickTop="1" thickBot="1">
      <c r="A2824" s="267" t="s">
        <v>1611</v>
      </c>
      <c r="B2824" s="68" t="s">
        <v>1918</v>
      </c>
      <c r="C2824" s="64" t="s">
        <v>1103</v>
      </c>
      <c r="D2824" s="65">
        <v>115868</v>
      </c>
      <c r="E2824" s="70"/>
      <c r="F2824" s="287"/>
    </row>
    <row r="2825" spans="1:6" ht="14.25" thickTop="1" thickBot="1">
      <c r="A2825" s="267" t="str">
        <f>C2827</f>
        <v>WELLINGTON HENRIQUE ALUQUES VIEIRA</v>
      </c>
      <c r="B2825" s="68" t="s">
        <v>62</v>
      </c>
      <c r="C2825" s="64" t="s">
        <v>3226</v>
      </c>
      <c r="D2825" s="65">
        <v>116753</v>
      </c>
      <c r="E2825" s="70">
        <v>42923</v>
      </c>
      <c r="F2825" s="287"/>
    </row>
    <row r="2826" spans="1:6" ht="14.25" thickTop="1" thickBot="1">
      <c r="A2826" s="267" t="s">
        <v>296</v>
      </c>
      <c r="B2826" s="68" t="s">
        <v>62</v>
      </c>
      <c r="C2826" s="64" t="s">
        <v>1699</v>
      </c>
      <c r="D2826" s="65">
        <v>93068</v>
      </c>
      <c r="E2826" s="70"/>
      <c r="F2826" s="287"/>
    </row>
    <row r="2827" spans="1:6" ht="14.25" thickTop="1" thickBot="1">
      <c r="A2827" s="267" t="s">
        <v>860</v>
      </c>
      <c r="B2827" s="68" t="s">
        <v>62</v>
      </c>
      <c r="C2827" s="64" t="s">
        <v>1724</v>
      </c>
      <c r="D2827" s="65">
        <v>85746</v>
      </c>
      <c r="E2827" s="70"/>
      <c r="F2827" s="287"/>
    </row>
    <row r="2828" spans="1:6" ht="14.25" thickTop="1" thickBot="1">
      <c r="A2828" s="267"/>
      <c r="B2828" s="68" t="s">
        <v>62</v>
      </c>
      <c r="C2828" s="64" t="s">
        <v>3225</v>
      </c>
      <c r="D2828" s="65">
        <v>101157</v>
      </c>
      <c r="E2828" s="70">
        <v>43383</v>
      </c>
      <c r="F2828" s="287"/>
    </row>
    <row r="2829" spans="1:6" ht="14.25" thickTop="1" thickBot="1">
      <c r="A2829" s="267" t="str">
        <f>C2831</f>
        <v>WELLISSON DOUGLAS DOS REIS</v>
      </c>
      <c r="B2829" s="68" t="s">
        <v>2406</v>
      </c>
      <c r="C2829" s="66" t="s">
        <v>2060</v>
      </c>
      <c r="D2829" s="65">
        <v>115228</v>
      </c>
      <c r="E2829" s="62">
        <v>43727</v>
      </c>
      <c r="F2829" s="285"/>
    </row>
    <row r="2830" spans="1:6" ht="14.25" thickTop="1" thickBot="1">
      <c r="A2830" s="267" t="s">
        <v>2603</v>
      </c>
      <c r="B2830" s="68" t="s">
        <v>351</v>
      </c>
      <c r="C2830" s="64" t="s">
        <v>3110</v>
      </c>
      <c r="D2830" s="65"/>
      <c r="E2830" s="70">
        <v>43346</v>
      </c>
      <c r="F2830" s="287"/>
    </row>
    <row r="2831" spans="1:6" ht="14.25" thickTop="1" thickBot="1">
      <c r="A2831" s="267" t="str">
        <f>C2833</f>
        <v>WESLEY DOS SANTOS BORBA</v>
      </c>
      <c r="B2831" s="68" t="s">
        <v>2608</v>
      </c>
      <c r="C2831" s="64" t="s">
        <v>1803</v>
      </c>
      <c r="D2831" s="65">
        <v>117491</v>
      </c>
      <c r="E2831" s="70">
        <v>43529</v>
      </c>
      <c r="F2831" s="287"/>
    </row>
    <row r="2832" spans="1:6" ht="14.25" thickTop="1" thickBot="1">
      <c r="A2832" s="267" t="s">
        <v>256</v>
      </c>
      <c r="B2832" s="68" t="s">
        <v>2347</v>
      </c>
      <c r="C2832" s="64" t="s">
        <v>2256</v>
      </c>
      <c r="D2832" s="65">
        <v>119029</v>
      </c>
      <c r="E2832" s="70"/>
      <c r="F2832" s="287"/>
    </row>
    <row r="2833" spans="1:6" ht="14.25" thickTop="1" thickBot="1">
      <c r="A2833" s="267" t="str">
        <f>C2835</f>
        <v>WESLEY FERNANDO DA SILVA</v>
      </c>
      <c r="B2833" s="68" t="s">
        <v>1306</v>
      </c>
      <c r="C2833" s="64" t="s">
        <v>2607</v>
      </c>
      <c r="D2833" s="65">
        <v>119029</v>
      </c>
      <c r="E2833" s="70">
        <v>43180</v>
      </c>
      <c r="F2833" s="287"/>
    </row>
    <row r="2834" spans="1:6" ht="14.25" thickTop="1" thickBot="1">
      <c r="A2834" s="267" t="str">
        <f>C2836</f>
        <v xml:space="preserve">WESLEY FERNANDO DA SILVA </v>
      </c>
      <c r="B2834" s="68" t="s">
        <v>62</v>
      </c>
      <c r="C2834" s="64" t="s">
        <v>3111</v>
      </c>
      <c r="D2834" s="65">
        <v>27164</v>
      </c>
      <c r="E2834" s="70">
        <v>43077</v>
      </c>
      <c r="F2834" s="287"/>
    </row>
    <row r="2835" spans="1:6" ht="14.25" thickTop="1" thickBot="1">
      <c r="A2835" s="267" t="s">
        <v>97</v>
      </c>
      <c r="B2835" s="68" t="s">
        <v>62</v>
      </c>
      <c r="C2835" s="64" t="s">
        <v>707</v>
      </c>
      <c r="D2835" s="65">
        <v>27164</v>
      </c>
      <c r="E2835" s="70"/>
      <c r="F2835" s="287"/>
    </row>
    <row r="2836" spans="1:6" ht="14.25" thickTop="1" thickBot="1">
      <c r="A2836" s="267" t="s">
        <v>2339</v>
      </c>
      <c r="B2836" s="68" t="s">
        <v>1306</v>
      </c>
      <c r="C2836" s="64" t="s">
        <v>2238</v>
      </c>
      <c r="D2836" s="65">
        <v>106370</v>
      </c>
      <c r="E2836" s="70">
        <v>43360</v>
      </c>
      <c r="F2836" s="287"/>
    </row>
    <row r="2837" spans="1:6" ht="14.25" thickTop="1" thickBot="1">
      <c r="A2837" s="267" t="str">
        <f>C2840</f>
        <v>WILKE CORDEIRO</v>
      </c>
      <c r="B2837" s="68" t="s">
        <v>2406</v>
      </c>
      <c r="C2837" s="64" t="s">
        <v>2155</v>
      </c>
      <c r="D2837" s="65">
        <v>27136</v>
      </c>
      <c r="E2837" s="70"/>
      <c r="F2837" s="287"/>
    </row>
    <row r="2838" spans="1:6" ht="14.25" thickTop="1" thickBot="1">
      <c r="A2838" s="267" t="s">
        <v>1486</v>
      </c>
      <c r="B2838" s="68" t="s">
        <v>62</v>
      </c>
      <c r="C2838" s="64" t="s">
        <v>162</v>
      </c>
      <c r="D2838" s="65">
        <v>114746</v>
      </c>
      <c r="E2838" s="70">
        <f>+++ 24/6/2019</f>
        <v>1.9811788013868251E-3</v>
      </c>
      <c r="F2838" s="287"/>
    </row>
    <row r="2839" spans="1:6" ht="14.25" thickTop="1" thickBot="1">
      <c r="A2839" s="267" t="s">
        <v>2768</v>
      </c>
      <c r="B2839" s="68" t="s">
        <v>62</v>
      </c>
      <c r="C2839" s="64" t="s">
        <v>2339</v>
      </c>
      <c r="D2839" s="65">
        <v>122243</v>
      </c>
      <c r="E2839" s="70"/>
      <c r="F2839" s="287"/>
    </row>
    <row r="2840" spans="1:6" ht="14.25" thickTop="1" thickBot="1">
      <c r="A2840" s="267" t="s">
        <v>997</v>
      </c>
      <c r="B2840" s="68" t="s">
        <v>2406</v>
      </c>
      <c r="C2840" s="192" t="s">
        <v>2768</v>
      </c>
      <c r="D2840" s="61">
        <v>155205</v>
      </c>
      <c r="E2840" s="70">
        <v>43767</v>
      </c>
      <c r="F2840" s="287"/>
    </row>
    <row r="2841" spans="1:6" ht="14.25" thickTop="1" thickBot="1">
      <c r="A2841" s="267" t="s">
        <v>2295</v>
      </c>
      <c r="B2841" s="68" t="s">
        <v>62</v>
      </c>
      <c r="C2841" s="64" t="s">
        <v>2036</v>
      </c>
      <c r="D2841" s="65">
        <v>27030</v>
      </c>
      <c r="E2841" s="70">
        <v>43392</v>
      </c>
      <c r="F2841" s="287"/>
    </row>
    <row r="2842" spans="1:6" ht="14.25" thickTop="1" thickBot="1">
      <c r="A2842" s="267"/>
      <c r="B2842" s="68" t="s">
        <v>1812</v>
      </c>
      <c r="C2842" s="66" t="s">
        <v>2295</v>
      </c>
      <c r="D2842" s="61">
        <v>105014</v>
      </c>
      <c r="E2842" s="70">
        <v>43791</v>
      </c>
      <c r="F2842" s="287"/>
    </row>
    <row r="2843" spans="1:6" ht="14.25" thickTop="1" thickBot="1">
      <c r="A2843" s="267"/>
      <c r="B2843" s="68"/>
      <c r="C2843" s="64" t="s">
        <v>1993</v>
      </c>
      <c r="D2843" s="65">
        <v>102350</v>
      </c>
      <c r="E2843" s="70"/>
      <c r="F2843" s="287"/>
    </row>
    <row r="2844" spans="1:6" ht="14.25" thickTop="1" thickBot="1">
      <c r="A2844" s="267" t="s">
        <v>2356</v>
      </c>
      <c r="B2844" s="68" t="s">
        <v>2146</v>
      </c>
      <c r="C2844" s="64" t="s">
        <v>224</v>
      </c>
      <c r="D2844" s="65">
        <v>16636</v>
      </c>
      <c r="E2844" s="70">
        <v>43580</v>
      </c>
      <c r="F2844" s="287"/>
    </row>
    <row r="2845" spans="1:6" ht="14.25" thickTop="1" thickBot="1">
      <c r="A2845" s="267" t="s">
        <v>429</v>
      </c>
      <c r="B2845" s="68" t="s">
        <v>126</v>
      </c>
      <c r="C2845" s="64" t="s">
        <v>2485</v>
      </c>
      <c r="D2845" s="65">
        <v>161895</v>
      </c>
      <c r="E2845" s="70"/>
      <c r="F2845" s="287"/>
    </row>
    <row r="2846" spans="1:6" ht="14.25" thickTop="1" thickBot="1">
      <c r="A2846" s="267" t="str">
        <f>C2850</f>
        <v>WILLIAN DE OLIVEIRA SOUZA</v>
      </c>
      <c r="B2846" s="68" t="s">
        <v>415</v>
      </c>
      <c r="C2846" s="64" t="s">
        <v>2892</v>
      </c>
      <c r="D2846" s="65">
        <v>65335</v>
      </c>
      <c r="E2846" s="70">
        <v>42922</v>
      </c>
      <c r="F2846" s="287"/>
    </row>
    <row r="2847" spans="1:6" ht="14.25" thickTop="1" thickBot="1">
      <c r="A2847" s="267" t="str">
        <f>C2849</f>
        <v>WILLIAN CRISTIAN DE SOUZA MORAES</v>
      </c>
      <c r="B2847" s="68" t="s">
        <v>62</v>
      </c>
      <c r="C2847" s="64" t="s">
        <v>2356</v>
      </c>
      <c r="D2847" s="65">
        <v>112777</v>
      </c>
      <c r="E2847" s="70"/>
      <c r="F2847" s="287"/>
    </row>
    <row r="2848" spans="1:6" ht="14.25" thickTop="1" thickBot="1">
      <c r="A2848" s="267" t="s">
        <v>625</v>
      </c>
      <c r="B2848" s="68" t="s">
        <v>62</v>
      </c>
      <c r="C2848" s="64" t="s">
        <v>429</v>
      </c>
      <c r="D2848" s="65">
        <v>107299</v>
      </c>
      <c r="E2848" s="70"/>
      <c r="F2848" s="287"/>
    </row>
    <row r="2849" spans="1:6" ht="14.25" thickTop="1" thickBot="1">
      <c r="A2849" s="267"/>
      <c r="B2849" s="68" t="s">
        <v>2413</v>
      </c>
      <c r="C2849" s="60" t="s">
        <v>2373</v>
      </c>
      <c r="D2849" s="61">
        <v>157728</v>
      </c>
      <c r="E2849" s="62">
        <v>43984</v>
      </c>
      <c r="F2849" s="285"/>
    </row>
    <row r="2850" spans="1:6" ht="14.25" thickTop="1" thickBot="1">
      <c r="A2850" s="267" t="s">
        <v>1110</v>
      </c>
      <c r="B2850" s="68" t="s">
        <v>62</v>
      </c>
      <c r="C2850" s="64" t="s">
        <v>2007</v>
      </c>
      <c r="D2850" s="65">
        <v>107229</v>
      </c>
      <c r="E2850" s="70">
        <v>43580</v>
      </c>
      <c r="F2850" s="287"/>
    </row>
    <row r="2851" spans="1:6" ht="14.25" thickTop="1" thickBot="1">
      <c r="A2851" s="267" t="s">
        <v>52</v>
      </c>
      <c r="B2851" s="68" t="s">
        <v>415</v>
      </c>
      <c r="C2851" s="64" t="s">
        <v>2023</v>
      </c>
      <c r="D2851" s="65">
        <v>107229</v>
      </c>
      <c r="E2851" s="70"/>
      <c r="F2851" s="287"/>
    </row>
    <row r="2852" spans="1:6" ht="14.25" thickTop="1" thickBot="1">
      <c r="A2852" s="267" t="s">
        <v>488</v>
      </c>
      <c r="B2852" s="68" t="s">
        <v>62</v>
      </c>
      <c r="C2852" s="64" t="s">
        <v>130</v>
      </c>
      <c r="D2852" s="65">
        <v>27313</v>
      </c>
      <c r="E2852" s="70"/>
      <c r="F2852" s="287"/>
    </row>
    <row r="2853" spans="1:6" ht="14.25" thickTop="1" thickBot="1">
      <c r="A2853" s="267" t="s">
        <v>2263</v>
      </c>
      <c r="B2853" s="68" t="s">
        <v>62</v>
      </c>
      <c r="C2853" s="64" t="s">
        <v>2893</v>
      </c>
      <c r="D2853" s="65"/>
      <c r="E2853" s="70"/>
      <c r="F2853" s="287"/>
    </row>
    <row r="2854" spans="1:6" ht="14.25" thickTop="1" thickBot="1">
      <c r="A2854" s="267" t="s">
        <v>1041</v>
      </c>
      <c r="B2854" s="68" t="s">
        <v>62</v>
      </c>
      <c r="C2854" s="64" t="s">
        <v>966</v>
      </c>
      <c r="D2854" s="65">
        <v>120755</v>
      </c>
      <c r="E2854" s="70"/>
      <c r="F2854" s="287"/>
    </row>
    <row r="2855" spans="1:6" ht="14.25" thickTop="1" thickBot="1">
      <c r="A2855" s="267" t="str">
        <f>C2858</f>
        <v>WILLIAN KOSINSKI</v>
      </c>
      <c r="B2855" s="68" t="s">
        <v>1298</v>
      </c>
      <c r="C2855" s="64" t="s">
        <v>1104</v>
      </c>
      <c r="D2855" s="65">
        <v>63481</v>
      </c>
      <c r="E2855" s="70"/>
      <c r="F2855" s="287"/>
    </row>
    <row r="2856" spans="1:6" ht="14.25" thickTop="1" thickBot="1">
      <c r="A2856" s="267" t="str">
        <f>C2859</f>
        <v>WILLIAN LOPES AVORISTO           (Diamantino / Dentinho)</v>
      </c>
      <c r="B2856" s="68" t="s">
        <v>62</v>
      </c>
      <c r="C2856" s="64" t="s">
        <v>1776</v>
      </c>
      <c r="D2856" s="65">
        <v>27136</v>
      </c>
      <c r="E2856" s="70"/>
      <c r="F2856" s="287"/>
    </row>
    <row r="2857" spans="1:6" ht="14.25" thickTop="1" thickBot="1">
      <c r="A2857" s="267" t="str">
        <f>C2859</f>
        <v>WILLIAN LOPES AVORISTO           (Diamantino / Dentinho)</v>
      </c>
      <c r="B2857" s="68" t="s">
        <v>62</v>
      </c>
      <c r="C2857" s="360" t="s">
        <v>39</v>
      </c>
      <c r="D2857" s="202">
        <v>27044</v>
      </c>
      <c r="E2857" s="70">
        <v>43346</v>
      </c>
      <c r="F2857" s="287"/>
    </row>
    <row r="2858" spans="1:6" ht="14.25" thickTop="1" thickBot="1">
      <c r="A2858" s="267" t="s">
        <v>2293</v>
      </c>
      <c r="B2858" s="68" t="s">
        <v>2347</v>
      </c>
      <c r="C2858" s="64" t="s">
        <v>350</v>
      </c>
      <c r="D2858" s="65">
        <v>101692</v>
      </c>
      <c r="E2858" s="70"/>
      <c r="F2858" s="287"/>
    </row>
    <row r="2859" spans="1:6" ht="14.25" thickTop="1" thickBot="1">
      <c r="A2859" s="267" t="str">
        <f>C2861</f>
        <v>WILLIAN MATEUS CARNEIRO FERREIRA</v>
      </c>
      <c r="B2859" s="68" t="s">
        <v>62</v>
      </c>
      <c r="C2859" s="64" t="s">
        <v>3112</v>
      </c>
      <c r="D2859" s="65">
        <v>27044</v>
      </c>
      <c r="E2859" s="70">
        <v>43080</v>
      </c>
      <c r="F2859" s="287"/>
    </row>
    <row r="2860" spans="1:6" ht="14.25" thickTop="1" thickBot="1">
      <c r="A2860" s="267" t="s">
        <v>2042</v>
      </c>
      <c r="B2860" s="68" t="s">
        <v>62</v>
      </c>
      <c r="C2860" s="64" t="s">
        <v>3112</v>
      </c>
      <c r="D2860" s="65">
        <v>102445</v>
      </c>
      <c r="E2860" s="70"/>
      <c r="F2860" s="287"/>
    </row>
    <row r="2861" spans="1:6" ht="14.25" thickTop="1" thickBot="1">
      <c r="A2861" s="267" t="str">
        <f>C2862</f>
        <v>WILLIAN OLIVEIRA DOS SANTOS              (Monstrinho)</v>
      </c>
      <c r="B2861" s="68" t="s">
        <v>2406</v>
      </c>
      <c r="C2861" s="64" t="s">
        <v>428</v>
      </c>
      <c r="D2861" s="65">
        <v>122995</v>
      </c>
      <c r="E2861" s="70"/>
      <c r="F2861" s="287"/>
    </row>
    <row r="2862" spans="1:6" ht="14.25" thickTop="1" thickBot="1">
      <c r="A2862" s="267" t="str">
        <f>C2863</f>
        <v>WILLIAN RIBEIRO MOREIRA</v>
      </c>
      <c r="B2862" s="68" t="s">
        <v>62</v>
      </c>
      <c r="C2862" s="64" t="s">
        <v>3224</v>
      </c>
      <c r="D2862" s="65">
        <v>103199</v>
      </c>
      <c r="E2862" s="70"/>
      <c r="F2862" s="287"/>
    </row>
    <row r="2863" spans="1:6" ht="14.25" thickTop="1" thickBot="1">
      <c r="A2863" s="267" t="str">
        <f>C2865</f>
        <v>WILLIAN RODRIGO GONÇALVES</v>
      </c>
      <c r="B2863" s="68" t="s">
        <v>62</v>
      </c>
      <c r="C2863" s="64" t="s">
        <v>2042</v>
      </c>
      <c r="D2863" s="65">
        <v>102349</v>
      </c>
      <c r="E2863" s="70"/>
      <c r="F2863" s="287"/>
    </row>
    <row r="2864" spans="1:6" ht="14.25" thickTop="1" thickBot="1">
      <c r="A2864" s="267" t="str">
        <f>C2865</f>
        <v>WILLIAN RODRIGO GONÇALVES</v>
      </c>
      <c r="B2864" s="68" t="s">
        <v>62</v>
      </c>
      <c r="C2864" s="64" t="s">
        <v>1045</v>
      </c>
      <c r="D2864" s="65">
        <v>27259</v>
      </c>
      <c r="E2864" s="70"/>
      <c r="F2864" s="287"/>
    </row>
    <row r="2865" spans="1:14" ht="14.25" thickTop="1" thickBot="1">
      <c r="A2865" s="267" t="str">
        <f>C2867</f>
        <v>WILLIAN SCHENEKENBERG</v>
      </c>
      <c r="B2865" s="68" t="s">
        <v>62</v>
      </c>
      <c r="C2865" s="64" t="s">
        <v>1268</v>
      </c>
      <c r="D2865" s="65"/>
      <c r="E2865" s="70"/>
      <c r="F2865" s="287"/>
    </row>
    <row r="2866" spans="1:14" ht="14.25" thickTop="1" thickBot="1">
      <c r="A2866" s="267" t="str">
        <f>C2867</f>
        <v>WILLIAN SCHENEKENBERG</v>
      </c>
      <c r="B2866" s="68" t="s">
        <v>62</v>
      </c>
      <c r="C2866" s="64" t="s">
        <v>300</v>
      </c>
      <c r="D2866" s="65"/>
      <c r="E2866" s="70"/>
      <c r="F2866" s="287"/>
    </row>
    <row r="2867" spans="1:14" ht="14.25" thickTop="1" thickBot="1">
      <c r="A2867" s="267" t="str">
        <f>C2870</f>
        <v>WILSON ADEVIR GONÇALVES</v>
      </c>
      <c r="B2867" s="68" t="s">
        <v>62</v>
      </c>
      <c r="C2867" s="64" t="s">
        <v>40</v>
      </c>
      <c r="D2867" s="65"/>
      <c r="E2867" s="70"/>
      <c r="F2867" s="287"/>
    </row>
    <row r="2868" spans="1:14" ht="14.25" thickTop="1" thickBot="1">
      <c r="A2868" s="267" t="str">
        <f>C2869</f>
        <v>WILLIANS DE PAULA CARVALHO</v>
      </c>
      <c r="B2868" s="68" t="s">
        <v>15</v>
      </c>
      <c r="C2868" s="64" t="s">
        <v>460</v>
      </c>
      <c r="D2868" s="65">
        <v>63960</v>
      </c>
      <c r="E2868" s="70"/>
      <c r="F2868" s="287"/>
    </row>
    <row r="2869" spans="1:14" ht="14.25" thickTop="1" thickBot="1">
      <c r="A2869" s="267" t="str">
        <f>C2870</f>
        <v>WILSON ADEVIR GONÇALVES</v>
      </c>
      <c r="B2869" s="68" t="s">
        <v>846</v>
      </c>
      <c r="C2869" s="64" t="s">
        <v>41</v>
      </c>
      <c r="D2869" s="65">
        <v>27133</v>
      </c>
      <c r="E2869" s="70"/>
      <c r="F2869" s="287"/>
    </row>
    <row r="2870" spans="1:14" ht="14.25" thickTop="1" thickBot="1">
      <c r="A2870" s="267" t="str">
        <f>C2871</f>
        <v>WILSON ANTONIO MACIEL</v>
      </c>
      <c r="B2870" s="68" t="s">
        <v>62</v>
      </c>
      <c r="C2870" s="64" t="s">
        <v>220</v>
      </c>
      <c r="D2870" s="65">
        <v>63222</v>
      </c>
      <c r="E2870" s="70"/>
      <c r="F2870" s="287"/>
    </row>
    <row r="2871" spans="1:14" ht="14.25" thickTop="1" thickBot="1">
      <c r="A2871" s="267" t="str">
        <f>C2872</f>
        <v>WILSON DE JESUS GONÇALVES</v>
      </c>
      <c r="B2871" s="68" t="s">
        <v>62</v>
      </c>
      <c r="C2871" s="64" t="s">
        <v>1336</v>
      </c>
      <c r="D2871" s="65"/>
      <c r="E2871" s="70"/>
      <c r="F2871" s="287"/>
    </row>
    <row r="2872" spans="1:14" ht="14.25" thickTop="1" thickBot="1">
      <c r="A2872" s="267" t="s">
        <v>2664</v>
      </c>
      <c r="B2872" s="68" t="s">
        <v>62</v>
      </c>
      <c r="C2872" s="64" t="s">
        <v>42</v>
      </c>
      <c r="D2872" s="65">
        <v>47134</v>
      </c>
      <c r="E2872" s="70">
        <v>43544</v>
      </c>
      <c r="F2872" s="287"/>
    </row>
    <row r="2873" spans="1:14" ht="14.25" thickTop="1" thickBot="1">
      <c r="A2873" s="267"/>
      <c r="B2873" s="68" t="s">
        <v>2413</v>
      </c>
      <c r="C2873" s="64" t="s">
        <v>3223</v>
      </c>
      <c r="D2873" s="65">
        <v>63557</v>
      </c>
      <c r="E2873" s="70">
        <v>43544</v>
      </c>
      <c r="F2873" s="404"/>
      <c r="G2873" s="406"/>
      <c r="H2873" s="409"/>
      <c r="I2873" s="412"/>
      <c r="J2873" s="413"/>
      <c r="K2873" s="413"/>
      <c r="L2873" s="406"/>
      <c r="M2873" s="406"/>
      <c r="N2873" s="406"/>
    </row>
    <row r="2874" spans="1:14" ht="14.25" thickTop="1" thickBot="1">
      <c r="A2874" s="206" t="str">
        <f>C2875</f>
        <v>WILSON FELIX DA SILVA</v>
      </c>
      <c r="B2874" s="388" t="s">
        <v>2413</v>
      </c>
      <c r="C2874" s="397" t="s">
        <v>2630</v>
      </c>
      <c r="D2874" s="398"/>
      <c r="E2874" s="401"/>
      <c r="F2874" s="403"/>
      <c r="G2874" s="406"/>
      <c r="H2874" s="411"/>
      <c r="I2874" s="406"/>
      <c r="J2874" s="406"/>
    </row>
    <row r="2875" spans="1:14" ht="14.25" thickTop="1" thickBot="1">
      <c r="A2875" s="206" t="str">
        <f>C2876</f>
        <v>WILSON LUIZ DOS SANTOS ARAUJO</v>
      </c>
      <c r="B2875" s="116" t="s">
        <v>62</v>
      </c>
      <c r="C2875" s="360" t="s">
        <v>2630</v>
      </c>
      <c r="D2875" s="398">
        <v>163121</v>
      </c>
      <c r="E2875" s="399"/>
      <c r="F2875" s="403"/>
      <c r="G2875" s="406"/>
      <c r="H2875" s="406"/>
      <c r="I2875" s="406"/>
      <c r="J2875" s="406"/>
    </row>
    <row r="2876" spans="1:14" ht="14.25" thickTop="1" thickBot="1">
      <c r="A2876" s="206" t="str">
        <f>C2877</f>
        <v>WILSON MACHADO DE OLIVEIRA</v>
      </c>
      <c r="B2876" s="116" t="s">
        <v>62</v>
      </c>
      <c r="C2876" s="360" t="s">
        <v>43</v>
      </c>
      <c r="D2876" s="398">
        <v>63993</v>
      </c>
      <c r="E2876" s="399">
        <v>42921</v>
      </c>
      <c r="F2876" s="440"/>
      <c r="G2876" s="406"/>
      <c r="H2876" s="406"/>
      <c r="I2876" s="406"/>
      <c r="J2876" s="406"/>
    </row>
    <row r="2877" spans="1:14" ht="14.25" thickTop="1" thickBot="1">
      <c r="A2877" s="267" t="str">
        <f>C2878</f>
        <v>WILSON MARCOLINO</v>
      </c>
      <c r="B2877" s="68" t="s">
        <v>1522</v>
      </c>
      <c r="C2877" s="64" t="s">
        <v>836</v>
      </c>
      <c r="D2877" s="65">
        <v>107482</v>
      </c>
      <c r="E2877" s="70"/>
      <c r="F2877" s="287"/>
    </row>
    <row r="2878" spans="1:14" ht="14.25" thickTop="1" thickBot="1">
      <c r="A2878" s="442" t="str">
        <f>C2879</f>
        <v>WILSON PINHEIRO             (Di)</v>
      </c>
      <c r="B2878" s="348" t="s">
        <v>62</v>
      </c>
      <c r="C2878" s="366" t="s">
        <v>33</v>
      </c>
      <c r="D2878" s="349">
        <v>118024</v>
      </c>
      <c r="E2878" s="400"/>
      <c r="F2878" s="443"/>
    </row>
    <row r="2879" spans="1:14" ht="14.25" thickTop="1" thickBot="1">
      <c r="A2879" s="442" t="str">
        <f>C2881</f>
        <v>WILTON CESAR DA SILVA PEREIRA                      (Nego)</v>
      </c>
      <c r="B2879" s="84" t="s">
        <v>62</v>
      </c>
      <c r="C2879" s="360" t="s">
        <v>3113</v>
      </c>
      <c r="D2879" s="202">
        <v>7011</v>
      </c>
      <c r="E2879" s="400"/>
      <c r="F2879" s="580"/>
    </row>
    <row r="2880" spans="1:14" ht="14.25" thickTop="1" thickBot="1">
      <c r="A2880" s="450" t="str">
        <f>C2881</f>
        <v>WILTON CESAR DA SILVA PEREIRA                      (Nego)</v>
      </c>
      <c r="B2880" s="445" t="s">
        <v>62</v>
      </c>
      <c r="C2880" s="456" t="s">
        <v>1654</v>
      </c>
      <c r="D2880" s="458">
        <v>27073</v>
      </c>
      <c r="E2880" s="444"/>
      <c r="F2880" s="461"/>
      <c r="G2880" s="411"/>
      <c r="H2880" s="409"/>
      <c r="I2880" s="412"/>
      <c r="J2880" s="413"/>
      <c r="K2880" s="413"/>
      <c r="L2880" s="406"/>
      <c r="M2880" s="406"/>
      <c r="N2880" s="406"/>
    </row>
    <row r="2881" spans="1:10" ht="14.25" thickTop="1" thickBot="1">
      <c r="A2881" s="206" t="str">
        <f>C2882</f>
        <v>WITER BARBOSA DE OLIVEIRA</v>
      </c>
      <c r="B2881" s="445" t="s">
        <v>62</v>
      </c>
      <c r="C2881" s="360" t="s">
        <v>3222</v>
      </c>
      <c r="D2881" s="202">
        <v>117551</v>
      </c>
      <c r="E2881" s="444"/>
      <c r="F2881" s="461"/>
      <c r="G2881" s="411"/>
      <c r="H2881" s="463"/>
      <c r="I2881" s="412"/>
    </row>
    <row r="2882" spans="1:10" ht="14.25" thickTop="1" thickBot="1">
      <c r="A2882" s="206" t="str">
        <f>C2883</f>
        <v>WYLKSON ALYSSON SANTOS DE OLIVEIRA</v>
      </c>
      <c r="B2882" s="445" t="s">
        <v>62</v>
      </c>
      <c r="C2882" s="360" t="s">
        <v>324</v>
      </c>
      <c r="D2882" s="202">
        <v>63813</v>
      </c>
      <c r="E2882" s="444"/>
      <c r="F2882" s="461"/>
      <c r="G2882" s="411"/>
      <c r="H2882" s="463"/>
      <c r="I2882" s="412"/>
    </row>
    <row r="2883" spans="1:10" ht="14.25" thickTop="1" thickBot="1">
      <c r="A2883" s="206" t="str">
        <f>C2885</f>
        <v>ZAQUEU DOS SANTOS</v>
      </c>
      <c r="B2883" s="445" t="s">
        <v>62</v>
      </c>
      <c r="C2883" s="360" t="s">
        <v>1645</v>
      </c>
      <c r="D2883" s="202">
        <v>27337</v>
      </c>
      <c r="E2883" s="444">
        <v>43355</v>
      </c>
      <c r="F2883" s="461"/>
      <c r="G2883" s="411"/>
      <c r="H2883" s="463"/>
      <c r="I2883" s="412"/>
    </row>
    <row r="2884" spans="1:10" ht="14.25" thickTop="1" thickBot="1">
      <c r="A2884" s="454" t="s">
        <v>256</v>
      </c>
      <c r="B2884" s="445" t="s">
        <v>62</v>
      </c>
      <c r="C2884" s="457" t="s">
        <v>461</v>
      </c>
      <c r="D2884" s="202">
        <v>27293</v>
      </c>
      <c r="E2884" s="444">
        <v>43346</v>
      </c>
      <c r="F2884" s="461"/>
      <c r="G2884" s="411"/>
      <c r="H2884" s="463"/>
      <c r="I2884" s="412"/>
    </row>
    <row r="2885" spans="1:10" ht="14.25" thickTop="1" thickBot="1">
      <c r="A2885" s="206" t="str">
        <f>C2886</f>
        <v>ZILOMAR KELIN DUTRA            (Carretilha)</v>
      </c>
      <c r="B2885" s="445" t="s">
        <v>1912</v>
      </c>
      <c r="C2885" s="360" t="s">
        <v>969</v>
      </c>
      <c r="D2885" s="202">
        <v>46683</v>
      </c>
      <c r="E2885" s="444"/>
      <c r="F2885" s="461"/>
      <c r="G2885" s="411"/>
      <c r="H2885" s="463"/>
      <c r="I2885" s="412"/>
    </row>
    <row r="2886" spans="1:10" ht="14.25" thickTop="1" thickBot="1">
      <c r="A2886" s="206">
        <f>C2908</f>
        <v>0</v>
      </c>
      <c r="B2886" s="445" t="s">
        <v>2347</v>
      </c>
      <c r="C2886" s="360" t="s">
        <v>3114</v>
      </c>
      <c r="D2886" s="202"/>
      <c r="E2886" s="444">
        <v>43369</v>
      </c>
      <c r="F2886" s="461"/>
      <c r="G2886" s="411"/>
      <c r="H2886" s="463"/>
      <c r="I2886" s="412"/>
    </row>
    <row r="2887" spans="1:10" ht="14.25" thickTop="1" thickBot="1">
      <c r="A2887" s="450" t="s">
        <v>127</v>
      </c>
      <c r="B2887" s="445" t="s">
        <v>62</v>
      </c>
      <c r="C2887" s="456" t="s">
        <v>3115</v>
      </c>
      <c r="D2887" s="458"/>
      <c r="E2887" s="444"/>
      <c r="F2887" s="461"/>
      <c r="G2887" s="411"/>
      <c r="H2887" s="411"/>
      <c r="I2887" s="406"/>
      <c r="J2887" s="406"/>
    </row>
    <row r="2888" spans="1:10" ht="14.25" thickTop="1" thickBot="1">
      <c r="A2888" s="450" t="s">
        <v>2472</v>
      </c>
      <c r="B2888" s="445" t="s">
        <v>1812</v>
      </c>
      <c r="C2888" s="456" t="s">
        <v>3115</v>
      </c>
      <c r="D2888" s="202">
        <v>139207</v>
      </c>
      <c r="E2888" s="444"/>
      <c r="F2888" s="461"/>
      <c r="G2888" s="411"/>
      <c r="H2888" s="411"/>
      <c r="I2888" s="406"/>
      <c r="J2888" s="406"/>
    </row>
    <row r="2889" spans="1:10" ht="14.25" thickTop="1" thickBot="1">
      <c r="A2889" s="450" t="e">
        <f>#REF!</f>
        <v>#REF!</v>
      </c>
      <c r="B2889" s="455" t="s">
        <v>62</v>
      </c>
      <c r="C2889" s="576"/>
      <c r="D2889" s="140"/>
      <c r="E2889" s="460">
        <v>43360</v>
      </c>
      <c r="F2889" s="462"/>
      <c r="G2889" s="411"/>
      <c r="H2889" s="411"/>
      <c r="I2889" s="406"/>
      <c r="J2889" s="406"/>
    </row>
    <row r="2890" spans="1:10" ht="14.25" thickTop="1" thickBot="1">
      <c r="A2890" s="450" t="s">
        <v>3445</v>
      </c>
      <c r="B2890" s="445" t="s">
        <v>1812</v>
      </c>
      <c r="C2890" s="456"/>
      <c r="D2890" s="202">
        <v>106369</v>
      </c>
      <c r="E2890" s="444" t="s">
        <v>3629</v>
      </c>
      <c r="F2890" s="461"/>
      <c r="G2890" s="411"/>
      <c r="H2890" s="411"/>
      <c r="I2890" s="406"/>
      <c r="J2890" s="406"/>
    </row>
    <row r="2891" spans="1:10" ht="14.25" thickTop="1" thickBot="1">
      <c r="A2891" s="379" t="s">
        <v>3660</v>
      </c>
      <c r="B2891" s="445" t="s">
        <v>1812</v>
      </c>
      <c r="C2891" s="456"/>
      <c r="D2891" s="458">
        <v>117839</v>
      </c>
      <c r="E2891" s="444"/>
      <c r="F2891" s="461"/>
      <c r="G2891" s="411"/>
      <c r="H2891" s="411"/>
      <c r="I2891" s="406"/>
      <c r="J2891" s="406"/>
    </row>
    <row r="2892" spans="1:10" ht="14.25" thickTop="1" thickBot="1">
      <c r="A2892" s="450" t="s">
        <v>2209</v>
      </c>
      <c r="B2892" s="445" t="s">
        <v>1812</v>
      </c>
      <c r="C2892" s="456"/>
      <c r="D2892" s="458">
        <v>117998</v>
      </c>
      <c r="E2892" s="444"/>
      <c r="F2892" s="461"/>
      <c r="G2892" s="411"/>
      <c r="H2892" s="411"/>
      <c r="I2892" s="406"/>
      <c r="J2892" s="406"/>
    </row>
    <row r="2893" spans="1:10" ht="14.25" thickTop="1" thickBot="1">
      <c r="A2893" s="450"/>
      <c r="B2893" s="445"/>
      <c r="C2893" s="456"/>
      <c r="D2893" s="458"/>
      <c r="E2893" s="444"/>
      <c r="F2893" s="461"/>
      <c r="G2893" s="411"/>
      <c r="H2893" s="411"/>
      <c r="I2893" s="406"/>
      <c r="J2893" s="406"/>
    </row>
    <row r="2894" spans="1:10" ht="14.25" thickTop="1" thickBot="1">
      <c r="A2894" s="450"/>
      <c r="B2894" s="445"/>
      <c r="C2894" s="456"/>
      <c r="D2894" s="458"/>
      <c r="E2894" s="444"/>
      <c r="F2894" s="461"/>
      <c r="G2894" s="411"/>
      <c r="H2894" s="411"/>
      <c r="I2894" s="406"/>
      <c r="J2894" s="406"/>
    </row>
    <row r="2895" spans="1:10" ht="14.25" thickTop="1" thickBot="1">
      <c r="A2895" s="450"/>
      <c r="B2895" s="482" t="s">
        <v>1812</v>
      </c>
      <c r="C2895" s="444"/>
      <c r="D2895" s="486">
        <v>171786</v>
      </c>
      <c r="E2895" s="444">
        <v>44121</v>
      </c>
      <c r="F2895" s="487"/>
      <c r="G2895" s="411"/>
      <c r="H2895" s="406"/>
      <c r="I2895" s="406"/>
      <c r="J2895" s="406"/>
    </row>
    <row r="2896" spans="1:10" ht="13.5" thickTop="1">
      <c r="A2896" s="168" t="s">
        <v>3648</v>
      </c>
      <c r="B2896" s="110" t="s">
        <v>1906</v>
      </c>
    </row>
  </sheetData>
  <autoFilter ref="B1:F2896">
    <filterColumn colId="3"/>
    <sortState ref="B22:F2871">
      <sortCondition ref="E1:E2871"/>
    </sortState>
  </autoFilter>
  <sortState ref="A1:IV2887">
    <sortCondition ref="C1144"/>
  </sortState>
  <customSheetViews>
    <customSheetView guid="{43E256EA-DAC4-46F1-9F3C-3533189BF08F}" showAutoFilter="1" showRuler="0" topLeftCell="B1">
      <pane ySplit="1" topLeftCell="A290" activePane="bottomLeft" state="frozen"/>
      <selection pane="bottomLeft" activeCell="B851" sqref="B851"/>
      <pageMargins left="0.78740157499999996" right="0.78740157499999996" top="0.984251969" bottom="0.984251969" header="0.49212598499999999" footer="0.49212598499999999"/>
      <pageSetup paperSize="9" orientation="portrait" horizontalDpi="4294967293" verticalDpi="300" r:id="rId1"/>
      <headerFooter alignWithMargins="0"/>
      <autoFilter ref="B1:F1"/>
    </customSheetView>
  </customSheetViews>
  <phoneticPr fontId="6" type="noConversion"/>
  <conditionalFormatting sqref="D2317 D2259 D2220:D2223 B2256 D2118 C2526 D2637 C1732:D1732 D2755 D2266:D2269 C1001 D1000 D224:D236 C101 D1003 C1004 D2328 D2254 B2267 D2129 D2225:D2247 D2307:D2309 D2271:D2305 D2311:D2315 C2541 D2654 C1744:D1744 D2772">
    <cfRule type="cellIs" dxfId="1243" priority="3378" stopIfTrue="1" operator="equal">
      <formula>"KADESH"</formula>
    </cfRule>
  </conditionalFormatting>
  <conditionalFormatting sqref="D2318:D2326 C2526 D2637 C1732:D1732 D2755 D1000 C1001 C101 D1003 C1004 D2339:D2341 D2329:D2336 D2343:D2345 C2541 D2654 C1744:D1744 D2772">
    <cfRule type="cellIs" dxfId="1242" priority="3377" stopIfTrue="1" operator="equal">
      <formula>"HAGIOS"</formula>
    </cfRule>
  </conditionalFormatting>
  <conditionalFormatting sqref="D2324">
    <cfRule type="duplicateValues" dxfId="1241" priority="3376" stopIfTrue="1"/>
  </conditionalFormatting>
  <conditionalFormatting sqref="D2325">
    <cfRule type="duplicateValues" dxfId="1240" priority="3375" stopIfTrue="1"/>
  </conditionalFormatting>
  <conditionalFormatting sqref="D2326">
    <cfRule type="duplicateValues" dxfId="1239" priority="3374" stopIfTrue="1"/>
  </conditionalFormatting>
  <conditionalFormatting sqref="D2327:D2328">
    <cfRule type="duplicateValues" dxfId="1238" priority="3373" stopIfTrue="1"/>
  </conditionalFormatting>
  <conditionalFormatting sqref="D2329">
    <cfRule type="duplicateValues" dxfId="1237" priority="3372" stopIfTrue="1"/>
  </conditionalFormatting>
  <conditionalFormatting sqref="D2330:D2331">
    <cfRule type="duplicateValues" dxfId="1236" priority="3371" stopIfTrue="1"/>
  </conditionalFormatting>
  <conditionalFormatting sqref="D2333">
    <cfRule type="duplicateValues" dxfId="1235" priority="3370" stopIfTrue="1"/>
  </conditionalFormatting>
  <conditionalFormatting sqref="D2334:D2335">
    <cfRule type="duplicateValues" dxfId="1234" priority="3369" stopIfTrue="1"/>
  </conditionalFormatting>
  <conditionalFormatting sqref="C2249:C2250 C72 C2260:C2261">
    <cfRule type="cellIs" dxfId="1233" priority="3363" stopIfTrue="1" operator="equal">
      <formula>"CD"</formula>
    </cfRule>
    <cfRule type="cellIs" dxfId="1232" priority="3364" stopIfTrue="1" operator="equal">
      <formula>"ALVARÁ"</formula>
    </cfRule>
    <cfRule type="cellIs" dxfId="1231" priority="3365" stopIfTrue="1" operator="equal">
      <formula>"CRAPG"</formula>
    </cfRule>
    <cfRule type="cellIs" dxfId="1230" priority="3366" stopIfTrue="1" operator="equal">
      <formula>0</formula>
    </cfRule>
    <cfRule type="cellIs" dxfId="1229" priority="3367" stopIfTrue="1" operator="equal">
      <formula>"KADESH"</formula>
    </cfRule>
    <cfRule type="cellIs" dxfId="1228" priority="3368" stopIfTrue="1" operator="equal">
      <formula>"SANÇÃO"</formula>
    </cfRule>
  </conditionalFormatting>
  <conditionalFormatting sqref="C73">
    <cfRule type="cellIs" dxfId="1227" priority="3356" stopIfTrue="1" operator="equal">
      <formula>"ALVARÁ"</formula>
    </cfRule>
    <cfRule type="cellIs" dxfId="1226" priority="3357" stopIfTrue="1" operator="equal">
      <formula>"CRAPG"</formula>
    </cfRule>
    <cfRule type="cellIs" dxfId="1225" priority="3358" stopIfTrue="1" operator="equal">
      <formula>"CCP"</formula>
    </cfRule>
    <cfRule type="cellIs" dxfId="1224" priority="3359" stopIfTrue="1" operator="equal">
      <formula>"CD"</formula>
    </cfRule>
    <cfRule type="cellIs" dxfId="1223" priority="3360" stopIfTrue="1" operator="equal">
      <formula>"SANÇÃO"</formula>
    </cfRule>
    <cfRule type="cellIs" dxfId="1222" priority="3361" stopIfTrue="1" operator="equal">
      <formula>"KADESH"</formula>
    </cfRule>
    <cfRule type="cellIs" dxfId="1221" priority="3362" stopIfTrue="1" operator="equal">
      <formula>0</formula>
    </cfRule>
  </conditionalFormatting>
  <conditionalFormatting sqref="C73">
    <cfRule type="cellIs" dxfId="1220" priority="3349" stopIfTrue="1" operator="equal">
      <formula>"KADESH"</formula>
    </cfRule>
    <cfRule type="cellIs" dxfId="1219" priority="3350" stopIfTrue="1" operator="equal">
      <formula>"CCP"</formula>
    </cfRule>
    <cfRule type="cellIs" dxfId="1218" priority="3351" stopIfTrue="1" operator="equal">
      <formula>"ALVARÁ"</formula>
    </cfRule>
    <cfRule type="cellIs" dxfId="1217" priority="3352" stopIfTrue="1" operator="equal">
      <formula>"CRAPG"</formula>
    </cfRule>
    <cfRule type="cellIs" dxfId="1216" priority="3353" stopIfTrue="1" operator="equal">
      <formula>"CD"</formula>
    </cfRule>
    <cfRule type="cellIs" dxfId="1215" priority="3354" stopIfTrue="1" operator="equal">
      <formula>"SANÇÃO"</formula>
    </cfRule>
    <cfRule type="cellIs" dxfId="1214" priority="3355" stopIfTrue="1" operator="equal">
      <formula>0</formula>
    </cfRule>
  </conditionalFormatting>
  <conditionalFormatting sqref="C74">
    <cfRule type="cellIs" dxfId="1213" priority="3340" stopIfTrue="1" operator="equal">
      <formula>"ALVARÁ"</formula>
    </cfRule>
    <cfRule type="cellIs" dxfId="1212" priority="3341" stopIfTrue="1" operator="equal">
      <formula>"LC"</formula>
    </cfRule>
    <cfRule type="cellIs" dxfId="1211" priority="3342" stopIfTrue="1" operator="equal">
      <formula>"TORNOZELEIRA"</formula>
    </cfRule>
    <cfRule type="cellIs" dxfId="1210" priority="3343" stopIfTrue="1" operator="equal">
      <formula>"CRAPG"</formula>
    </cfRule>
    <cfRule type="cellIs" dxfId="1209" priority="3344" stopIfTrue="1" operator="equal">
      <formula>"CCP"</formula>
    </cfRule>
    <cfRule type="cellIs" dxfId="1208" priority="3345" stopIfTrue="1" operator="equal">
      <formula>"CD"</formula>
    </cfRule>
    <cfRule type="cellIs" dxfId="1207" priority="3346" stopIfTrue="1" operator="equal">
      <formula>"SANÇÃO"</formula>
    </cfRule>
    <cfRule type="cellIs" dxfId="1206" priority="3347" stopIfTrue="1" operator="equal">
      <formula>"KADESH"</formula>
    </cfRule>
    <cfRule type="cellIs" dxfId="1205" priority="3348" stopIfTrue="1" operator="equal">
      <formula>0</formula>
    </cfRule>
  </conditionalFormatting>
  <conditionalFormatting sqref="C101">
    <cfRule type="duplicateValues" dxfId="1204" priority="3380" stopIfTrue="1"/>
  </conditionalFormatting>
  <conditionalFormatting sqref="C2441">
    <cfRule type="duplicateValues" dxfId="1203" priority="3381" stopIfTrue="1"/>
  </conditionalFormatting>
  <conditionalFormatting sqref="C79">
    <cfRule type="duplicateValues" dxfId="1202" priority="3382" stopIfTrue="1"/>
  </conditionalFormatting>
  <conditionalFormatting sqref="D1523">
    <cfRule type="duplicateValues" dxfId="1201" priority="3339" stopIfTrue="1"/>
  </conditionalFormatting>
  <conditionalFormatting sqref="D375">
    <cfRule type="duplicateValues" dxfId="1200" priority="3338" stopIfTrue="1"/>
  </conditionalFormatting>
  <conditionalFormatting sqref="D376">
    <cfRule type="duplicateValues" dxfId="1199" priority="3337" stopIfTrue="1"/>
  </conditionalFormatting>
  <conditionalFormatting sqref="D377">
    <cfRule type="duplicateValues" dxfId="1198" priority="3336" stopIfTrue="1"/>
  </conditionalFormatting>
  <conditionalFormatting sqref="D378">
    <cfRule type="duplicateValues" dxfId="1197" priority="3335" stopIfTrue="1"/>
  </conditionalFormatting>
  <conditionalFormatting sqref="D379">
    <cfRule type="duplicateValues" dxfId="1196" priority="3334" stopIfTrue="1"/>
  </conditionalFormatting>
  <conditionalFormatting sqref="D380">
    <cfRule type="duplicateValues" dxfId="1195" priority="3333" stopIfTrue="1"/>
  </conditionalFormatting>
  <conditionalFormatting sqref="D381">
    <cfRule type="duplicateValues" dxfId="1194" priority="3332" stopIfTrue="1"/>
  </conditionalFormatting>
  <conditionalFormatting sqref="D382">
    <cfRule type="duplicateValues" dxfId="1193" priority="3331" stopIfTrue="1"/>
  </conditionalFormatting>
  <conditionalFormatting sqref="D383">
    <cfRule type="duplicateValues" dxfId="1192" priority="3330" stopIfTrue="1"/>
  </conditionalFormatting>
  <conditionalFormatting sqref="D384">
    <cfRule type="duplicateValues" dxfId="1191" priority="3329" stopIfTrue="1"/>
  </conditionalFormatting>
  <conditionalFormatting sqref="D385">
    <cfRule type="duplicateValues" dxfId="1190" priority="3328" stopIfTrue="1"/>
  </conditionalFormatting>
  <conditionalFormatting sqref="D386">
    <cfRule type="duplicateValues" dxfId="1189" priority="3327" stopIfTrue="1"/>
  </conditionalFormatting>
  <conditionalFormatting sqref="D387">
    <cfRule type="duplicateValues" dxfId="1188" priority="3326" stopIfTrue="1"/>
  </conditionalFormatting>
  <conditionalFormatting sqref="D388">
    <cfRule type="duplicateValues" dxfId="1187" priority="3325" stopIfTrue="1"/>
  </conditionalFormatting>
  <conditionalFormatting sqref="D389">
    <cfRule type="duplicateValues" dxfId="1186" priority="3324" stopIfTrue="1"/>
  </conditionalFormatting>
  <conditionalFormatting sqref="D63">
    <cfRule type="duplicateValues" dxfId="1185" priority="3323" stopIfTrue="1"/>
  </conditionalFormatting>
  <conditionalFormatting sqref="D53">
    <cfRule type="duplicateValues" dxfId="1184" priority="3322" stopIfTrue="1"/>
  </conditionalFormatting>
  <conditionalFormatting sqref="D54:D55">
    <cfRule type="duplicateValues" dxfId="1183" priority="3321" stopIfTrue="1"/>
  </conditionalFormatting>
  <conditionalFormatting sqref="D55">
    <cfRule type="duplicateValues" dxfId="1182" priority="3320" stopIfTrue="1"/>
  </conditionalFormatting>
  <conditionalFormatting sqref="D2473">
    <cfRule type="duplicateValues" dxfId="1181" priority="3319" stopIfTrue="1"/>
  </conditionalFormatting>
  <conditionalFormatting sqref="D2474">
    <cfRule type="duplicateValues" dxfId="1180" priority="3318" stopIfTrue="1"/>
  </conditionalFormatting>
  <conditionalFormatting sqref="D2476:D2477">
    <cfRule type="duplicateValues" dxfId="1179" priority="3317" stopIfTrue="1"/>
  </conditionalFormatting>
  <conditionalFormatting sqref="D2478:D2483">
    <cfRule type="duplicateValues" dxfId="1178" priority="3316" stopIfTrue="1"/>
  </conditionalFormatting>
  <conditionalFormatting sqref="D1082">
    <cfRule type="duplicateValues" dxfId="1177" priority="3315" stopIfTrue="1"/>
  </conditionalFormatting>
  <conditionalFormatting sqref="D1083">
    <cfRule type="duplicateValues" dxfId="1176" priority="3314" stopIfTrue="1"/>
  </conditionalFormatting>
  <conditionalFormatting sqref="D1869">
    <cfRule type="duplicateValues" dxfId="1175" priority="3313" stopIfTrue="1"/>
  </conditionalFormatting>
  <conditionalFormatting sqref="D43">
    <cfRule type="duplicateValues" dxfId="1174" priority="3312" stopIfTrue="1"/>
  </conditionalFormatting>
  <conditionalFormatting sqref="D42">
    <cfRule type="duplicateValues" dxfId="1173" priority="3311" stopIfTrue="1"/>
  </conditionalFormatting>
  <conditionalFormatting sqref="D1631">
    <cfRule type="duplicateValues" dxfId="1172" priority="3310" stopIfTrue="1"/>
  </conditionalFormatting>
  <conditionalFormatting sqref="D1632">
    <cfRule type="duplicateValues" dxfId="1171" priority="3309" stopIfTrue="1"/>
  </conditionalFormatting>
  <conditionalFormatting sqref="D1633:D1634">
    <cfRule type="duplicateValues" dxfId="1170" priority="3308" stopIfTrue="1"/>
  </conditionalFormatting>
  <conditionalFormatting sqref="D1635">
    <cfRule type="duplicateValues" dxfId="1169" priority="3307" stopIfTrue="1"/>
  </conditionalFormatting>
  <conditionalFormatting sqref="D1636">
    <cfRule type="duplicateValues" dxfId="1168" priority="3306" stopIfTrue="1"/>
  </conditionalFormatting>
  <conditionalFormatting sqref="C1001">
    <cfRule type="duplicateValues" dxfId="1167" priority="3304" stopIfTrue="1"/>
  </conditionalFormatting>
  <conditionalFormatting sqref="D2484:D2485">
    <cfRule type="duplicateValues" dxfId="1166" priority="3303" stopIfTrue="1"/>
  </conditionalFormatting>
  <conditionalFormatting sqref="D2486">
    <cfRule type="duplicateValues" dxfId="1165" priority="3302" stopIfTrue="1"/>
  </conditionalFormatting>
  <conditionalFormatting sqref="D2487:D2488">
    <cfRule type="duplicateValues" dxfId="1164" priority="3301" stopIfTrue="1"/>
  </conditionalFormatting>
  <conditionalFormatting sqref="D1474:D1475">
    <cfRule type="duplicateValues" dxfId="1163" priority="3299" stopIfTrue="1"/>
  </conditionalFormatting>
  <conditionalFormatting sqref="D2490">
    <cfRule type="duplicateValues" dxfId="1162" priority="3298" stopIfTrue="1"/>
  </conditionalFormatting>
  <conditionalFormatting sqref="D2491:D2517">
    <cfRule type="duplicateValues" dxfId="1161" priority="3297" stopIfTrue="1"/>
  </conditionalFormatting>
  <conditionalFormatting sqref="D2518:D2521">
    <cfRule type="duplicateValues" dxfId="1160" priority="3296" stopIfTrue="1"/>
  </conditionalFormatting>
  <conditionalFormatting sqref="D1881">
    <cfRule type="duplicateValues" dxfId="1159" priority="3295" stopIfTrue="1"/>
  </conditionalFormatting>
  <conditionalFormatting sqref="D1334">
    <cfRule type="duplicateValues" dxfId="1158" priority="3294" stopIfTrue="1"/>
  </conditionalFormatting>
  <conditionalFormatting sqref="C2526">
    <cfRule type="duplicateValues" dxfId="1157" priority="3291" stopIfTrue="1"/>
  </conditionalFormatting>
  <conditionalFormatting sqref="D2156">
    <cfRule type="duplicateValues" dxfId="1156" priority="3290" stopIfTrue="1"/>
  </conditionalFormatting>
  <conditionalFormatting sqref="D2540:D2541">
    <cfRule type="duplicateValues" dxfId="1155" priority="3289" stopIfTrue="1"/>
  </conditionalFormatting>
  <conditionalFormatting sqref="D2542">
    <cfRule type="duplicateValues" dxfId="1154" priority="3288" stopIfTrue="1"/>
  </conditionalFormatting>
  <conditionalFormatting sqref="D2038">
    <cfRule type="duplicateValues" dxfId="1153" priority="3287" stopIfTrue="1"/>
  </conditionalFormatting>
  <conditionalFormatting sqref="D2532">
    <cfRule type="duplicateValues" dxfId="1152" priority="3286" stopIfTrue="1"/>
  </conditionalFormatting>
  <conditionalFormatting sqref="D2543">
    <cfRule type="duplicateValues" dxfId="1151" priority="3285" stopIfTrue="1"/>
  </conditionalFormatting>
  <conditionalFormatting sqref="D2544">
    <cfRule type="duplicateValues" dxfId="1150" priority="3284" stopIfTrue="1"/>
  </conditionalFormatting>
  <conditionalFormatting sqref="D2545">
    <cfRule type="duplicateValues" dxfId="1149" priority="3283" stopIfTrue="1"/>
  </conditionalFormatting>
  <conditionalFormatting sqref="D2546">
    <cfRule type="duplicateValues" dxfId="1148" priority="3282" stopIfTrue="1"/>
  </conditionalFormatting>
  <conditionalFormatting sqref="D2467:D2468">
    <cfRule type="duplicateValues" dxfId="1147" priority="3281" stopIfTrue="1"/>
  </conditionalFormatting>
  <conditionalFormatting sqref="D2463 D2466">
    <cfRule type="duplicateValues" dxfId="1146" priority="3280" stopIfTrue="1"/>
  </conditionalFormatting>
  <conditionalFormatting sqref="D2461">
    <cfRule type="duplicateValues" dxfId="1145" priority="3279" stopIfTrue="1"/>
  </conditionalFormatting>
  <conditionalFormatting sqref="D900:D902">
    <cfRule type="duplicateValues" dxfId="1144" priority="3278" stopIfTrue="1"/>
  </conditionalFormatting>
  <conditionalFormatting sqref="D899">
    <cfRule type="duplicateValues" dxfId="1143" priority="3277" stopIfTrue="1"/>
  </conditionalFormatting>
  <conditionalFormatting sqref="D1468">
    <cfRule type="duplicateValues" dxfId="1142" priority="3276" stopIfTrue="1"/>
  </conditionalFormatting>
  <conditionalFormatting sqref="D1469">
    <cfRule type="duplicateValues" dxfId="1141" priority="3275" stopIfTrue="1"/>
  </conditionalFormatting>
  <conditionalFormatting sqref="D1470">
    <cfRule type="duplicateValues" dxfId="1140" priority="3274" stopIfTrue="1"/>
  </conditionalFormatting>
  <conditionalFormatting sqref="D1471">
    <cfRule type="duplicateValues" dxfId="1139" priority="3273" stopIfTrue="1"/>
  </conditionalFormatting>
  <conditionalFormatting sqref="D1472">
    <cfRule type="duplicateValues" dxfId="1138" priority="3272" stopIfTrue="1"/>
  </conditionalFormatting>
  <conditionalFormatting sqref="D2547">
    <cfRule type="duplicateValues" dxfId="1137" priority="3270" stopIfTrue="1"/>
  </conditionalFormatting>
  <conditionalFormatting sqref="C2550">
    <cfRule type="colorScale" priority="3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548">
    <cfRule type="duplicateValues" dxfId="1136" priority="3268" stopIfTrue="1"/>
  </conditionalFormatting>
  <conditionalFormatting sqref="D2549">
    <cfRule type="duplicateValues" dxfId="1135" priority="3267" stopIfTrue="1"/>
  </conditionalFormatting>
  <conditionalFormatting sqref="D2550">
    <cfRule type="duplicateValues" dxfId="1134" priority="3266" stopIfTrue="1"/>
  </conditionalFormatting>
  <conditionalFormatting sqref="D2552">
    <cfRule type="duplicateValues" dxfId="1133" priority="3265" stopIfTrue="1"/>
  </conditionalFormatting>
  <conditionalFormatting sqref="D2553">
    <cfRule type="duplicateValues" dxfId="1132" priority="3264" stopIfTrue="1"/>
  </conditionalFormatting>
  <conditionalFormatting sqref="D2554">
    <cfRule type="duplicateValues" dxfId="1131" priority="3263" stopIfTrue="1"/>
  </conditionalFormatting>
  <conditionalFormatting sqref="D2556">
    <cfRule type="duplicateValues" dxfId="1130" priority="3262" stopIfTrue="1"/>
  </conditionalFormatting>
  <conditionalFormatting sqref="D960">
    <cfRule type="duplicateValues" dxfId="1129" priority="3261" stopIfTrue="1"/>
  </conditionalFormatting>
  <conditionalFormatting sqref="D961">
    <cfRule type="duplicateValues" dxfId="1128" priority="3260" stopIfTrue="1"/>
  </conditionalFormatting>
  <conditionalFormatting sqref="D1634">
    <cfRule type="duplicateValues" dxfId="1127" priority="3259" stopIfTrue="1"/>
  </conditionalFormatting>
  <conditionalFormatting sqref="D39">
    <cfRule type="duplicateValues" dxfId="1126" priority="3258" stopIfTrue="1"/>
  </conditionalFormatting>
  <conditionalFormatting sqref="D40">
    <cfRule type="duplicateValues" dxfId="1125" priority="3257" stopIfTrue="1"/>
  </conditionalFormatting>
  <conditionalFormatting sqref="D1644:D1645">
    <cfRule type="duplicateValues" dxfId="1124" priority="3256" stopIfTrue="1"/>
  </conditionalFormatting>
  <conditionalFormatting sqref="D1646:D1647">
    <cfRule type="duplicateValues" dxfId="1123" priority="3255" stopIfTrue="1"/>
  </conditionalFormatting>
  <conditionalFormatting sqref="D11">
    <cfRule type="duplicateValues" dxfId="1122" priority="3254" stopIfTrue="1"/>
  </conditionalFormatting>
  <conditionalFormatting sqref="D12">
    <cfRule type="duplicateValues" dxfId="1121" priority="3253" stopIfTrue="1"/>
  </conditionalFormatting>
  <conditionalFormatting sqref="D13">
    <cfRule type="duplicateValues" dxfId="1120" priority="3252" stopIfTrue="1"/>
  </conditionalFormatting>
  <conditionalFormatting sqref="D14">
    <cfRule type="duplicateValues" dxfId="1119" priority="3251" stopIfTrue="1"/>
  </conditionalFormatting>
  <conditionalFormatting sqref="D15">
    <cfRule type="duplicateValues" dxfId="1118" priority="3250" stopIfTrue="1"/>
  </conditionalFormatting>
  <conditionalFormatting sqref="D19:D24">
    <cfRule type="duplicateValues" dxfId="1117" priority="3249" stopIfTrue="1"/>
  </conditionalFormatting>
  <conditionalFormatting sqref="D25">
    <cfRule type="duplicateValues" dxfId="1116" priority="3248" stopIfTrue="1"/>
  </conditionalFormatting>
  <conditionalFormatting sqref="D26">
    <cfRule type="duplicateValues" dxfId="1115" priority="3247" stopIfTrue="1"/>
  </conditionalFormatting>
  <conditionalFormatting sqref="D27">
    <cfRule type="duplicateValues" dxfId="1114" priority="3246" stopIfTrue="1"/>
  </conditionalFormatting>
  <conditionalFormatting sqref="D28">
    <cfRule type="duplicateValues" dxfId="1113" priority="3245" stopIfTrue="1"/>
  </conditionalFormatting>
  <conditionalFormatting sqref="D30">
    <cfRule type="duplicateValues" dxfId="1112" priority="3244" stopIfTrue="1"/>
  </conditionalFormatting>
  <conditionalFormatting sqref="D31">
    <cfRule type="duplicateValues" dxfId="1111" priority="3243" stopIfTrue="1"/>
  </conditionalFormatting>
  <conditionalFormatting sqref="D32">
    <cfRule type="duplicateValues" dxfId="1110" priority="3242" stopIfTrue="1"/>
  </conditionalFormatting>
  <conditionalFormatting sqref="D33">
    <cfRule type="duplicateValues" dxfId="1109" priority="3241" stopIfTrue="1"/>
  </conditionalFormatting>
  <conditionalFormatting sqref="D34">
    <cfRule type="duplicateValues" dxfId="1108" priority="3240" stopIfTrue="1"/>
  </conditionalFormatting>
  <conditionalFormatting sqref="D35">
    <cfRule type="duplicateValues" dxfId="1107" priority="3239" stopIfTrue="1"/>
  </conditionalFormatting>
  <conditionalFormatting sqref="D36">
    <cfRule type="duplicateValues" dxfId="1106" priority="3238" stopIfTrue="1"/>
  </conditionalFormatting>
  <conditionalFormatting sqref="D37">
    <cfRule type="duplicateValues" dxfId="1105" priority="3237" stopIfTrue="1"/>
  </conditionalFormatting>
  <conditionalFormatting sqref="D38">
    <cfRule type="duplicateValues" dxfId="1104" priority="3236" stopIfTrue="1"/>
  </conditionalFormatting>
  <conditionalFormatting sqref="D5">
    <cfRule type="duplicateValues" dxfId="1103" priority="3235" stopIfTrue="1"/>
  </conditionalFormatting>
  <conditionalFormatting sqref="D8">
    <cfRule type="duplicateValues" dxfId="1102" priority="3234" stopIfTrue="1"/>
  </conditionalFormatting>
  <conditionalFormatting sqref="D9">
    <cfRule type="duplicateValues" dxfId="1101" priority="3233" stopIfTrue="1"/>
  </conditionalFormatting>
  <conditionalFormatting sqref="D10">
    <cfRule type="duplicateValues" dxfId="1100" priority="3232" stopIfTrue="1"/>
  </conditionalFormatting>
  <conditionalFormatting sqref="D2555">
    <cfRule type="duplicateValues" dxfId="1099" priority="3231" stopIfTrue="1"/>
  </conditionalFormatting>
  <conditionalFormatting sqref="D2558">
    <cfRule type="duplicateValues" dxfId="1098" priority="3230" stopIfTrue="1"/>
  </conditionalFormatting>
  <conditionalFormatting sqref="D2559">
    <cfRule type="duplicateValues" dxfId="1097" priority="3229" stopIfTrue="1"/>
  </conditionalFormatting>
  <conditionalFormatting sqref="D2560">
    <cfRule type="duplicateValues" dxfId="1096" priority="3228" stopIfTrue="1"/>
  </conditionalFormatting>
  <conditionalFormatting sqref="D2561">
    <cfRule type="duplicateValues" dxfId="1095" priority="3227" stopIfTrue="1"/>
  </conditionalFormatting>
  <conditionalFormatting sqref="D2562">
    <cfRule type="duplicateValues" dxfId="1094" priority="3226" stopIfTrue="1"/>
  </conditionalFormatting>
  <conditionalFormatting sqref="D2563">
    <cfRule type="duplicateValues" dxfId="1093" priority="3225" stopIfTrue="1"/>
  </conditionalFormatting>
  <conditionalFormatting sqref="D2565">
    <cfRule type="duplicateValues" dxfId="1092" priority="3224" stopIfTrue="1"/>
  </conditionalFormatting>
  <conditionalFormatting sqref="D2566">
    <cfRule type="duplicateValues" dxfId="1091" priority="3223" stopIfTrue="1"/>
  </conditionalFormatting>
  <conditionalFormatting sqref="C2571">
    <cfRule type="colorScale" priority="3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567:D2569">
    <cfRule type="duplicateValues" dxfId="1090" priority="3222" stopIfTrue="1"/>
  </conditionalFormatting>
  <conditionalFormatting sqref="D2570">
    <cfRule type="duplicateValues" dxfId="1089" priority="3220" stopIfTrue="1"/>
  </conditionalFormatting>
  <conditionalFormatting sqref="C71:C75">
    <cfRule type="duplicateValues" dxfId="1088" priority="3383" stopIfTrue="1"/>
  </conditionalFormatting>
  <conditionalFormatting sqref="D445">
    <cfRule type="duplicateValues" dxfId="1087" priority="3219" stopIfTrue="1"/>
  </conditionalFormatting>
  <conditionalFormatting sqref="D446">
    <cfRule type="duplicateValues" dxfId="1086" priority="3218" stopIfTrue="1"/>
  </conditionalFormatting>
  <conditionalFormatting sqref="D447">
    <cfRule type="duplicateValues" dxfId="1085" priority="3217" stopIfTrue="1"/>
  </conditionalFormatting>
  <conditionalFormatting sqref="D448">
    <cfRule type="duplicateValues" dxfId="1084" priority="3216" stopIfTrue="1"/>
  </conditionalFormatting>
  <conditionalFormatting sqref="D449">
    <cfRule type="duplicateValues" dxfId="1083" priority="3215" stopIfTrue="1"/>
  </conditionalFormatting>
  <conditionalFormatting sqref="D450">
    <cfRule type="duplicateValues" dxfId="1082" priority="3214" stopIfTrue="1"/>
  </conditionalFormatting>
  <conditionalFormatting sqref="C452">
    <cfRule type="duplicateValues" dxfId="1081" priority="3212" stopIfTrue="1"/>
  </conditionalFormatting>
  <conditionalFormatting sqref="C452">
    <cfRule type="colorScale" priority="3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51">
    <cfRule type="duplicateValues" dxfId="1080" priority="3213" stopIfTrue="1"/>
  </conditionalFormatting>
  <conditionalFormatting sqref="D452">
    <cfRule type="duplicateValues" dxfId="1079" priority="3210" stopIfTrue="1"/>
  </conditionalFormatting>
  <conditionalFormatting sqref="C454">
    <cfRule type="colorScale" priority="3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53">
    <cfRule type="duplicateValues" dxfId="1078" priority="3209" stopIfTrue="1"/>
  </conditionalFormatting>
  <conditionalFormatting sqref="D454">
    <cfRule type="duplicateValues" dxfId="1077" priority="3207" stopIfTrue="1"/>
  </conditionalFormatting>
  <conditionalFormatting sqref="D2578">
    <cfRule type="duplicateValues" dxfId="1076" priority="3206" stopIfTrue="1"/>
  </conditionalFormatting>
  <conditionalFormatting sqref="D2579:D2582">
    <cfRule type="duplicateValues" dxfId="1075" priority="3205" stopIfTrue="1"/>
  </conditionalFormatting>
  <conditionalFormatting sqref="D2583:D2584">
    <cfRule type="duplicateValues" dxfId="1074" priority="3204" stopIfTrue="1"/>
  </conditionalFormatting>
  <conditionalFormatting sqref="D2585">
    <cfRule type="duplicateValues" dxfId="1073" priority="3203" stopIfTrue="1"/>
  </conditionalFormatting>
  <conditionalFormatting sqref="D2586">
    <cfRule type="duplicateValues" dxfId="1072" priority="3202" stopIfTrue="1"/>
  </conditionalFormatting>
  <conditionalFormatting sqref="D2588">
    <cfRule type="duplicateValues" dxfId="1071" priority="3201" stopIfTrue="1"/>
  </conditionalFormatting>
  <conditionalFormatting sqref="D2591">
    <cfRule type="duplicateValues" dxfId="1070" priority="3200" stopIfTrue="1"/>
  </conditionalFormatting>
  <conditionalFormatting sqref="D2592">
    <cfRule type="duplicateValues" dxfId="1069" priority="3199" stopIfTrue="1"/>
  </conditionalFormatting>
  <conditionalFormatting sqref="D2593:D2595">
    <cfRule type="duplicateValues" dxfId="1068" priority="3198" stopIfTrue="1"/>
  </conditionalFormatting>
  <conditionalFormatting sqref="D2596">
    <cfRule type="duplicateValues" dxfId="1067" priority="3197" stopIfTrue="1"/>
  </conditionalFormatting>
  <conditionalFormatting sqref="D6">
    <cfRule type="duplicateValues" dxfId="1066" priority="3196" stopIfTrue="1"/>
  </conditionalFormatting>
  <conditionalFormatting sqref="D3">
    <cfRule type="duplicateValues" dxfId="1065" priority="3195" stopIfTrue="1"/>
  </conditionalFormatting>
  <conditionalFormatting sqref="D4">
    <cfRule type="duplicateValues" dxfId="1064" priority="3194" stopIfTrue="1"/>
  </conditionalFormatting>
  <conditionalFormatting sqref="D458">
    <cfRule type="duplicateValues" dxfId="1063" priority="3193" stopIfTrue="1"/>
  </conditionalFormatting>
  <conditionalFormatting sqref="D1423">
    <cfRule type="duplicateValues" dxfId="1062" priority="3192" stopIfTrue="1"/>
  </conditionalFormatting>
  <conditionalFormatting sqref="D1441">
    <cfRule type="duplicateValues" dxfId="1061" priority="3191" stopIfTrue="1"/>
  </conditionalFormatting>
  <conditionalFormatting sqref="D1050">
    <cfRule type="duplicateValues" dxfId="1060" priority="3190" stopIfTrue="1"/>
  </conditionalFormatting>
  <conditionalFormatting sqref="D2564">
    <cfRule type="duplicateValues" dxfId="1059" priority="3189" stopIfTrue="1"/>
  </conditionalFormatting>
  <conditionalFormatting sqref="D1984">
    <cfRule type="duplicateValues" dxfId="1058" priority="3188" stopIfTrue="1"/>
  </conditionalFormatting>
  <conditionalFormatting sqref="D883 C884">
    <cfRule type="duplicateValues" dxfId="1057" priority="3187" stopIfTrue="1"/>
  </conditionalFormatting>
  <conditionalFormatting sqref="D992">
    <cfRule type="duplicateValues" dxfId="1056" priority="3186" stopIfTrue="1"/>
  </conditionalFormatting>
  <conditionalFormatting sqref="D2597">
    <cfRule type="duplicateValues" dxfId="1055" priority="3185" stopIfTrue="1"/>
  </conditionalFormatting>
  <conditionalFormatting sqref="C2600">
    <cfRule type="colorScale" priority="3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598">
    <cfRule type="duplicateValues" dxfId="1054" priority="3183" stopIfTrue="1"/>
  </conditionalFormatting>
  <conditionalFormatting sqref="D1165">
    <cfRule type="duplicateValues" dxfId="1053" priority="3182" stopIfTrue="1"/>
  </conditionalFormatting>
  <conditionalFormatting sqref="D1548">
    <cfRule type="duplicateValues" dxfId="1052" priority="3181" stopIfTrue="1"/>
  </conditionalFormatting>
  <conditionalFormatting sqref="D2529">
    <cfRule type="duplicateValues" dxfId="1051" priority="3180" stopIfTrue="1"/>
  </conditionalFormatting>
  <conditionalFormatting sqref="D2396">
    <cfRule type="duplicateValues" dxfId="1050" priority="3179" stopIfTrue="1"/>
  </conditionalFormatting>
  <conditionalFormatting sqref="D1742">
    <cfRule type="duplicateValues" dxfId="1049" priority="3178" stopIfTrue="1"/>
  </conditionalFormatting>
  <conditionalFormatting sqref="D213">
    <cfRule type="duplicateValues" dxfId="1048" priority="3177" stopIfTrue="1"/>
  </conditionalFormatting>
  <conditionalFormatting sqref="B2602">
    <cfRule type="duplicateValues" dxfId="1047" priority="3176" stopIfTrue="1"/>
  </conditionalFormatting>
  <conditionalFormatting sqref="B29">
    <cfRule type="colorScale" priority="3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9">
    <cfRule type="duplicateValues" dxfId="1046" priority="3175" stopIfTrue="1"/>
  </conditionalFormatting>
  <conditionalFormatting sqref="D89">
    <cfRule type="duplicateValues" dxfId="1045" priority="3173" stopIfTrue="1"/>
  </conditionalFormatting>
  <conditionalFormatting sqref="D538">
    <cfRule type="duplicateValues" dxfId="1044" priority="3172" stopIfTrue="1"/>
  </conditionalFormatting>
  <conditionalFormatting sqref="D686">
    <cfRule type="duplicateValues" dxfId="1043" priority="3170" stopIfTrue="1"/>
  </conditionalFormatting>
  <conditionalFormatting sqref="D897">
    <cfRule type="duplicateValues" dxfId="1042" priority="3169" stopIfTrue="1"/>
  </conditionalFormatting>
  <conditionalFormatting sqref="D954">
    <cfRule type="duplicateValues" dxfId="1041" priority="3168" stopIfTrue="1"/>
  </conditionalFormatting>
  <conditionalFormatting sqref="D207">
    <cfRule type="duplicateValues" dxfId="1040" priority="3167" stopIfTrue="1"/>
  </conditionalFormatting>
  <conditionalFormatting sqref="D1888">
    <cfRule type="duplicateValues" dxfId="1039" priority="3166" stopIfTrue="1"/>
  </conditionalFormatting>
  <conditionalFormatting sqref="C2393">
    <cfRule type="duplicateValues" dxfId="1038" priority="3165" stopIfTrue="1"/>
  </conditionalFormatting>
  <conditionalFormatting sqref="D348">
    <cfRule type="duplicateValues" dxfId="1037" priority="3164" stopIfTrue="1"/>
  </conditionalFormatting>
  <conditionalFormatting sqref="D1230">
    <cfRule type="duplicateValues" dxfId="1036" priority="3163" stopIfTrue="1"/>
  </conditionalFormatting>
  <conditionalFormatting sqref="D1643">
    <cfRule type="duplicateValues" dxfId="1035" priority="3162" stopIfTrue="1"/>
  </conditionalFormatting>
  <conditionalFormatting sqref="C976">
    <cfRule type="duplicateValues" dxfId="1034" priority="3161" stopIfTrue="1"/>
  </conditionalFormatting>
  <conditionalFormatting sqref="D1263">
    <cfRule type="duplicateValues" dxfId="1033" priority="3160" stopIfTrue="1"/>
  </conditionalFormatting>
  <conditionalFormatting sqref="D1427">
    <cfRule type="duplicateValues" dxfId="1032" priority="3159" stopIfTrue="1"/>
  </conditionalFormatting>
  <conditionalFormatting sqref="D2551">
    <cfRule type="duplicateValues" dxfId="1031" priority="3158" stopIfTrue="1"/>
  </conditionalFormatting>
  <conditionalFormatting sqref="D1797">
    <cfRule type="duplicateValues" dxfId="1030" priority="3157" stopIfTrue="1"/>
  </conditionalFormatting>
  <conditionalFormatting sqref="C1039">
    <cfRule type="duplicateValues" dxfId="1029" priority="3156" stopIfTrue="1"/>
  </conditionalFormatting>
  <conditionalFormatting sqref="D2241">
    <cfRule type="duplicateValues" dxfId="1028" priority="3155" stopIfTrue="1"/>
  </conditionalFormatting>
  <conditionalFormatting sqref="D1432">
    <cfRule type="duplicateValues" dxfId="1027" priority="3154" stopIfTrue="1"/>
  </conditionalFormatting>
  <conditionalFormatting sqref="D1433:D1434">
    <cfRule type="duplicateValues" dxfId="1026" priority="3153" stopIfTrue="1"/>
  </conditionalFormatting>
  <conditionalFormatting sqref="D1435">
    <cfRule type="duplicateValues" dxfId="1025" priority="3152" stopIfTrue="1"/>
  </conditionalFormatting>
  <conditionalFormatting sqref="D1436">
    <cfRule type="duplicateValues" dxfId="1024" priority="3151" stopIfTrue="1"/>
  </conditionalFormatting>
  <conditionalFormatting sqref="D1437">
    <cfRule type="duplicateValues" dxfId="1023" priority="3150" stopIfTrue="1"/>
  </conditionalFormatting>
  <conditionalFormatting sqref="D2610">
    <cfRule type="duplicateValues" dxfId="1022" priority="3149" stopIfTrue="1"/>
  </conditionalFormatting>
  <conditionalFormatting sqref="D2571">
    <cfRule type="duplicateValues" dxfId="1021" priority="3148" stopIfTrue="1"/>
  </conditionalFormatting>
  <conditionalFormatting sqref="D2572">
    <cfRule type="duplicateValues" dxfId="1020" priority="3147" stopIfTrue="1"/>
  </conditionalFormatting>
  <conditionalFormatting sqref="D2573">
    <cfRule type="duplicateValues" dxfId="1019" priority="3146" stopIfTrue="1"/>
  </conditionalFormatting>
  <conditionalFormatting sqref="D2574">
    <cfRule type="duplicateValues" dxfId="1018" priority="3145" stopIfTrue="1"/>
  </conditionalFormatting>
  <conditionalFormatting sqref="D2575">
    <cfRule type="duplicateValues" dxfId="1017" priority="3144" stopIfTrue="1"/>
  </conditionalFormatting>
  <conditionalFormatting sqref="D2576">
    <cfRule type="duplicateValues" dxfId="1016" priority="3143" stopIfTrue="1"/>
  </conditionalFormatting>
  <conditionalFormatting sqref="D2577">
    <cfRule type="duplicateValues" dxfId="1015" priority="3142" stopIfTrue="1"/>
  </conditionalFormatting>
  <conditionalFormatting sqref="D2408">
    <cfRule type="duplicateValues" dxfId="1014" priority="3141" stopIfTrue="1"/>
  </conditionalFormatting>
  <conditionalFormatting sqref="D691">
    <cfRule type="duplicateValues" dxfId="1013" priority="3140" stopIfTrue="1"/>
  </conditionalFormatting>
  <conditionalFormatting sqref="D692">
    <cfRule type="duplicateValues" dxfId="1012" priority="3139" stopIfTrue="1"/>
  </conditionalFormatting>
  <conditionalFormatting sqref="D1191">
    <cfRule type="duplicateValues" dxfId="1011" priority="3138" stopIfTrue="1"/>
  </conditionalFormatting>
  <conditionalFormatting sqref="D2587">
    <cfRule type="duplicateValues" dxfId="1010" priority="3137" stopIfTrue="1"/>
  </conditionalFormatting>
  <conditionalFormatting sqref="D2080">
    <cfRule type="duplicateValues" dxfId="1009" priority="3136" stopIfTrue="1"/>
  </conditionalFormatting>
  <conditionalFormatting sqref="D2081">
    <cfRule type="duplicateValues" dxfId="1008" priority="3135" stopIfTrue="1"/>
  </conditionalFormatting>
  <conditionalFormatting sqref="D1154">
    <cfRule type="duplicateValues" dxfId="1007" priority="3134" stopIfTrue="1"/>
  </conditionalFormatting>
  <conditionalFormatting sqref="D2633">
    <cfRule type="duplicateValues" dxfId="1006" priority="3133" stopIfTrue="1"/>
  </conditionalFormatting>
  <conditionalFormatting sqref="D2636">
    <cfRule type="duplicateValues" dxfId="1005" priority="3132" stopIfTrue="1"/>
  </conditionalFormatting>
  <conditionalFormatting sqref="D2637">
    <cfRule type="duplicateValues" dxfId="1004" priority="3131" stopIfTrue="1"/>
  </conditionalFormatting>
  <conditionalFormatting sqref="D1807">
    <cfRule type="duplicateValues" dxfId="1003" priority="3128" stopIfTrue="1"/>
  </conditionalFormatting>
  <conditionalFormatting sqref="D1808">
    <cfRule type="duplicateValues" dxfId="1002" priority="3127" stopIfTrue="1"/>
  </conditionalFormatting>
  <conditionalFormatting sqref="D1809">
    <cfRule type="duplicateValues" dxfId="1001" priority="3126" stopIfTrue="1"/>
  </conditionalFormatting>
  <conditionalFormatting sqref="D1810">
    <cfRule type="duplicateValues" dxfId="1000" priority="3125" stopIfTrue="1"/>
  </conditionalFormatting>
  <conditionalFormatting sqref="C2874:C2876 D2811 C1811 D2672 D2779 C2780:C2789 D2665 C2666 C2172:D2172 C2261:D2261 D2757 A2664 D1750 D2088:D2089 D1971 D2649 D2615:D2616 D1788 D2084 D2751 D2381:D2383 D1873 D2360 D2783 D1532 C1670:D1672 C1683:C1684 D1581:D1582 D583 D1481 D1374 D605 D1536 D1384 D765 D816 D1508 D398:D399 D239 D1113 D1354 D1175 C1677:D1679 C1690:C1691 D1588:D1589 D924:D929 D586 D61 D875:D883 D178:D179 D125 D1377 D608 D216:D222 D1543 D1539 D1387 D768 D806:D811 D819 D1515 D410 D406:D407 D401:D404 D241 D1117 D1357 C152:C154 C154:D156 D1178 D475 D432 D84 D1486:D1487 D537 D1490 D298 D370 D683 D1720 D1746:D1747 D2595 D2269 D2832:D2850 D2823:D2829 C1820 D2689 C2690 C2797:C2806 D2682 C2683 C2183:D2183 C2274:D2274 D2774 D2685:D2687 A2681 D1759 D2100:D2101 D1983 D2667:D2670 D2632:D2633 D1797 D2096 D2768 D2392:D2394 D1882 D2370 D2796:D2802 D1729 D2853:D2873 D1755:D1756 D2818:D2819 D2813:D2816 D2610 D2438:D2439 D1736 C2657:D2657 C2044 D2403 D2712:D2726 D1740 D2877:D2878 D2880">
    <cfRule type="containsText" dxfId="999" priority="3114" operator="containsText" text="TRIAGEM/SANÇÃO">
      <formula>NOT(ISERROR(SEARCH("TRIAGEM/SANÇÃO",A61)))</formula>
    </cfRule>
    <cfRule type="containsText" dxfId="998" priority="3115" operator="containsText" text="TRIAGEM">
      <formula>NOT(ISERROR(SEARCH("TRIAGEM",A61)))</formula>
    </cfRule>
    <cfRule type="containsText" dxfId="997" priority="3116" operator="containsText" text="SANÇÃO">
      <formula>NOT(ISERROR(SEARCH("SANÇÃO",A61)))</formula>
    </cfRule>
    <cfRule type="containsText" dxfId="996" priority="3117" operator="containsText" text="LAVANDERIA">
      <formula>NOT(ISERROR(SEARCH("LAVANDERIA",A61)))</formula>
    </cfRule>
    <cfRule type="containsText" dxfId="995" priority="3118" operator="containsText" text="KADESH">
      <formula>NOT(ISERROR(SEARCH("KADESH",A61)))</formula>
    </cfRule>
    <cfRule type="containsText" dxfId="994" priority="3119" operator="containsText" text="FAXINA">
      <formula>NOT(ISERROR(SEARCH("FAXINA",A61)))</formula>
    </cfRule>
    <cfRule type="containsText" dxfId="993" priority="3120" operator="containsText" text="COZINHA">
      <formula>NOT(ISERROR(SEARCH("COZINHA",A61)))</formula>
    </cfRule>
    <cfRule type="containsText" dxfId="992" priority="3121" operator="containsText" text="COSTURA">
      <formula>NOT(ISERROR(SEARCH("COSTURA",A61)))</formula>
    </cfRule>
    <cfRule type="containsText" dxfId="991" priority="3122" operator="containsText" text="BIBLIOTECA">
      <formula>NOT(ISERROR(SEARCH("BIBLIOTECA",A61)))</formula>
    </cfRule>
    <cfRule type="containsText" dxfId="990" priority="3123" operator="containsText" text="ARTESANATO">
      <formula>NOT(ISERROR(SEARCH("ARTESANATO",A61)))</formula>
    </cfRule>
  </conditionalFormatting>
  <conditionalFormatting sqref="C2874:C2876 D2811 C1811 D2672 D2779 C2780:C2789 D2665 C2666 C2172:D2172 C2261:D2261 D2757 A2664 D1750 B2790 D2792 D2088:D2089 D1971 D2649 D2615:D2616 D1788 D2084 D2751 D2381:D2383 D1873 D2360 D2783 D1532 C1670:D1672 D1581:D1582 D583 D1481 D1308 D1374 D605 D1536 D1384 D765 D816 D1508 D398:D399 D239 D1113 D1354 D1175 C1677:D1679 D1588:D1589 D924:D929 D586 D61 D875:D883 D178:D179 D125 D1311 D1377 D608 D216:D222 D1543 D1539 D1387 D768 D806:D811 D819 D1515 D410 D406:D407 D401:D404 D241 D1117 D1357 C152:C154 C154:D156 D1178 D475 D432 D84 D1486:D1487 D537 D1490 D298 D370 D683 D1720 D1746:D1747 D2595 D2269 D2832:D2850 D2823:D2829 C1820 D2689 C2690 C2797:C2806 D2682 C2683 C2183:D2183 C2274:D2274 D2774 D2685:D2687 A2681 D1759 B2807 D2809 D2100:D2101 D1983 D2667:D2670 D2632:D2633 D1797 D2096 D2768 D2392:D2394 D1882 D2370 D2796:D2802 D1729 D2853:D2873 D1755:D1756 D2818:D2819 D2813:D2816 D2610 D2438:D2439 D1736 C2657:D2657 C2044 D2403 D2712:D2726 D1740 D2877:D2878 D2880">
    <cfRule type="cellIs" dxfId="989" priority="3113" stopIfTrue="1" operator="equal">
      <formula>"CD"</formula>
    </cfRule>
  </conditionalFormatting>
  <conditionalFormatting sqref="D1811">
    <cfRule type="duplicateValues" dxfId="988" priority="3124" stopIfTrue="1"/>
  </conditionalFormatting>
  <conditionalFormatting sqref="D516">
    <cfRule type="duplicateValues" dxfId="987" priority="3112" stopIfTrue="1"/>
  </conditionalFormatting>
  <conditionalFormatting sqref="D517">
    <cfRule type="duplicateValues" dxfId="986" priority="3111" stopIfTrue="1"/>
  </conditionalFormatting>
  <conditionalFormatting sqref="D518">
    <cfRule type="duplicateValues" dxfId="985" priority="3110" stopIfTrue="1"/>
  </conditionalFormatting>
  <conditionalFormatting sqref="D2639">
    <cfRule type="duplicateValues" dxfId="984" priority="3109" stopIfTrue="1"/>
  </conditionalFormatting>
  <conditionalFormatting sqref="D2640">
    <cfRule type="duplicateValues" dxfId="983" priority="3108" stopIfTrue="1"/>
  </conditionalFormatting>
  <conditionalFormatting sqref="D2641:D2642">
    <cfRule type="duplicateValues" dxfId="982" priority="3107" stopIfTrue="1"/>
  </conditionalFormatting>
  <conditionalFormatting sqref="D2643">
    <cfRule type="duplicateValues" dxfId="981" priority="3106" stopIfTrue="1"/>
  </conditionalFormatting>
  <conditionalFormatting sqref="D2644">
    <cfRule type="duplicateValues" dxfId="980" priority="3105" stopIfTrue="1"/>
  </conditionalFormatting>
  <conditionalFormatting sqref="D2645">
    <cfRule type="duplicateValues" dxfId="979" priority="3104" stopIfTrue="1"/>
  </conditionalFormatting>
  <conditionalFormatting sqref="D2646">
    <cfRule type="duplicateValues" dxfId="978" priority="3103" stopIfTrue="1"/>
  </conditionalFormatting>
  <conditionalFormatting sqref="D2647">
    <cfRule type="duplicateValues" dxfId="977" priority="3102" stopIfTrue="1"/>
  </conditionalFormatting>
  <conditionalFormatting sqref="D2650">
    <cfRule type="duplicateValues" dxfId="976" priority="3101" stopIfTrue="1"/>
  </conditionalFormatting>
  <conditionalFormatting sqref="D2651">
    <cfRule type="duplicateValues" dxfId="975" priority="3100" stopIfTrue="1"/>
  </conditionalFormatting>
  <conditionalFormatting sqref="D2652">
    <cfRule type="duplicateValues" dxfId="974" priority="3099" stopIfTrue="1"/>
  </conditionalFormatting>
  <conditionalFormatting sqref="D2653">
    <cfRule type="duplicateValues" dxfId="973" priority="3098" stopIfTrue="1"/>
  </conditionalFormatting>
  <conditionalFormatting sqref="D2638">
    <cfRule type="duplicateValues" dxfId="972" priority="3097" stopIfTrue="1"/>
  </conditionalFormatting>
  <conditionalFormatting sqref="D2634">
    <cfRule type="duplicateValues" dxfId="971" priority="3096" stopIfTrue="1"/>
  </conditionalFormatting>
  <conditionalFormatting sqref="D870">
    <cfRule type="duplicateValues" dxfId="970" priority="3095" stopIfTrue="1"/>
  </conditionalFormatting>
  <conditionalFormatting sqref="D872">
    <cfRule type="duplicateValues" dxfId="969" priority="3094" stopIfTrue="1"/>
  </conditionalFormatting>
  <conditionalFormatting sqref="D2654 D2673 D2671">
    <cfRule type="duplicateValues" dxfId="968" priority="3093" stopIfTrue="1"/>
  </conditionalFormatting>
  <conditionalFormatting sqref="D2675">
    <cfRule type="duplicateValues" dxfId="967" priority="3092" stopIfTrue="1"/>
  </conditionalFormatting>
  <conditionalFormatting sqref="D2676:D2677">
    <cfRule type="duplicateValues" dxfId="966" priority="3091" stopIfTrue="1"/>
  </conditionalFormatting>
  <conditionalFormatting sqref="D2678:D2680">
    <cfRule type="duplicateValues" dxfId="965" priority="3090" stopIfTrue="1"/>
  </conditionalFormatting>
  <conditionalFormatting sqref="D2681">
    <cfRule type="duplicateValues" dxfId="964" priority="3089" stopIfTrue="1"/>
  </conditionalFormatting>
  <conditionalFormatting sqref="D2017">
    <cfRule type="duplicateValues" dxfId="963" priority="3088" stopIfTrue="1"/>
  </conditionalFormatting>
  <conditionalFormatting sqref="D2683">
    <cfRule type="duplicateValues" dxfId="962" priority="3087" stopIfTrue="1"/>
  </conditionalFormatting>
  <conditionalFormatting sqref="D2684">
    <cfRule type="duplicateValues" dxfId="961" priority="3086" stopIfTrue="1"/>
  </conditionalFormatting>
  <conditionalFormatting sqref="D2613:D2616">
    <cfRule type="duplicateValues" dxfId="960" priority="3085" stopIfTrue="1"/>
  </conditionalFormatting>
  <conditionalFormatting sqref="D2617">
    <cfRule type="duplicateValues" dxfId="959" priority="3084" stopIfTrue="1"/>
  </conditionalFormatting>
  <conditionalFormatting sqref="D2589">
    <cfRule type="duplicateValues" dxfId="958" priority="3083" stopIfTrue="1"/>
  </conditionalFormatting>
  <conditionalFormatting sqref="D2590">
    <cfRule type="duplicateValues" dxfId="957" priority="3082" stopIfTrue="1"/>
  </conditionalFormatting>
  <conditionalFormatting sqref="D1985">
    <cfRule type="duplicateValues" dxfId="956" priority="3081" stopIfTrue="1"/>
  </conditionalFormatting>
  <conditionalFormatting sqref="D1987">
    <cfRule type="duplicateValues" dxfId="955" priority="3080" stopIfTrue="1"/>
  </conditionalFormatting>
  <conditionalFormatting sqref="C1664">
    <cfRule type="colorScale" priority="30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664">
    <cfRule type="duplicateValues" dxfId="954" priority="3079" stopIfTrue="1"/>
  </conditionalFormatting>
  <conditionalFormatting sqref="D1665">
    <cfRule type="duplicateValues" dxfId="953" priority="3077" stopIfTrue="1"/>
  </conditionalFormatting>
  <conditionalFormatting sqref="D1666">
    <cfRule type="duplicateValues" dxfId="952" priority="3076" stopIfTrue="1"/>
  </conditionalFormatting>
  <conditionalFormatting sqref="D1667">
    <cfRule type="duplicateValues" dxfId="951" priority="3075" stopIfTrue="1"/>
  </conditionalFormatting>
  <conditionalFormatting sqref="D1668">
    <cfRule type="duplicateValues" dxfId="950" priority="3074" stopIfTrue="1"/>
  </conditionalFormatting>
  <conditionalFormatting sqref="D1669">
    <cfRule type="duplicateValues" dxfId="949" priority="3073" stopIfTrue="1"/>
  </conditionalFormatting>
  <conditionalFormatting sqref="D1673">
    <cfRule type="duplicateValues" dxfId="948" priority="3039" stopIfTrue="1"/>
  </conditionalFormatting>
  <conditionalFormatting sqref="D1674">
    <cfRule type="duplicateValues" dxfId="947" priority="3038" stopIfTrue="1"/>
  </conditionalFormatting>
  <conditionalFormatting sqref="D1675">
    <cfRule type="duplicateValues" dxfId="946" priority="3037" stopIfTrue="1"/>
  </conditionalFormatting>
  <conditionalFormatting sqref="D1676">
    <cfRule type="duplicateValues" dxfId="945" priority="3036" stopIfTrue="1"/>
  </conditionalFormatting>
  <conditionalFormatting sqref="D1677">
    <cfRule type="duplicateValues" dxfId="944" priority="3035" stopIfTrue="1"/>
  </conditionalFormatting>
  <conditionalFormatting sqref="D1678">
    <cfRule type="duplicateValues" dxfId="943" priority="3034" stopIfTrue="1"/>
  </conditionalFormatting>
  <conditionalFormatting sqref="D1679">
    <cfRule type="duplicateValues" dxfId="942" priority="3033" stopIfTrue="1"/>
  </conditionalFormatting>
  <conditionalFormatting sqref="C1680:C1681">
    <cfRule type="duplicateValues" dxfId="941" priority="3031" stopIfTrue="1"/>
  </conditionalFormatting>
  <conditionalFormatting sqref="D1680:D1681">
    <cfRule type="duplicateValues" dxfId="940" priority="3032" stopIfTrue="1"/>
  </conditionalFormatting>
  <conditionalFormatting sqref="D1682">
    <cfRule type="duplicateValues" dxfId="939" priority="3029" stopIfTrue="1"/>
  </conditionalFormatting>
  <conditionalFormatting sqref="C1682">
    <cfRule type="duplicateValues" dxfId="938" priority="3030" stopIfTrue="1"/>
  </conditionalFormatting>
  <conditionalFormatting sqref="D1683">
    <cfRule type="duplicateValues" dxfId="937" priority="3007" stopIfTrue="1"/>
  </conditionalFormatting>
  <conditionalFormatting sqref="D1685">
    <cfRule type="duplicateValues" dxfId="936" priority="3006" stopIfTrue="1"/>
  </conditionalFormatting>
  <conditionalFormatting sqref="D1684">
    <cfRule type="duplicateValues" dxfId="935" priority="3028" stopIfTrue="1"/>
  </conditionalFormatting>
  <conditionalFormatting sqref="D1686:D1687">
    <cfRule type="duplicateValues" dxfId="934" priority="3005" stopIfTrue="1"/>
  </conditionalFormatting>
  <conditionalFormatting sqref="D1688:D1689">
    <cfRule type="duplicateValues" dxfId="933" priority="3004" stopIfTrue="1"/>
  </conditionalFormatting>
  <conditionalFormatting sqref="D1690">
    <cfRule type="duplicateValues" dxfId="932" priority="3003" stopIfTrue="1"/>
  </conditionalFormatting>
  <conditionalFormatting sqref="D1691:D1695">
    <cfRule type="duplicateValues" dxfId="931" priority="3002" stopIfTrue="1"/>
  </conditionalFormatting>
  <conditionalFormatting sqref="D1696">
    <cfRule type="duplicateValues" dxfId="930" priority="3001" stopIfTrue="1"/>
  </conditionalFormatting>
  <conditionalFormatting sqref="D1697">
    <cfRule type="duplicateValues" dxfId="929" priority="3000" stopIfTrue="1"/>
  </conditionalFormatting>
  <conditionalFormatting sqref="D1698">
    <cfRule type="duplicateValues" dxfId="928" priority="2999" stopIfTrue="1"/>
  </conditionalFormatting>
  <conditionalFormatting sqref="D1699">
    <cfRule type="duplicateValues" dxfId="927" priority="2998" stopIfTrue="1"/>
  </conditionalFormatting>
  <conditionalFormatting sqref="D1700">
    <cfRule type="duplicateValues" dxfId="926" priority="2997" stopIfTrue="1"/>
  </conditionalFormatting>
  <conditionalFormatting sqref="D1701">
    <cfRule type="duplicateValues" dxfId="925" priority="2996" stopIfTrue="1"/>
  </conditionalFormatting>
  <conditionalFormatting sqref="D1702">
    <cfRule type="duplicateValues" dxfId="924" priority="2995" stopIfTrue="1"/>
  </conditionalFormatting>
  <conditionalFormatting sqref="D1703">
    <cfRule type="duplicateValues" dxfId="923" priority="2994" stopIfTrue="1"/>
  </conditionalFormatting>
  <conditionalFormatting sqref="D1704">
    <cfRule type="duplicateValues" dxfId="922" priority="2993" stopIfTrue="1"/>
  </conditionalFormatting>
  <conditionalFormatting sqref="D1705:D1706">
    <cfRule type="duplicateValues" dxfId="921" priority="2992" stopIfTrue="1"/>
  </conditionalFormatting>
  <conditionalFormatting sqref="D1707">
    <cfRule type="duplicateValues" dxfId="920" priority="2991" stopIfTrue="1"/>
  </conditionalFormatting>
  <conditionalFormatting sqref="D1708:D1709">
    <cfRule type="duplicateValues" dxfId="919" priority="2990" stopIfTrue="1"/>
  </conditionalFormatting>
  <conditionalFormatting sqref="D1710">
    <cfRule type="duplicateValues" dxfId="918" priority="2989" stopIfTrue="1"/>
  </conditionalFormatting>
  <conditionalFormatting sqref="D1715">
    <cfRule type="duplicateValues" dxfId="917" priority="2987" stopIfTrue="1"/>
  </conditionalFormatting>
  <conditionalFormatting sqref="D1716">
    <cfRule type="duplicateValues" dxfId="916" priority="2986" stopIfTrue="1"/>
  </conditionalFormatting>
  <conditionalFormatting sqref="D1717">
    <cfRule type="duplicateValues" dxfId="915" priority="2985" stopIfTrue="1"/>
  </conditionalFormatting>
  <conditionalFormatting sqref="D1718:D1719">
    <cfRule type="duplicateValues" dxfId="914" priority="2984" stopIfTrue="1"/>
  </conditionalFormatting>
  <conditionalFormatting sqref="D1720:D1723">
    <cfRule type="duplicateValues" dxfId="913" priority="2983" stopIfTrue="1"/>
  </conditionalFormatting>
  <conditionalFormatting sqref="D1724">
    <cfRule type="duplicateValues" dxfId="912" priority="2982" stopIfTrue="1"/>
  </conditionalFormatting>
  <conditionalFormatting sqref="D1725">
    <cfRule type="duplicateValues" dxfId="911" priority="2981" stopIfTrue="1"/>
  </conditionalFormatting>
  <conditionalFormatting sqref="D1726">
    <cfRule type="duplicateValues" dxfId="910" priority="2980" stopIfTrue="1"/>
  </conditionalFormatting>
  <conditionalFormatting sqref="D1727">
    <cfRule type="duplicateValues" dxfId="909" priority="2979" stopIfTrue="1"/>
  </conditionalFormatting>
  <conditionalFormatting sqref="C1732">
    <cfRule type="duplicateValues" dxfId="908" priority="2975" stopIfTrue="1"/>
  </conditionalFormatting>
  <conditionalFormatting sqref="D1733:D1734">
    <cfRule type="duplicateValues" dxfId="907" priority="2974" stopIfTrue="1"/>
  </conditionalFormatting>
  <conditionalFormatting sqref="D1728:D1732">
    <cfRule type="duplicateValues" dxfId="906" priority="2978" stopIfTrue="1"/>
  </conditionalFormatting>
  <conditionalFormatting sqref="D557">
    <cfRule type="duplicateValues" dxfId="905" priority="2973" stopIfTrue="1"/>
  </conditionalFormatting>
  <conditionalFormatting sqref="D558">
    <cfRule type="duplicateValues" dxfId="904" priority="2972" stopIfTrue="1"/>
  </conditionalFormatting>
  <conditionalFormatting sqref="D2685">
    <cfRule type="duplicateValues" dxfId="903" priority="2971" stopIfTrue="1"/>
  </conditionalFormatting>
  <conditionalFormatting sqref="D355">
    <cfRule type="duplicateValues" dxfId="902" priority="2970" stopIfTrue="1"/>
  </conditionalFormatting>
  <conditionalFormatting sqref="D1568">
    <cfRule type="duplicateValues" dxfId="901" priority="2969" stopIfTrue="1"/>
  </conditionalFormatting>
  <conditionalFormatting sqref="D1569">
    <cfRule type="duplicateValues" dxfId="900" priority="2968" stopIfTrue="1"/>
  </conditionalFormatting>
  <conditionalFormatting sqref="D1570">
    <cfRule type="duplicateValues" dxfId="899" priority="2967" stopIfTrue="1"/>
  </conditionalFormatting>
  <conditionalFormatting sqref="D1571">
    <cfRule type="duplicateValues" dxfId="898" priority="2966" stopIfTrue="1"/>
  </conditionalFormatting>
  <conditionalFormatting sqref="D1572">
    <cfRule type="duplicateValues" dxfId="897" priority="2965" stopIfTrue="1"/>
  </conditionalFormatting>
  <conditionalFormatting sqref="D1573">
    <cfRule type="duplicateValues" dxfId="896" priority="2964" stopIfTrue="1"/>
  </conditionalFormatting>
  <conditionalFormatting sqref="D1578">
    <cfRule type="duplicateValues" dxfId="895" priority="2963" stopIfTrue="1"/>
  </conditionalFormatting>
  <conditionalFormatting sqref="D1561">
    <cfRule type="duplicateValues" dxfId="894" priority="2961" stopIfTrue="1"/>
  </conditionalFormatting>
  <conditionalFormatting sqref="D1562">
    <cfRule type="duplicateValues" dxfId="893" priority="2960" stopIfTrue="1"/>
  </conditionalFormatting>
  <conditionalFormatting sqref="D1563">
    <cfRule type="duplicateValues" dxfId="892" priority="2959" stopIfTrue="1"/>
  </conditionalFormatting>
  <conditionalFormatting sqref="D2686">
    <cfRule type="duplicateValues" dxfId="891" priority="2958" stopIfTrue="1"/>
  </conditionalFormatting>
  <conditionalFormatting sqref="D1580">
    <cfRule type="duplicateValues" dxfId="890" priority="2956" stopIfTrue="1"/>
  </conditionalFormatting>
  <conditionalFormatting sqref="D1583">
    <cfRule type="duplicateValues" dxfId="889" priority="2933" stopIfTrue="1"/>
  </conditionalFormatting>
  <conditionalFormatting sqref="A2698">
    <cfRule type="duplicateValues" dxfId="888" priority="2932" stopIfTrue="1"/>
  </conditionalFormatting>
  <conditionalFormatting sqref="D2692">
    <cfRule type="duplicateValues" dxfId="887" priority="2931" stopIfTrue="1"/>
  </conditionalFormatting>
  <conditionalFormatting sqref="D2693">
    <cfRule type="duplicateValues" dxfId="886" priority="2930" stopIfTrue="1"/>
  </conditionalFormatting>
  <conditionalFormatting sqref="D2695">
    <cfRule type="duplicateValues" dxfId="885" priority="2929" stopIfTrue="1"/>
  </conditionalFormatting>
  <conditionalFormatting sqref="D2694">
    <cfRule type="duplicateValues" dxfId="884" priority="2928" stopIfTrue="1"/>
  </conditionalFormatting>
  <conditionalFormatting sqref="D2696">
    <cfRule type="duplicateValues" dxfId="883" priority="2927" stopIfTrue="1"/>
  </conditionalFormatting>
  <conditionalFormatting sqref="D2697">
    <cfRule type="duplicateValues" dxfId="882" priority="2926" stopIfTrue="1"/>
  </conditionalFormatting>
  <conditionalFormatting sqref="D2698">
    <cfRule type="duplicateValues" dxfId="881" priority="2925" stopIfTrue="1"/>
  </conditionalFormatting>
  <conditionalFormatting sqref="D2700:D2715 D2727">
    <cfRule type="duplicateValues" dxfId="880" priority="2924" stopIfTrue="1"/>
  </conditionalFormatting>
  <conditionalFormatting sqref="D2728">
    <cfRule type="duplicateValues" dxfId="879" priority="2923" stopIfTrue="1"/>
  </conditionalFormatting>
  <conditionalFormatting sqref="D2729">
    <cfRule type="duplicateValues" dxfId="878" priority="2922" stopIfTrue="1"/>
  </conditionalFormatting>
  <conditionalFormatting sqref="D2730">
    <cfRule type="duplicateValues" dxfId="877" priority="2921" stopIfTrue="1"/>
  </conditionalFormatting>
  <conditionalFormatting sqref="D2731">
    <cfRule type="duplicateValues" dxfId="876" priority="2920" stopIfTrue="1"/>
  </conditionalFormatting>
  <conditionalFormatting sqref="D2732">
    <cfRule type="duplicateValues" dxfId="875" priority="2919" stopIfTrue="1"/>
  </conditionalFormatting>
  <conditionalFormatting sqref="D2733">
    <cfRule type="duplicateValues" dxfId="874" priority="2918" stopIfTrue="1"/>
  </conditionalFormatting>
  <conditionalFormatting sqref="D2735">
    <cfRule type="duplicateValues" dxfId="873" priority="2917" stopIfTrue="1"/>
  </conditionalFormatting>
  <conditionalFormatting sqref="D335">
    <cfRule type="duplicateValues" dxfId="872" priority="2916" stopIfTrue="1"/>
  </conditionalFormatting>
  <conditionalFormatting sqref="D336">
    <cfRule type="duplicateValues" dxfId="871" priority="2915" stopIfTrue="1"/>
  </conditionalFormatting>
  <conditionalFormatting sqref="D337">
    <cfRule type="duplicateValues" dxfId="870" priority="2914" stopIfTrue="1"/>
  </conditionalFormatting>
  <conditionalFormatting sqref="D338">
    <cfRule type="duplicateValues" dxfId="869" priority="2913" stopIfTrue="1"/>
  </conditionalFormatting>
  <conditionalFormatting sqref="D339">
    <cfRule type="duplicateValues" dxfId="868" priority="2912" stopIfTrue="1"/>
  </conditionalFormatting>
  <conditionalFormatting sqref="D340">
    <cfRule type="duplicateValues" dxfId="867" priority="2911" stopIfTrue="1"/>
  </conditionalFormatting>
  <conditionalFormatting sqref="D341">
    <cfRule type="duplicateValues" dxfId="866" priority="2910" stopIfTrue="1"/>
  </conditionalFormatting>
  <conditionalFormatting sqref="D342">
    <cfRule type="duplicateValues" dxfId="865" priority="2909" stopIfTrue="1"/>
  </conditionalFormatting>
  <conditionalFormatting sqref="D343">
    <cfRule type="duplicateValues" dxfId="864" priority="2908" stopIfTrue="1"/>
  </conditionalFormatting>
  <conditionalFormatting sqref="D344">
    <cfRule type="duplicateValues" dxfId="863" priority="2907" stopIfTrue="1"/>
  </conditionalFormatting>
  <conditionalFormatting sqref="D323">
    <cfRule type="duplicateValues" dxfId="862" priority="2906" stopIfTrue="1"/>
  </conditionalFormatting>
  <conditionalFormatting sqref="D324">
    <cfRule type="duplicateValues" dxfId="861" priority="2905" stopIfTrue="1"/>
  </conditionalFormatting>
  <conditionalFormatting sqref="D325">
    <cfRule type="duplicateValues" dxfId="860" priority="2904" stopIfTrue="1"/>
  </conditionalFormatting>
  <conditionalFormatting sqref="D326">
    <cfRule type="duplicateValues" dxfId="859" priority="2903" stopIfTrue="1"/>
  </conditionalFormatting>
  <conditionalFormatting sqref="D327">
    <cfRule type="duplicateValues" dxfId="858" priority="2902" stopIfTrue="1"/>
  </conditionalFormatting>
  <conditionalFormatting sqref="D328">
    <cfRule type="duplicateValues" dxfId="857" priority="2901" stopIfTrue="1"/>
  </conditionalFormatting>
  <conditionalFormatting sqref="D329">
    <cfRule type="duplicateValues" dxfId="856" priority="2900" stopIfTrue="1"/>
  </conditionalFormatting>
  <conditionalFormatting sqref="D330">
    <cfRule type="duplicateValues" dxfId="855" priority="2899" stopIfTrue="1"/>
  </conditionalFormatting>
  <conditionalFormatting sqref="C2700:C2715 C2727">
    <cfRule type="duplicateValues" dxfId="854" priority="2898" stopIfTrue="1"/>
  </conditionalFormatting>
  <conditionalFormatting sqref="D2687">
    <cfRule type="duplicateValues" dxfId="853" priority="2897" stopIfTrue="1"/>
  </conditionalFormatting>
  <conditionalFormatting sqref="D2760">
    <cfRule type="duplicateValues" dxfId="852" priority="2896" stopIfTrue="1"/>
  </conditionalFormatting>
  <conditionalFormatting sqref="D2762">
    <cfRule type="duplicateValues" dxfId="851" priority="2895" stopIfTrue="1"/>
  </conditionalFormatting>
  <conditionalFormatting sqref="B2760">
    <cfRule type="duplicateValues" dxfId="850" priority="2894" stopIfTrue="1"/>
  </conditionalFormatting>
  <conditionalFormatting sqref="D2761">
    <cfRule type="duplicateValues" dxfId="849" priority="2893" stopIfTrue="1"/>
  </conditionalFormatting>
  <conditionalFormatting sqref="D2736">
    <cfRule type="duplicateValues" dxfId="848" priority="2892" stopIfTrue="1"/>
  </conditionalFormatting>
  <conditionalFormatting sqref="D2737">
    <cfRule type="duplicateValues" dxfId="847" priority="2891" stopIfTrue="1"/>
  </conditionalFormatting>
  <conditionalFormatting sqref="D2738">
    <cfRule type="duplicateValues" dxfId="846" priority="2890" stopIfTrue="1"/>
  </conditionalFormatting>
  <conditionalFormatting sqref="D2739">
    <cfRule type="duplicateValues" dxfId="845" priority="2889" stopIfTrue="1"/>
  </conditionalFormatting>
  <conditionalFormatting sqref="D2740">
    <cfRule type="duplicateValues" dxfId="844" priority="2888" stopIfTrue="1"/>
  </conditionalFormatting>
  <conditionalFormatting sqref="D2741">
    <cfRule type="duplicateValues" dxfId="843" priority="2887" stopIfTrue="1"/>
  </conditionalFormatting>
  <conditionalFormatting sqref="D2742">
    <cfRule type="duplicateValues" dxfId="842" priority="2886" stopIfTrue="1"/>
  </conditionalFormatting>
  <conditionalFormatting sqref="D2743">
    <cfRule type="duplicateValues" dxfId="841" priority="2885" stopIfTrue="1"/>
  </conditionalFormatting>
  <conditionalFormatting sqref="D2744">
    <cfRule type="duplicateValues" dxfId="840" priority="2884" stopIfTrue="1"/>
  </conditionalFormatting>
  <conditionalFormatting sqref="D2745">
    <cfRule type="duplicateValues" dxfId="839" priority="2883" stopIfTrue="1"/>
  </conditionalFormatting>
  <conditionalFormatting sqref="D2746">
    <cfRule type="duplicateValues" dxfId="838" priority="2882" stopIfTrue="1"/>
  </conditionalFormatting>
  <conditionalFormatting sqref="D2747">
    <cfRule type="duplicateValues" dxfId="837" priority="2881" stopIfTrue="1"/>
  </conditionalFormatting>
  <conditionalFormatting sqref="D2748:D2751">
    <cfRule type="duplicateValues" dxfId="836" priority="2880" stopIfTrue="1"/>
  </conditionalFormatting>
  <conditionalFormatting sqref="D2752">
    <cfRule type="duplicateValues" dxfId="835" priority="2879" stopIfTrue="1"/>
  </conditionalFormatting>
  <conditionalFormatting sqref="D2753">
    <cfRule type="duplicateValues" dxfId="834" priority="2878" stopIfTrue="1"/>
  </conditionalFormatting>
  <conditionalFormatting sqref="D2754">
    <cfRule type="duplicateValues" dxfId="833" priority="2877" stopIfTrue="1"/>
  </conditionalFormatting>
  <conditionalFormatting sqref="D2755">
    <cfRule type="duplicateValues" dxfId="832" priority="2876" stopIfTrue="1"/>
  </conditionalFormatting>
  <conditionalFormatting sqref="D2756">
    <cfRule type="duplicateValues" dxfId="831" priority="2873" stopIfTrue="1"/>
  </conditionalFormatting>
  <conditionalFormatting sqref="D2758">
    <cfRule type="duplicateValues" dxfId="830" priority="2872" stopIfTrue="1"/>
  </conditionalFormatting>
  <conditionalFormatting sqref="D2759">
    <cfRule type="duplicateValues" dxfId="829" priority="2871" stopIfTrue="1"/>
  </conditionalFormatting>
  <conditionalFormatting sqref="D2193">
    <cfRule type="duplicateValues" dxfId="828" priority="2870" stopIfTrue="1"/>
  </conditionalFormatting>
  <conditionalFormatting sqref="D535">
    <cfRule type="duplicateValues" dxfId="827" priority="2869" stopIfTrue="1"/>
  </conditionalFormatting>
  <conditionalFormatting sqref="C145">
    <cfRule type="duplicateValues" dxfId="826" priority="2868" stopIfTrue="1"/>
  </conditionalFormatting>
  <conditionalFormatting sqref="D996">
    <cfRule type="duplicateValues" dxfId="825" priority="2867" stopIfTrue="1"/>
  </conditionalFormatting>
  <conditionalFormatting sqref="D2281">
    <cfRule type="duplicateValues" dxfId="824" priority="2855" stopIfTrue="1"/>
  </conditionalFormatting>
  <conditionalFormatting sqref="D662">
    <cfRule type="duplicateValues" dxfId="823" priority="2854" stopIfTrue="1"/>
  </conditionalFormatting>
  <conditionalFormatting sqref="D2690">
    <cfRule type="duplicateValues" dxfId="822" priority="2853" stopIfTrue="1"/>
  </conditionalFormatting>
  <conditionalFormatting sqref="D591">
    <cfRule type="duplicateValues" dxfId="821" priority="2841" stopIfTrue="1"/>
  </conditionalFormatting>
  <conditionalFormatting sqref="D886">
    <cfRule type="duplicateValues" dxfId="820" priority="2840" stopIfTrue="1"/>
  </conditionalFormatting>
  <conditionalFormatting sqref="D1577">
    <cfRule type="duplicateValues" dxfId="819" priority="2839" stopIfTrue="1"/>
  </conditionalFormatting>
  <conditionalFormatting sqref="D1999">
    <cfRule type="duplicateValues" dxfId="818" priority="2838" stopIfTrue="1"/>
  </conditionalFormatting>
  <conditionalFormatting sqref="D1107">
    <cfRule type="duplicateValues" dxfId="817" priority="2837" stopIfTrue="1"/>
  </conditionalFormatting>
  <conditionalFormatting sqref="B1106">
    <cfRule type="duplicateValues" dxfId="816" priority="2836" stopIfTrue="1"/>
  </conditionalFormatting>
  <conditionalFormatting sqref="D1639">
    <cfRule type="duplicateValues" dxfId="815" priority="2835" stopIfTrue="1"/>
  </conditionalFormatting>
  <conditionalFormatting sqref="D353">
    <cfRule type="duplicateValues" dxfId="814" priority="2834" stopIfTrue="1"/>
  </conditionalFormatting>
  <conditionalFormatting sqref="D2386">
    <cfRule type="duplicateValues" dxfId="813" priority="2833" stopIfTrue="1"/>
  </conditionalFormatting>
  <conditionalFormatting sqref="D1335">
    <cfRule type="duplicateValues" dxfId="812" priority="2832" stopIfTrue="1"/>
  </conditionalFormatting>
  <conditionalFormatting sqref="C841">
    <cfRule type="duplicateValues" dxfId="811" priority="2831" stopIfTrue="1"/>
  </conditionalFormatting>
  <conditionalFormatting sqref="B2762">
    <cfRule type="duplicateValues" dxfId="810" priority="2830" stopIfTrue="1"/>
  </conditionalFormatting>
  <conditionalFormatting sqref="D2763">
    <cfRule type="duplicateValues" dxfId="809" priority="2829" stopIfTrue="1"/>
  </conditionalFormatting>
  <conditionalFormatting sqref="B2763">
    <cfRule type="duplicateValues" dxfId="808" priority="2828" stopIfTrue="1"/>
  </conditionalFormatting>
  <conditionalFormatting sqref="D2764">
    <cfRule type="duplicateValues" dxfId="807" priority="2827" stopIfTrue="1"/>
  </conditionalFormatting>
  <conditionalFormatting sqref="F2762">
    <cfRule type="duplicateValues" dxfId="806" priority="2826" stopIfTrue="1"/>
  </conditionalFormatting>
  <conditionalFormatting sqref="B2764:B2767 B2769:B2777">
    <cfRule type="duplicateValues" dxfId="805" priority="2825" stopIfTrue="1"/>
  </conditionalFormatting>
  <conditionalFormatting sqref="D2765:D2769 D2773:D2778 D2771">
    <cfRule type="duplicateValues" dxfId="804" priority="2824" stopIfTrue="1"/>
  </conditionalFormatting>
  <conditionalFormatting sqref="D2780">
    <cfRule type="duplicateValues" dxfId="803" priority="2823" stopIfTrue="1"/>
  </conditionalFormatting>
  <conditionalFormatting sqref="D2781">
    <cfRule type="duplicateValues" dxfId="802" priority="2822" stopIfTrue="1"/>
  </conditionalFormatting>
  <conditionalFormatting sqref="D2782:D2783 D2786:D2788">
    <cfRule type="duplicateValues" dxfId="801" priority="2821" stopIfTrue="1"/>
  </conditionalFormatting>
  <conditionalFormatting sqref="D2772">
    <cfRule type="duplicateValues" dxfId="800" priority="2820" stopIfTrue="1"/>
  </conditionalFormatting>
  <conditionalFormatting sqref="D848">
    <cfRule type="duplicateValues" dxfId="799" priority="2819" stopIfTrue="1"/>
  </conditionalFormatting>
  <conditionalFormatting sqref="B2779:B2787">
    <cfRule type="duplicateValues" dxfId="798" priority="3384" stopIfTrue="1"/>
  </conditionalFormatting>
  <conditionalFormatting sqref="D2784">
    <cfRule type="duplicateValues" dxfId="797" priority="2818" stopIfTrue="1"/>
  </conditionalFormatting>
  <conditionalFormatting sqref="D2785">
    <cfRule type="duplicateValues" dxfId="796" priority="2817" stopIfTrue="1"/>
  </conditionalFormatting>
  <conditionalFormatting sqref="B2826 B2788:B2789 B2791:B2822">
    <cfRule type="duplicateValues" dxfId="795" priority="3385" stopIfTrue="1"/>
  </conditionalFormatting>
  <conditionalFormatting sqref="D2816:D2817">
    <cfRule type="duplicateValues" dxfId="794" priority="2816" stopIfTrue="1"/>
  </conditionalFormatting>
  <conditionalFormatting sqref="D2818:D2821">
    <cfRule type="duplicateValues" dxfId="793" priority="2815" stopIfTrue="1"/>
  </conditionalFormatting>
  <conditionalFormatting sqref="D2830">
    <cfRule type="duplicateValues" dxfId="792" priority="2810" stopIfTrue="1"/>
  </conditionalFormatting>
  <conditionalFormatting sqref="D2355">
    <cfRule type="duplicateValues" dxfId="791" priority="2806" stopIfTrue="1"/>
  </conditionalFormatting>
  <conditionalFormatting sqref="D249">
    <cfRule type="duplicateValues" dxfId="790" priority="2783" stopIfTrue="1"/>
  </conditionalFormatting>
  <conditionalFormatting sqref="D257">
    <cfRule type="duplicateValues" dxfId="789" priority="2782" stopIfTrue="1"/>
  </conditionalFormatting>
  <conditionalFormatting sqref="D2300">
    <cfRule type="duplicateValues" dxfId="788" priority="2781" stopIfTrue="1"/>
  </conditionalFormatting>
  <conditionalFormatting sqref="A2638">
    <cfRule type="duplicateValues" dxfId="787" priority="2770" stopIfTrue="1"/>
  </conditionalFormatting>
  <conditionalFormatting sqref="D1574:D1576">
    <cfRule type="duplicateValues" dxfId="786" priority="3386" stopIfTrue="1"/>
  </conditionalFormatting>
  <conditionalFormatting sqref="D1933">
    <cfRule type="duplicateValues" dxfId="785" priority="2755" stopIfTrue="1"/>
  </conditionalFormatting>
  <conditionalFormatting sqref="D2656:D2657">
    <cfRule type="duplicateValues" dxfId="784" priority="2729" stopIfTrue="1"/>
  </conditionalFormatting>
  <conditionalFormatting sqref="D2659">
    <cfRule type="duplicateValues" dxfId="783" priority="2728" stopIfTrue="1"/>
  </conditionalFormatting>
  <conditionalFormatting sqref="D2660">
    <cfRule type="duplicateValues" dxfId="782" priority="2727" stopIfTrue="1"/>
  </conditionalFormatting>
  <conditionalFormatting sqref="D2661">
    <cfRule type="duplicateValues" dxfId="781" priority="2726" stopIfTrue="1"/>
  </conditionalFormatting>
  <conditionalFormatting sqref="D2662">
    <cfRule type="duplicateValues" dxfId="780" priority="2725" stopIfTrue="1"/>
  </conditionalFormatting>
  <conditionalFormatting sqref="D2663">
    <cfRule type="duplicateValues" dxfId="779" priority="2724" stopIfTrue="1"/>
  </conditionalFormatting>
  <conditionalFormatting sqref="D2664">
    <cfRule type="duplicateValues" dxfId="778" priority="2723" stopIfTrue="1"/>
  </conditionalFormatting>
  <conditionalFormatting sqref="D2666">
    <cfRule type="duplicateValues" dxfId="777" priority="2711" stopIfTrue="1"/>
  </conditionalFormatting>
  <conditionalFormatting sqref="D2667">
    <cfRule type="duplicateValues" dxfId="776" priority="2710" stopIfTrue="1"/>
  </conditionalFormatting>
  <conditionalFormatting sqref="D2475">
    <cfRule type="duplicateValues" dxfId="775" priority="2639" stopIfTrue="1"/>
  </conditionalFormatting>
  <conditionalFormatting sqref="D2464">
    <cfRule type="duplicateValues" dxfId="774" priority="2638" stopIfTrue="1"/>
  </conditionalFormatting>
  <conditionalFormatting sqref="D2465">
    <cfRule type="duplicateValues" dxfId="773" priority="2636" stopIfTrue="1"/>
  </conditionalFormatting>
  <conditionalFormatting sqref="D939:D944">
    <cfRule type="duplicateValues" dxfId="772" priority="4803" stopIfTrue="1"/>
  </conditionalFormatting>
  <conditionalFormatting sqref="D916">
    <cfRule type="duplicateValues" dxfId="771" priority="2580" stopIfTrue="1"/>
  </conditionalFormatting>
  <conditionalFormatting sqref="D917:D918">
    <cfRule type="duplicateValues" dxfId="770" priority="2579" stopIfTrue="1"/>
  </conditionalFormatting>
  <conditionalFormatting sqref="D919">
    <cfRule type="duplicateValues" dxfId="769" priority="2578" stopIfTrue="1"/>
  </conditionalFormatting>
  <conditionalFormatting sqref="D920:D921">
    <cfRule type="duplicateValues" dxfId="768" priority="2577" stopIfTrue="1"/>
  </conditionalFormatting>
  <conditionalFormatting sqref="D922">
    <cfRule type="duplicateValues" dxfId="767" priority="2576" stopIfTrue="1"/>
  </conditionalFormatting>
  <conditionalFormatting sqref="D923">
    <cfRule type="duplicateValues" dxfId="766" priority="2575" stopIfTrue="1"/>
  </conditionalFormatting>
  <conditionalFormatting sqref="D864:D865">
    <cfRule type="duplicateValues" dxfId="765" priority="2541" stopIfTrue="1"/>
  </conditionalFormatting>
  <conditionalFormatting sqref="C1099:C1101">
    <cfRule type="duplicateValues" dxfId="764" priority="2540" stopIfTrue="1"/>
  </conditionalFormatting>
  <conditionalFormatting sqref="D598">
    <cfRule type="duplicateValues" dxfId="763" priority="2539" stopIfTrue="1"/>
  </conditionalFormatting>
  <conditionalFormatting sqref="D599">
    <cfRule type="duplicateValues" dxfId="762" priority="2538" stopIfTrue="1"/>
  </conditionalFormatting>
  <conditionalFormatting sqref="D600">
    <cfRule type="duplicateValues" dxfId="761" priority="2537" stopIfTrue="1"/>
  </conditionalFormatting>
  <conditionalFormatting sqref="D601">
    <cfRule type="duplicateValues" dxfId="760" priority="2536" stopIfTrue="1"/>
  </conditionalFormatting>
  <conditionalFormatting sqref="D643">
    <cfRule type="duplicateValues" dxfId="759" priority="2513" stopIfTrue="1"/>
  </conditionalFormatting>
  <conditionalFormatting sqref="D574">
    <cfRule type="duplicateValues" dxfId="758" priority="2512" stopIfTrue="1"/>
  </conditionalFormatting>
  <conditionalFormatting sqref="D371">
    <cfRule type="duplicateValues" dxfId="757" priority="2511" stopIfTrue="1"/>
  </conditionalFormatting>
  <conditionalFormatting sqref="D2822">
    <cfRule type="duplicateValues" dxfId="756" priority="2496" stopIfTrue="1"/>
  </conditionalFormatting>
  <conditionalFormatting sqref="D664">
    <cfRule type="duplicateValues" dxfId="755" priority="2495" stopIfTrue="1"/>
  </conditionalFormatting>
  <conditionalFormatting sqref="D1362">
    <cfRule type="duplicateValues" dxfId="754" priority="2494" stopIfTrue="1"/>
  </conditionalFormatting>
  <conditionalFormatting sqref="D1473">
    <cfRule type="duplicateValues" dxfId="753" priority="2493" stopIfTrue="1"/>
  </conditionalFormatting>
  <conditionalFormatting sqref="D596">
    <cfRule type="duplicateValues" dxfId="752" priority="2447" stopIfTrue="1"/>
  </conditionalFormatting>
  <conditionalFormatting sqref="D170">
    <cfRule type="duplicateValues" dxfId="751" priority="2336" stopIfTrue="1"/>
  </conditionalFormatting>
  <conditionalFormatting sqref="D171">
    <cfRule type="duplicateValues" dxfId="750" priority="2335" stopIfTrue="1"/>
  </conditionalFormatting>
  <conditionalFormatting sqref="D129">
    <cfRule type="duplicateValues" dxfId="749" priority="2323" stopIfTrue="1"/>
  </conditionalFormatting>
  <conditionalFormatting sqref="D1261">
    <cfRule type="duplicateValues" dxfId="748" priority="2311" stopIfTrue="1"/>
  </conditionalFormatting>
  <conditionalFormatting sqref="D1625">
    <cfRule type="duplicateValues" dxfId="747" priority="2299" stopIfTrue="1"/>
  </conditionalFormatting>
  <conditionalFormatting sqref="D1781">
    <cfRule type="duplicateValues" dxfId="746" priority="2298" stopIfTrue="1"/>
  </conditionalFormatting>
  <conditionalFormatting sqref="A2308">
    <cfRule type="duplicateValues" dxfId="745" priority="2297" stopIfTrue="1"/>
  </conditionalFormatting>
  <conditionalFormatting sqref="D258:D259">
    <cfRule type="duplicateValues" dxfId="744" priority="2285" stopIfTrue="1"/>
  </conditionalFormatting>
  <conditionalFormatting sqref="D2332">
    <cfRule type="duplicateValues" dxfId="743" priority="2262" stopIfTrue="1"/>
  </conditionalFormatting>
  <conditionalFormatting sqref="D2834">
    <cfRule type="duplicateValues" dxfId="742" priority="2239" stopIfTrue="1"/>
  </conditionalFormatting>
  <conditionalFormatting sqref="D2614">
    <cfRule type="duplicateValues" dxfId="741" priority="2238" stopIfTrue="1"/>
  </conditionalFormatting>
  <conditionalFormatting sqref="D2085">
    <cfRule type="duplicateValues" dxfId="740" priority="2193" stopIfTrue="1"/>
  </conditionalFormatting>
  <conditionalFormatting sqref="D2086">
    <cfRule type="duplicateValues" dxfId="739" priority="2192" stopIfTrue="1"/>
  </conditionalFormatting>
  <conditionalFormatting sqref="D2835">
    <cfRule type="duplicateValues" dxfId="738" priority="2180" stopIfTrue="1"/>
  </conditionalFormatting>
  <conditionalFormatting sqref="D2835:D2838">
    <cfRule type="duplicateValues" dxfId="737" priority="2146" stopIfTrue="1"/>
  </conditionalFormatting>
  <conditionalFormatting sqref="D122">
    <cfRule type="duplicateValues" dxfId="736" priority="2133" stopIfTrue="1"/>
  </conditionalFormatting>
  <conditionalFormatting sqref="D176">
    <cfRule type="duplicateValues" dxfId="735" priority="2132" stopIfTrue="1"/>
  </conditionalFormatting>
  <conditionalFormatting sqref="D1837">
    <cfRule type="duplicateValues" dxfId="734" priority="2130" stopIfTrue="1"/>
  </conditionalFormatting>
  <conditionalFormatting sqref="C1837">
    <cfRule type="duplicateValues" dxfId="733" priority="2128" stopIfTrue="1"/>
  </conditionalFormatting>
  <conditionalFormatting sqref="D2839:D2843">
    <cfRule type="duplicateValues" dxfId="732" priority="2081" stopIfTrue="1"/>
  </conditionalFormatting>
  <conditionalFormatting sqref="D150:D156">
    <cfRule type="duplicateValues" dxfId="731" priority="2045" stopIfTrue="1"/>
  </conditionalFormatting>
  <conditionalFormatting sqref="D2749">
    <cfRule type="duplicateValues" dxfId="730" priority="2044" stopIfTrue="1"/>
  </conditionalFormatting>
  <conditionalFormatting sqref="D2750">
    <cfRule type="duplicateValues" dxfId="729" priority="2043" stopIfTrue="1"/>
  </conditionalFormatting>
  <conditionalFormatting sqref="D2395">
    <cfRule type="duplicateValues" dxfId="728" priority="2031" stopIfTrue="1"/>
  </conditionalFormatting>
  <conditionalFormatting sqref="D2372">
    <cfRule type="duplicateValues" dxfId="727" priority="2030" stopIfTrue="1"/>
  </conditionalFormatting>
  <conditionalFormatting sqref="D2373">
    <cfRule type="duplicateValues" dxfId="726" priority="2029" stopIfTrue="1"/>
  </conditionalFormatting>
  <conditionalFormatting sqref="D2374">
    <cfRule type="duplicateValues" dxfId="725" priority="2028" stopIfTrue="1"/>
  </conditionalFormatting>
  <conditionalFormatting sqref="D2375">
    <cfRule type="duplicateValues" dxfId="724" priority="2027" stopIfTrue="1"/>
  </conditionalFormatting>
  <conditionalFormatting sqref="D2376">
    <cfRule type="duplicateValues" dxfId="723" priority="2026" stopIfTrue="1"/>
  </conditionalFormatting>
  <conditionalFormatting sqref="D2377">
    <cfRule type="duplicateValues" dxfId="722" priority="2025" stopIfTrue="1"/>
  </conditionalFormatting>
  <conditionalFormatting sqref="D2378:D2379">
    <cfRule type="duplicateValues" dxfId="721" priority="2024" stopIfTrue="1"/>
  </conditionalFormatting>
  <conditionalFormatting sqref="D2380">
    <cfRule type="duplicateValues" dxfId="720" priority="2023" stopIfTrue="1"/>
  </conditionalFormatting>
  <conditionalFormatting sqref="D2384">
    <cfRule type="duplicateValues" dxfId="719" priority="2000" stopIfTrue="1"/>
  </conditionalFormatting>
  <conditionalFormatting sqref="D2385">
    <cfRule type="duplicateValues" dxfId="718" priority="1999" stopIfTrue="1"/>
  </conditionalFormatting>
  <conditionalFormatting sqref="D1518">
    <cfRule type="duplicateValues" dxfId="717" priority="1998" stopIfTrue="1"/>
  </conditionalFormatting>
  <conditionalFormatting sqref="A1518">
    <cfRule type="duplicateValues" dxfId="716" priority="1997" stopIfTrue="1"/>
  </conditionalFormatting>
  <conditionalFormatting sqref="D156">
    <cfRule type="duplicateValues" dxfId="715" priority="1973" stopIfTrue="1"/>
  </conditionalFormatting>
  <conditionalFormatting sqref="D2209">
    <cfRule type="duplicateValues" dxfId="714" priority="1972" stopIfTrue="1"/>
  </conditionalFormatting>
  <conditionalFormatting sqref="D1713">
    <cfRule type="duplicateValues" dxfId="713" priority="1937" stopIfTrue="1"/>
  </conditionalFormatting>
  <conditionalFormatting sqref="D2304">
    <cfRule type="duplicateValues" dxfId="712" priority="1936" stopIfTrue="1"/>
  </conditionalFormatting>
  <conditionalFormatting sqref="D1509">
    <cfRule type="duplicateValues" dxfId="711" priority="1934" stopIfTrue="1"/>
  </conditionalFormatting>
  <conditionalFormatting sqref="D2014">
    <cfRule type="duplicateValues" dxfId="710" priority="1932" stopIfTrue="1"/>
  </conditionalFormatting>
  <conditionalFormatting sqref="D1503">
    <cfRule type="duplicateValues" dxfId="709" priority="1930" stopIfTrue="1"/>
  </conditionalFormatting>
  <conditionalFormatting sqref="C2420">
    <cfRule type="duplicateValues" dxfId="708" priority="1929" stopIfTrue="1"/>
  </conditionalFormatting>
  <conditionalFormatting sqref="D2420">
    <cfRule type="duplicateValues" dxfId="707" priority="1928" stopIfTrue="1"/>
  </conditionalFormatting>
  <conditionalFormatting sqref="D2701:D2715">
    <cfRule type="duplicateValues" dxfId="706" priority="1927" stopIfTrue="1"/>
  </conditionalFormatting>
  <conditionalFormatting sqref="D2727">
    <cfRule type="duplicateValues" dxfId="705" priority="1926" stopIfTrue="1"/>
  </conditionalFormatting>
  <conditionalFormatting sqref="D1535">
    <cfRule type="duplicateValues" dxfId="704" priority="1925" stopIfTrue="1"/>
  </conditionalFormatting>
  <conditionalFormatting sqref="D1538">
    <cfRule type="duplicateValues" dxfId="703" priority="1913" stopIfTrue="1"/>
  </conditionalFormatting>
  <conditionalFormatting sqref="D1799">
    <cfRule type="duplicateValues" dxfId="702" priority="1901" stopIfTrue="1"/>
  </conditionalFormatting>
  <conditionalFormatting sqref="D2688:D2715 D2727:D2834">
    <cfRule type="duplicateValues" dxfId="701" priority="6418" stopIfTrue="1"/>
  </conditionalFormatting>
  <conditionalFormatting sqref="D2805">
    <cfRule type="duplicateValues" dxfId="700" priority="1899" stopIfTrue="1"/>
  </conditionalFormatting>
  <conditionalFormatting sqref="D921">
    <cfRule type="duplicateValues" dxfId="699" priority="1898" stopIfTrue="1"/>
  </conditionalFormatting>
  <conditionalFormatting sqref="D2343">
    <cfRule type="duplicateValues" dxfId="698" priority="1897" stopIfTrue="1"/>
  </conditionalFormatting>
  <conditionalFormatting sqref="D2839">
    <cfRule type="duplicateValues" dxfId="697" priority="1884" stopIfTrue="1"/>
  </conditionalFormatting>
  <conditionalFormatting sqref="D2840">
    <cfRule type="duplicateValues" dxfId="696" priority="1883" stopIfTrue="1"/>
  </conditionalFormatting>
  <conditionalFormatting sqref="D149">
    <cfRule type="duplicateValues" dxfId="695" priority="1882" stopIfTrue="1"/>
  </conditionalFormatting>
  <conditionalFormatting sqref="D276">
    <cfRule type="duplicateValues" dxfId="694" priority="1881" stopIfTrue="1"/>
  </conditionalFormatting>
  <conditionalFormatting sqref="D269">
    <cfRule type="duplicateValues" dxfId="693" priority="1880" stopIfTrue="1"/>
  </conditionalFormatting>
  <conditionalFormatting sqref="D2820">
    <cfRule type="duplicateValues" dxfId="692" priority="1879" stopIfTrue="1"/>
  </conditionalFormatting>
  <conditionalFormatting sqref="D2821">
    <cfRule type="duplicateValues" dxfId="691" priority="1878" stopIfTrue="1"/>
  </conditionalFormatting>
  <conditionalFormatting sqref="D2819">
    <cfRule type="duplicateValues" dxfId="690" priority="1877" stopIfTrue="1"/>
  </conditionalFormatting>
  <conditionalFormatting sqref="D2844">
    <cfRule type="duplicateValues" dxfId="689" priority="1865" stopIfTrue="1"/>
  </conditionalFormatting>
  <conditionalFormatting sqref="D1043">
    <cfRule type="duplicateValues" dxfId="688" priority="1852" stopIfTrue="1"/>
  </conditionalFormatting>
  <conditionalFormatting sqref="D59:D60">
    <cfRule type="duplicateValues" dxfId="687" priority="1772" stopIfTrue="1"/>
  </conditionalFormatting>
  <conditionalFormatting sqref="D804">
    <cfRule type="duplicateValues" dxfId="686" priority="1747" stopIfTrue="1"/>
  </conditionalFormatting>
  <conditionalFormatting sqref="D805">
    <cfRule type="duplicateValues" dxfId="685" priority="1746" stopIfTrue="1"/>
  </conditionalFormatting>
  <conditionalFormatting sqref="D812">
    <cfRule type="duplicateValues" dxfId="684" priority="1712" stopIfTrue="1"/>
  </conditionalFormatting>
  <conditionalFormatting sqref="D813">
    <cfRule type="duplicateValues" dxfId="683" priority="1711" stopIfTrue="1"/>
  </conditionalFormatting>
  <conditionalFormatting sqref="D814">
    <cfRule type="duplicateValues" dxfId="682" priority="1710" stopIfTrue="1"/>
  </conditionalFormatting>
  <conditionalFormatting sqref="D815">
    <cfRule type="duplicateValues" dxfId="681" priority="1709" stopIfTrue="1"/>
  </conditionalFormatting>
  <conditionalFormatting sqref="D2580:D2581">
    <cfRule type="duplicateValues" dxfId="680" priority="1696" stopIfTrue="1"/>
  </conditionalFormatting>
  <conditionalFormatting sqref="D2369">
    <cfRule type="duplicateValues" dxfId="679" priority="1695" stopIfTrue="1"/>
  </conditionalFormatting>
  <conditionalFormatting sqref="D1498">
    <cfRule type="duplicateValues" dxfId="678" priority="1694" stopIfTrue="1"/>
  </conditionalFormatting>
  <conditionalFormatting sqref="D142">
    <cfRule type="duplicateValues" dxfId="677" priority="1682" stopIfTrue="1"/>
  </conditionalFormatting>
  <conditionalFormatting sqref="D2211">
    <cfRule type="duplicateValues" dxfId="676" priority="1681" stopIfTrue="1"/>
  </conditionalFormatting>
  <conditionalFormatting sqref="D291">
    <cfRule type="duplicateValues" dxfId="675" priority="1669" stopIfTrue="1"/>
  </conditionalFormatting>
  <conditionalFormatting sqref="D292">
    <cfRule type="duplicateValues" dxfId="674" priority="1668" stopIfTrue="1"/>
  </conditionalFormatting>
  <conditionalFormatting sqref="C407">
    <cfRule type="duplicateValues" dxfId="673" priority="1656" stopIfTrue="1"/>
  </conditionalFormatting>
  <conditionalFormatting sqref="D397">
    <cfRule type="duplicateValues" dxfId="672" priority="1644" stopIfTrue="1"/>
  </conditionalFormatting>
  <conditionalFormatting sqref="D2595">
    <cfRule type="duplicateValues" dxfId="671" priority="1621" stopIfTrue="1"/>
  </conditionalFormatting>
  <conditionalFormatting sqref="D1035">
    <cfRule type="duplicateValues" dxfId="670" priority="1619" stopIfTrue="1"/>
  </conditionalFormatting>
  <conditionalFormatting sqref="D1036">
    <cfRule type="duplicateValues" dxfId="669" priority="1618" stopIfTrue="1"/>
  </conditionalFormatting>
  <conditionalFormatting sqref="D239">
    <cfRule type="duplicateValues" dxfId="668" priority="1606" stopIfTrue="1"/>
  </conditionalFormatting>
  <conditionalFormatting sqref="D1418">
    <cfRule type="duplicateValues" dxfId="667" priority="1605" stopIfTrue="1"/>
  </conditionalFormatting>
  <conditionalFormatting sqref="D1857">
    <cfRule type="duplicateValues" dxfId="666" priority="1604" stopIfTrue="1"/>
  </conditionalFormatting>
  <conditionalFormatting sqref="D2382">
    <cfRule type="duplicateValues" dxfId="665" priority="1603" stopIfTrue="1"/>
  </conditionalFormatting>
  <conditionalFormatting sqref="D1111">
    <cfRule type="duplicateValues" dxfId="664" priority="1602" stopIfTrue="1"/>
  </conditionalFormatting>
  <conditionalFormatting sqref="D1112">
    <cfRule type="duplicateValues" dxfId="663" priority="1601" stopIfTrue="1"/>
  </conditionalFormatting>
  <conditionalFormatting sqref="D2841">
    <cfRule type="duplicateValues" dxfId="662" priority="1589" stopIfTrue="1"/>
  </conditionalFormatting>
  <conditionalFormatting sqref="D540">
    <cfRule type="duplicateValues" dxfId="661" priority="1576" stopIfTrue="1"/>
  </conditionalFormatting>
  <conditionalFormatting sqref="D1475">
    <cfRule type="duplicateValues" dxfId="660" priority="1574" stopIfTrue="1"/>
  </conditionalFormatting>
  <conditionalFormatting sqref="D2164">
    <cfRule type="duplicateValues" dxfId="659" priority="1572" stopIfTrue="1"/>
  </conditionalFormatting>
  <conditionalFormatting sqref="D2187">
    <cfRule type="duplicateValues" dxfId="658" priority="1570" stopIfTrue="1"/>
  </conditionalFormatting>
  <conditionalFormatting sqref="D1315">
    <cfRule type="duplicateValues" dxfId="657" priority="1568" stopIfTrue="1"/>
  </conditionalFormatting>
  <conditionalFormatting sqref="D160">
    <cfRule type="duplicateValues" dxfId="656" priority="1567" stopIfTrue="1"/>
  </conditionalFormatting>
  <conditionalFormatting sqref="D164">
    <cfRule type="duplicateValues" dxfId="655" priority="1566" stopIfTrue="1"/>
  </conditionalFormatting>
  <conditionalFormatting sqref="D154">
    <cfRule type="duplicateValues" dxfId="654" priority="1521" stopIfTrue="1"/>
  </conditionalFormatting>
  <conditionalFormatting sqref="D155">
    <cfRule type="duplicateValues" dxfId="653" priority="1498" stopIfTrue="1"/>
  </conditionalFormatting>
  <conditionalFormatting sqref="D2642">
    <cfRule type="duplicateValues" dxfId="652" priority="1497" stopIfTrue="1"/>
  </conditionalFormatting>
  <conditionalFormatting sqref="D703">
    <cfRule type="duplicateValues" dxfId="651" priority="1485" stopIfTrue="1"/>
  </conditionalFormatting>
  <conditionalFormatting sqref="D704">
    <cfRule type="duplicateValues" dxfId="650" priority="1484" stopIfTrue="1"/>
  </conditionalFormatting>
  <conditionalFormatting sqref="D259">
    <cfRule type="duplicateValues" dxfId="649" priority="1483" stopIfTrue="1"/>
  </conditionalFormatting>
  <conditionalFormatting sqref="D60">
    <cfRule type="duplicateValues" dxfId="648" priority="1482" stopIfTrue="1"/>
  </conditionalFormatting>
  <conditionalFormatting sqref="D2271">
    <cfRule type="duplicateValues" dxfId="647" priority="1480" stopIfTrue="1"/>
  </conditionalFormatting>
  <conditionalFormatting sqref="D2334">
    <cfRule type="duplicateValues" dxfId="646" priority="1466" stopIfTrue="1"/>
  </conditionalFormatting>
  <conditionalFormatting sqref="D2335">
    <cfRule type="duplicateValues" dxfId="645" priority="1465" stopIfTrue="1"/>
  </conditionalFormatting>
  <conditionalFormatting sqref="D2336">
    <cfRule type="duplicateValues" dxfId="644" priority="1464" stopIfTrue="1"/>
  </conditionalFormatting>
  <conditionalFormatting sqref="D2337:D2338">
    <cfRule type="duplicateValues" dxfId="643" priority="1463" stopIfTrue="1"/>
  </conditionalFormatting>
  <conditionalFormatting sqref="D2339">
    <cfRule type="duplicateValues" dxfId="642" priority="1462" stopIfTrue="1"/>
  </conditionalFormatting>
  <conditionalFormatting sqref="D2340:D2341">
    <cfRule type="duplicateValues" dxfId="641" priority="1461" stopIfTrue="1"/>
  </conditionalFormatting>
  <conditionalFormatting sqref="D2344:D2345">
    <cfRule type="duplicateValues" dxfId="640" priority="1459" stopIfTrue="1"/>
  </conditionalFormatting>
  <conditionalFormatting sqref="C2456">
    <cfRule type="duplicateValues" dxfId="639" priority="1428" stopIfTrue="1"/>
  </conditionalFormatting>
  <conditionalFormatting sqref="D1537">
    <cfRule type="duplicateValues" dxfId="638" priority="1426" stopIfTrue="1"/>
  </conditionalFormatting>
  <conditionalFormatting sqref="D390">
    <cfRule type="duplicateValues" dxfId="637" priority="1413" stopIfTrue="1"/>
  </conditionalFormatting>
  <conditionalFormatting sqref="D391">
    <cfRule type="duplicateValues" dxfId="636" priority="1412" stopIfTrue="1"/>
  </conditionalFormatting>
  <conditionalFormatting sqref="D392">
    <cfRule type="duplicateValues" dxfId="635" priority="1411" stopIfTrue="1"/>
  </conditionalFormatting>
  <conditionalFormatting sqref="D2489">
    <cfRule type="duplicateValues" dxfId="634" priority="1406" stopIfTrue="1"/>
  </conditionalFormatting>
  <conditionalFormatting sqref="D2492:D2493">
    <cfRule type="duplicateValues" dxfId="633" priority="1404" stopIfTrue="1"/>
  </conditionalFormatting>
  <conditionalFormatting sqref="D2494:D2498">
    <cfRule type="duplicateValues" dxfId="632" priority="1403" stopIfTrue="1"/>
  </conditionalFormatting>
  <conditionalFormatting sqref="D1085">
    <cfRule type="duplicateValues" dxfId="631" priority="1402" stopIfTrue="1"/>
  </conditionalFormatting>
  <conditionalFormatting sqref="D1086">
    <cfRule type="duplicateValues" dxfId="630" priority="1401" stopIfTrue="1"/>
  </conditionalFormatting>
  <conditionalFormatting sqref="D1878">
    <cfRule type="duplicateValues" dxfId="629" priority="1400" stopIfTrue="1"/>
  </conditionalFormatting>
  <conditionalFormatting sqref="D1638">
    <cfRule type="duplicateValues" dxfId="628" priority="1397" stopIfTrue="1"/>
  </conditionalFormatting>
  <conditionalFormatting sqref="D1640:D1641">
    <cfRule type="duplicateValues" dxfId="627" priority="1395" stopIfTrue="1"/>
  </conditionalFormatting>
  <conditionalFormatting sqref="D1642">
    <cfRule type="duplicateValues" dxfId="626" priority="1394" stopIfTrue="1"/>
  </conditionalFormatting>
  <conditionalFormatting sqref="D834">
    <cfRule type="duplicateValues" dxfId="625" priority="1392" stopIfTrue="1"/>
  </conditionalFormatting>
  <conditionalFormatting sqref="C1004">
    <cfRule type="duplicateValues" dxfId="624" priority="1391" stopIfTrue="1"/>
  </conditionalFormatting>
  <conditionalFormatting sqref="D2499:D2500">
    <cfRule type="duplicateValues" dxfId="623" priority="1390" stopIfTrue="1"/>
  </conditionalFormatting>
  <conditionalFormatting sqref="D2501">
    <cfRule type="duplicateValues" dxfId="622" priority="1389" stopIfTrue="1"/>
  </conditionalFormatting>
  <conditionalFormatting sqref="D2502:D2503">
    <cfRule type="duplicateValues" dxfId="621" priority="1388" stopIfTrue="1"/>
  </conditionalFormatting>
  <conditionalFormatting sqref="D1477:D1478">
    <cfRule type="duplicateValues" dxfId="620" priority="1387" stopIfTrue="1"/>
  </conditionalFormatting>
  <conditionalFormatting sqref="D2505">
    <cfRule type="duplicateValues" dxfId="619" priority="1386" stopIfTrue="1"/>
  </conditionalFormatting>
  <conditionalFormatting sqref="D2506:D2532">
    <cfRule type="duplicateValues" dxfId="618" priority="1385" stopIfTrue="1"/>
  </conditionalFormatting>
  <conditionalFormatting sqref="D2533:D2536">
    <cfRule type="duplicateValues" dxfId="617" priority="1384" stopIfTrue="1"/>
  </conditionalFormatting>
  <conditionalFormatting sqref="D1892">
    <cfRule type="duplicateValues" dxfId="616" priority="1383" stopIfTrue="1"/>
  </conditionalFormatting>
  <conditionalFormatting sqref="D1337">
    <cfRule type="duplicateValues" dxfId="615" priority="1382" stopIfTrue="1"/>
  </conditionalFormatting>
  <conditionalFormatting sqref="C2541">
    <cfRule type="duplicateValues" dxfId="614" priority="1381" stopIfTrue="1"/>
  </conditionalFormatting>
  <conditionalFormatting sqref="D2167">
    <cfRule type="duplicateValues" dxfId="613" priority="1380" stopIfTrue="1"/>
  </conditionalFormatting>
  <conditionalFormatting sqref="D2555:D2556">
    <cfRule type="duplicateValues" dxfId="612" priority="1379" stopIfTrue="1"/>
  </conditionalFormatting>
  <conditionalFormatting sqref="D2557">
    <cfRule type="duplicateValues" dxfId="611" priority="1378" stopIfTrue="1"/>
  </conditionalFormatting>
  <conditionalFormatting sqref="D2057">
    <cfRule type="duplicateValues" dxfId="610" priority="1377" stopIfTrue="1"/>
  </conditionalFormatting>
  <conditionalFormatting sqref="D2485:D2486">
    <cfRule type="duplicateValues" dxfId="609" priority="1371" stopIfTrue="1"/>
  </conditionalFormatting>
  <conditionalFormatting sqref="D2481 D2484">
    <cfRule type="duplicateValues" dxfId="608" priority="1370" stopIfTrue="1"/>
  </conditionalFormatting>
  <conditionalFormatting sqref="D2478:D2479">
    <cfRule type="duplicateValues" dxfId="607" priority="1369" stopIfTrue="1"/>
  </conditionalFormatting>
  <conditionalFormatting sqref="D903:D911">
    <cfRule type="duplicateValues" dxfId="606" priority="1368" stopIfTrue="1"/>
  </conditionalFormatting>
  <conditionalFormatting sqref="D902">
    <cfRule type="duplicateValues" dxfId="605" priority="1367" stopIfTrue="1"/>
  </conditionalFormatting>
  <conditionalFormatting sqref="D1474">
    <cfRule type="duplicateValues" dxfId="604" priority="1363" stopIfTrue="1"/>
  </conditionalFormatting>
  <conditionalFormatting sqref="C2565">
    <cfRule type="colorScale" priority="13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567">
    <cfRule type="duplicateValues" dxfId="603" priority="1356" stopIfTrue="1"/>
  </conditionalFormatting>
  <conditionalFormatting sqref="D2568">
    <cfRule type="duplicateValues" dxfId="602" priority="1355" stopIfTrue="1"/>
  </conditionalFormatting>
  <conditionalFormatting sqref="D2569">
    <cfRule type="duplicateValues" dxfId="601" priority="1354" stopIfTrue="1"/>
  </conditionalFormatting>
  <conditionalFormatting sqref="D963">
    <cfRule type="duplicateValues" dxfId="600" priority="1352" stopIfTrue="1"/>
  </conditionalFormatting>
  <conditionalFormatting sqref="D964">
    <cfRule type="duplicateValues" dxfId="599" priority="1351" stopIfTrue="1"/>
  </conditionalFormatting>
  <conditionalFormatting sqref="D1641">
    <cfRule type="duplicateValues" dxfId="598" priority="1350" stopIfTrue="1"/>
  </conditionalFormatting>
  <conditionalFormatting sqref="D1653">
    <cfRule type="duplicateValues" dxfId="597" priority="1347" stopIfTrue="1"/>
  </conditionalFormatting>
  <conditionalFormatting sqref="D1654">
    <cfRule type="duplicateValues" dxfId="596" priority="1346" stopIfTrue="1"/>
  </conditionalFormatting>
  <conditionalFormatting sqref="D2580">
    <cfRule type="duplicateValues" dxfId="595" priority="1315" stopIfTrue="1"/>
  </conditionalFormatting>
  <conditionalFormatting sqref="D2581">
    <cfRule type="duplicateValues" dxfId="594" priority="1314" stopIfTrue="1"/>
  </conditionalFormatting>
  <conditionalFormatting sqref="C2586">
    <cfRule type="colorScale" priority="13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582:D2584">
    <cfRule type="duplicateValues" dxfId="593" priority="1312" stopIfTrue="1"/>
  </conditionalFormatting>
  <conditionalFormatting sqref="C455">
    <cfRule type="duplicateValues" dxfId="592" priority="1303" stopIfTrue="1"/>
  </conditionalFormatting>
  <conditionalFormatting sqref="C455">
    <cfRule type="colorScale" priority="13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55">
    <cfRule type="duplicateValues" dxfId="591" priority="1300" stopIfTrue="1"/>
  </conditionalFormatting>
  <conditionalFormatting sqref="C457">
    <cfRule type="colorScale" priority="1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56">
    <cfRule type="duplicateValues" dxfId="590" priority="1298" stopIfTrue="1"/>
  </conditionalFormatting>
  <conditionalFormatting sqref="D457">
    <cfRule type="duplicateValues" dxfId="589" priority="1297" stopIfTrue="1"/>
  </conditionalFormatting>
  <conditionalFormatting sqref="D2593">
    <cfRule type="duplicateValues" dxfId="588" priority="1296" stopIfTrue="1"/>
  </conditionalFormatting>
  <conditionalFormatting sqref="D2594:D2597">
    <cfRule type="duplicateValues" dxfId="587" priority="1295" stopIfTrue="1"/>
  </conditionalFormatting>
  <conditionalFormatting sqref="D2598:D2599">
    <cfRule type="duplicateValues" dxfId="586" priority="1294" stopIfTrue="1"/>
  </conditionalFormatting>
  <conditionalFormatting sqref="D2600">
    <cfRule type="duplicateValues" dxfId="585" priority="1293" stopIfTrue="1"/>
  </conditionalFormatting>
  <conditionalFormatting sqref="D2601">
    <cfRule type="duplicateValues" dxfId="584" priority="1292" stopIfTrue="1"/>
  </conditionalFormatting>
  <conditionalFormatting sqref="D2603">
    <cfRule type="duplicateValues" dxfId="583" priority="1291" stopIfTrue="1"/>
  </conditionalFormatting>
  <conditionalFormatting sqref="D2606">
    <cfRule type="duplicateValues" dxfId="582" priority="1290" stopIfTrue="1"/>
  </conditionalFormatting>
  <conditionalFormatting sqref="D2607">
    <cfRule type="duplicateValues" dxfId="581" priority="1289" stopIfTrue="1"/>
  </conditionalFormatting>
  <conditionalFormatting sqref="D2608:D2610">
    <cfRule type="duplicateValues" dxfId="580" priority="1288" stopIfTrue="1"/>
  </conditionalFormatting>
  <conditionalFormatting sqref="D2611">
    <cfRule type="duplicateValues" dxfId="579" priority="1287" stopIfTrue="1"/>
  </conditionalFormatting>
  <conditionalFormatting sqref="D461">
    <cfRule type="duplicateValues" dxfId="578" priority="1283" stopIfTrue="1"/>
  </conditionalFormatting>
  <conditionalFormatting sqref="D1426">
    <cfRule type="duplicateValues" dxfId="577" priority="1282" stopIfTrue="1"/>
  </conditionalFormatting>
  <conditionalFormatting sqref="D1444">
    <cfRule type="duplicateValues" dxfId="576" priority="1281" stopIfTrue="1"/>
  </conditionalFormatting>
  <conditionalFormatting sqref="D1053">
    <cfRule type="duplicateValues" dxfId="575" priority="1280" stopIfTrue="1"/>
  </conditionalFormatting>
  <conditionalFormatting sqref="D2579">
    <cfRule type="duplicateValues" dxfId="574" priority="1279" stopIfTrue="1"/>
  </conditionalFormatting>
  <conditionalFormatting sqref="D1995">
    <cfRule type="duplicateValues" dxfId="573" priority="1278" stopIfTrue="1"/>
  </conditionalFormatting>
  <conditionalFormatting sqref="D886 C887">
    <cfRule type="duplicateValues" dxfId="572" priority="1277" stopIfTrue="1"/>
  </conditionalFormatting>
  <conditionalFormatting sqref="D995">
    <cfRule type="duplicateValues" dxfId="571" priority="1276" stopIfTrue="1"/>
  </conditionalFormatting>
  <conditionalFormatting sqref="D2612">
    <cfRule type="duplicateValues" dxfId="570" priority="1275" stopIfTrue="1"/>
  </conditionalFormatting>
  <conditionalFormatting sqref="C2615">
    <cfRule type="colorScale" priority="1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613">
    <cfRule type="duplicateValues" dxfId="569" priority="1273" stopIfTrue="1"/>
  </conditionalFormatting>
  <conditionalFormatting sqref="D1168">
    <cfRule type="duplicateValues" dxfId="568" priority="1272" stopIfTrue="1"/>
  </conditionalFormatting>
  <conditionalFormatting sqref="D1555">
    <cfRule type="duplicateValues" dxfId="567" priority="1271" stopIfTrue="1"/>
  </conditionalFormatting>
  <conditionalFormatting sqref="D1751">
    <cfRule type="duplicateValues" dxfId="566" priority="1268" stopIfTrue="1"/>
  </conditionalFormatting>
  <conditionalFormatting sqref="D215">
    <cfRule type="duplicateValues" dxfId="565" priority="1267" stopIfTrue="1"/>
  </conditionalFormatting>
  <conditionalFormatting sqref="B2617">
    <cfRule type="duplicateValues" dxfId="564" priority="1266" stopIfTrue="1"/>
  </conditionalFormatting>
  <conditionalFormatting sqref="D541">
    <cfRule type="duplicateValues" dxfId="563" priority="1262" stopIfTrue="1"/>
  </conditionalFormatting>
  <conditionalFormatting sqref="D690">
    <cfRule type="duplicateValues" dxfId="562" priority="1261" stopIfTrue="1"/>
  </conditionalFormatting>
  <conditionalFormatting sqref="D900">
    <cfRule type="duplicateValues" dxfId="561" priority="1260" stopIfTrue="1"/>
  </conditionalFormatting>
  <conditionalFormatting sqref="D958">
    <cfRule type="duplicateValues" dxfId="560" priority="1259" stopIfTrue="1"/>
  </conditionalFormatting>
  <conditionalFormatting sqref="D208">
    <cfRule type="duplicateValues" dxfId="559" priority="1258" stopIfTrue="1"/>
  </conditionalFormatting>
  <conditionalFormatting sqref="D1899">
    <cfRule type="duplicateValues" dxfId="558" priority="1257" stopIfTrue="1"/>
  </conditionalFormatting>
  <conditionalFormatting sqref="C2405">
    <cfRule type="duplicateValues" dxfId="557" priority="1256" stopIfTrue="1"/>
  </conditionalFormatting>
  <conditionalFormatting sqref="D351">
    <cfRule type="duplicateValues" dxfId="556" priority="1255" stopIfTrue="1"/>
  </conditionalFormatting>
  <conditionalFormatting sqref="D1233">
    <cfRule type="duplicateValues" dxfId="555" priority="1254" stopIfTrue="1"/>
  </conditionalFormatting>
  <conditionalFormatting sqref="D1652">
    <cfRule type="duplicateValues" dxfId="554" priority="1253" stopIfTrue="1"/>
  </conditionalFormatting>
  <conditionalFormatting sqref="C979">
    <cfRule type="duplicateValues" dxfId="553" priority="1252" stopIfTrue="1"/>
  </conditionalFormatting>
  <conditionalFormatting sqref="D1266">
    <cfRule type="duplicateValues" dxfId="552" priority="1251" stopIfTrue="1"/>
  </conditionalFormatting>
  <conditionalFormatting sqref="D1430">
    <cfRule type="duplicateValues" dxfId="551" priority="1250" stopIfTrue="1"/>
  </conditionalFormatting>
  <conditionalFormatting sqref="D1806">
    <cfRule type="duplicateValues" dxfId="550" priority="1248" stopIfTrue="1"/>
  </conditionalFormatting>
  <conditionalFormatting sqref="C1042">
    <cfRule type="duplicateValues" dxfId="549" priority="1247" stopIfTrue="1"/>
  </conditionalFormatting>
  <conditionalFormatting sqref="D2252">
    <cfRule type="duplicateValues" dxfId="548" priority="1246" stopIfTrue="1"/>
  </conditionalFormatting>
  <conditionalFormatting sqref="D1436:D1437">
    <cfRule type="duplicateValues" dxfId="547" priority="1244" stopIfTrue="1"/>
  </conditionalFormatting>
  <conditionalFormatting sqref="D1438">
    <cfRule type="duplicateValues" dxfId="546" priority="1243" stopIfTrue="1"/>
  </conditionalFormatting>
  <conditionalFormatting sqref="D1439">
    <cfRule type="duplicateValues" dxfId="545" priority="1242" stopIfTrue="1"/>
  </conditionalFormatting>
  <conditionalFormatting sqref="D1440">
    <cfRule type="duplicateValues" dxfId="544" priority="1241" stopIfTrue="1"/>
  </conditionalFormatting>
  <conditionalFormatting sqref="D2627">
    <cfRule type="duplicateValues" dxfId="543" priority="1240" stopIfTrue="1"/>
  </conditionalFormatting>
  <conditionalFormatting sqref="D2418">
    <cfRule type="duplicateValues" dxfId="542" priority="1232" stopIfTrue="1"/>
  </conditionalFormatting>
  <conditionalFormatting sqref="D694">
    <cfRule type="duplicateValues" dxfId="541" priority="1231" stopIfTrue="1"/>
  </conditionalFormatting>
  <conditionalFormatting sqref="D695">
    <cfRule type="duplicateValues" dxfId="540" priority="1230" stopIfTrue="1"/>
  </conditionalFormatting>
  <conditionalFormatting sqref="D1194">
    <cfRule type="duplicateValues" dxfId="539" priority="1229" stopIfTrue="1"/>
  </conditionalFormatting>
  <conditionalFormatting sqref="D2602">
    <cfRule type="duplicateValues" dxfId="538" priority="1228" stopIfTrue="1"/>
  </conditionalFormatting>
  <conditionalFormatting sqref="D2091">
    <cfRule type="duplicateValues" dxfId="537" priority="1227" stopIfTrue="1"/>
  </conditionalFormatting>
  <conditionalFormatting sqref="D2092:D2093">
    <cfRule type="duplicateValues" dxfId="536" priority="1226" stopIfTrue="1"/>
  </conditionalFormatting>
  <conditionalFormatting sqref="D1157">
    <cfRule type="duplicateValues" dxfId="535" priority="1225" stopIfTrue="1"/>
  </conditionalFormatting>
  <conditionalFormatting sqref="D2654">
    <cfRule type="duplicateValues" dxfId="534" priority="1222" stopIfTrue="1"/>
  </conditionalFormatting>
  <conditionalFormatting sqref="D1816">
    <cfRule type="duplicateValues" dxfId="533" priority="1221" stopIfTrue="1"/>
  </conditionalFormatting>
  <conditionalFormatting sqref="D1817">
    <cfRule type="duplicateValues" dxfId="532" priority="1220" stopIfTrue="1"/>
  </conditionalFormatting>
  <conditionalFormatting sqref="D1818">
    <cfRule type="duplicateValues" dxfId="531" priority="1219" stopIfTrue="1"/>
  </conditionalFormatting>
  <conditionalFormatting sqref="D1819">
    <cfRule type="duplicateValues" dxfId="530" priority="1218" stopIfTrue="1"/>
  </conditionalFormatting>
  <conditionalFormatting sqref="D1820">
    <cfRule type="duplicateValues" dxfId="529" priority="1206" stopIfTrue="1"/>
  </conditionalFormatting>
  <conditionalFormatting sqref="D519">
    <cfRule type="duplicateValues" dxfId="528" priority="1205" stopIfTrue="1"/>
  </conditionalFormatting>
  <conditionalFormatting sqref="D520">
    <cfRule type="duplicateValues" dxfId="527" priority="1204" stopIfTrue="1"/>
  </conditionalFormatting>
  <conditionalFormatting sqref="D521">
    <cfRule type="duplicateValues" dxfId="526" priority="1203" stopIfTrue="1"/>
  </conditionalFormatting>
  <conditionalFormatting sqref="D2658">
    <cfRule type="duplicateValues" dxfId="525" priority="1201" stopIfTrue="1"/>
  </conditionalFormatting>
  <conditionalFormatting sqref="D2659:D2660">
    <cfRule type="duplicateValues" dxfId="524" priority="1200" stopIfTrue="1"/>
  </conditionalFormatting>
  <conditionalFormatting sqref="D2665">
    <cfRule type="duplicateValues" dxfId="523" priority="1195" stopIfTrue="1"/>
  </conditionalFormatting>
  <conditionalFormatting sqref="D2668">
    <cfRule type="duplicateValues" dxfId="522" priority="1194" stopIfTrue="1"/>
  </conditionalFormatting>
  <conditionalFormatting sqref="D2669">
    <cfRule type="duplicateValues" dxfId="521" priority="1193" stopIfTrue="1"/>
  </conditionalFormatting>
  <conditionalFormatting sqref="D2670">
    <cfRule type="duplicateValues" dxfId="520" priority="1192" stopIfTrue="1"/>
  </conditionalFormatting>
  <conditionalFormatting sqref="D2671">
    <cfRule type="duplicateValues" dxfId="519" priority="1191" stopIfTrue="1"/>
  </conditionalFormatting>
  <conditionalFormatting sqref="D2655">
    <cfRule type="duplicateValues" dxfId="518" priority="1190" stopIfTrue="1"/>
  </conditionalFormatting>
  <conditionalFormatting sqref="D873">
    <cfRule type="duplicateValues" dxfId="517" priority="1188" stopIfTrue="1"/>
  </conditionalFormatting>
  <conditionalFormatting sqref="D875">
    <cfRule type="duplicateValues" dxfId="516" priority="1187" stopIfTrue="1"/>
  </conditionalFormatting>
  <conditionalFormatting sqref="D2672 D2690 D2688">
    <cfRule type="duplicateValues" dxfId="515" priority="1186" stopIfTrue="1"/>
  </conditionalFormatting>
  <conditionalFormatting sqref="D2693:D2694">
    <cfRule type="duplicateValues" dxfId="514" priority="1184" stopIfTrue="1"/>
  </conditionalFormatting>
  <conditionalFormatting sqref="D2695:D2697">
    <cfRule type="duplicateValues" dxfId="513" priority="1183" stopIfTrue="1"/>
  </conditionalFormatting>
  <conditionalFormatting sqref="D2028">
    <cfRule type="duplicateValues" dxfId="512" priority="1181" stopIfTrue="1"/>
  </conditionalFormatting>
  <conditionalFormatting sqref="D2700">
    <cfRule type="duplicateValues" dxfId="511" priority="1180" stopIfTrue="1"/>
  </conditionalFormatting>
  <conditionalFormatting sqref="D2630:D2633">
    <cfRule type="duplicateValues" dxfId="510" priority="1178" stopIfTrue="1"/>
  </conditionalFormatting>
  <conditionalFormatting sqref="D2604">
    <cfRule type="duplicateValues" dxfId="509" priority="1176" stopIfTrue="1"/>
  </conditionalFormatting>
  <conditionalFormatting sqref="D2605">
    <cfRule type="duplicateValues" dxfId="508" priority="1175" stopIfTrue="1"/>
  </conditionalFormatting>
  <conditionalFormatting sqref="D1996">
    <cfRule type="duplicateValues" dxfId="507" priority="1174" stopIfTrue="1"/>
  </conditionalFormatting>
  <conditionalFormatting sqref="D1998">
    <cfRule type="duplicateValues" dxfId="506" priority="1173" stopIfTrue="1"/>
  </conditionalFormatting>
  <conditionalFormatting sqref="C1671">
    <cfRule type="colorScale" priority="1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671">
    <cfRule type="duplicateValues" dxfId="505" priority="1171" stopIfTrue="1"/>
  </conditionalFormatting>
  <conditionalFormatting sqref="D1672">
    <cfRule type="duplicateValues" dxfId="504" priority="1170" stopIfTrue="1"/>
  </conditionalFormatting>
  <conditionalFormatting sqref="D1680">
    <cfRule type="duplicateValues" dxfId="503" priority="1165" stopIfTrue="1"/>
  </conditionalFormatting>
  <conditionalFormatting sqref="D1681">
    <cfRule type="duplicateValues" dxfId="502" priority="1164" stopIfTrue="1"/>
  </conditionalFormatting>
  <conditionalFormatting sqref="D1686">
    <cfRule type="duplicateValues" dxfId="501" priority="1159" stopIfTrue="1"/>
  </conditionalFormatting>
  <conditionalFormatting sqref="C1687:C1688">
    <cfRule type="duplicateValues" dxfId="500" priority="1158" stopIfTrue="1"/>
  </conditionalFormatting>
  <conditionalFormatting sqref="D1687:D1688">
    <cfRule type="duplicateValues" dxfId="499" priority="1157" stopIfTrue="1"/>
  </conditionalFormatting>
  <conditionalFormatting sqref="D1689">
    <cfRule type="duplicateValues" dxfId="498" priority="1156" stopIfTrue="1"/>
  </conditionalFormatting>
  <conditionalFormatting sqref="C1689">
    <cfRule type="duplicateValues" dxfId="497" priority="1155" stopIfTrue="1"/>
  </conditionalFormatting>
  <conditionalFormatting sqref="D1692">
    <cfRule type="duplicateValues" dxfId="496" priority="1153" stopIfTrue="1"/>
  </conditionalFormatting>
  <conditionalFormatting sqref="D1691">
    <cfRule type="duplicateValues" dxfId="495" priority="1152" stopIfTrue="1"/>
  </conditionalFormatting>
  <conditionalFormatting sqref="D1693:D1694">
    <cfRule type="duplicateValues" dxfId="494" priority="1151" stopIfTrue="1"/>
  </conditionalFormatting>
  <conditionalFormatting sqref="D1695:D1696">
    <cfRule type="duplicateValues" dxfId="493" priority="1150" stopIfTrue="1"/>
  </conditionalFormatting>
  <conditionalFormatting sqref="D1698:D1702">
    <cfRule type="duplicateValues" dxfId="492" priority="1148" stopIfTrue="1"/>
  </conditionalFormatting>
  <conditionalFormatting sqref="D1705">
    <cfRule type="duplicateValues" dxfId="491" priority="1145" stopIfTrue="1"/>
  </conditionalFormatting>
  <conditionalFormatting sqref="D1706">
    <cfRule type="duplicateValues" dxfId="490" priority="1144" stopIfTrue="1"/>
  </conditionalFormatting>
  <conditionalFormatting sqref="D1708">
    <cfRule type="duplicateValues" dxfId="489" priority="1142" stopIfTrue="1"/>
  </conditionalFormatting>
  <conditionalFormatting sqref="D1709:D1712">
    <cfRule type="duplicateValues" dxfId="488" priority="1141" stopIfTrue="1"/>
  </conditionalFormatting>
  <conditionalFormatting sqref="D1714:D1715">
    <cfRule type="duplicateValues" dxfId="487" priority="1138" stopIfTrue="1"/>
  </conditionalFormatting>
  <conditionalFormatting sqref="D1717:D1718">
    <cfRule type="duplicateValues" dxfId="486" priority="1136" stopIfTrue="1"/>
  </conditionalFormatting>
  <conditionalFormatting sqref="D1719">
    <cfRule type="duplicateValues" dxfId="485" priority="1135" stopIfTrue="1"/>
  </conditionalFormatting>
  <conditionalFormatting sqref="D1727:D1728">
    <cfRule type="duplicateValues" dxfId="484" priority="1130" stopIfTrue="1"/>
  </conditionalFormatting>
  <conditionalFormatting sqref="D1729:D1732">
    <cfRule type="duplicateValues" dxfId="483" priority="1129" stopIfTrue="1"/>
  </conditionalFormatting>
  <conditionalFormatting sqref="D1735:D1736">
    <cfRule type="duplicateValues" dxfId="482" priority="1127" stopIfTrue="1"/>
  </conditionalFormatting>
  <conditionalFormatting sqref="D1737">
    <cfRule type="duplicateValues" dxfId="481" priority="1126" stopIfTrue="1"/>
  </conditionalFormatting>
  <conditionalFormatting sqref="D1738">
    <cfRule type="duplicateValues" dxfId="480" priority="1125" stopIfTrue="1"/>
  </conditionalFormatting>
  <conditionalFormatting sqref="C1744">
    <cfRule type="duplicateValues" dxfId="479" priority="1124" stopIfTrue="1"/>
  </conditionalFormatting>
  <conditionalFormatting sqref="D1745">
    <cfRule type="duplicateValues" dxfId="478" priority="1123" stopIfTrue="1"/>
  </conditionalFormatting>
  <conditionalFormatting sqref="D1739:D1744">
    <cfRule type="duplicateValues" dxfId="477" priority="1122" stopIfTrue="1"/>
  </conditionalFormatting>
  <conditionalFormatting sqref="D560">
    <cfRule type="duplicateValues" dxfId="476" priority="1121" stopIfTrue="1"/>
  </conditionalFormatting>
  <conditionalFormatting sqref="D561">
    <cfRule type="duplicateValues" dxfId="475" priority="1120" stopIfTrue="1"/>
  </conditionalFormatting>
  <conditionalFormatting sqref="D358">
    <cfRule type="duplicateValues" dxfId="474" priority="1118" stopIfTrue="1"/>
  </conditionalFormatting>
  <conditionalFormatting sqref="D1575">
    <cfRule type="duplicateValues" dxfId="473" priority="1117" stopIfTrue="1"/>
  </conditionalFormatting>
  <conditionalFormatting sqref="D1576">
    <cfRule type="duplicateValues" dxfId="472" priority="1116" stopIfTrue="1"/>
  </conditionalFormatting>
  <conditionalFormatting sqref="D1579">
    <cfRule type="duplicateValues" dxfId="471" priority="1113" stopIfTrue="1"/>
  </conditionalFormatting>
  <conditionalFormatting sqref="D1585">
    <cfRule type="duplicateValues" dxfId="470" priority="1111" stopIfTrue="1"/>
  </conditionalFormatting>
  <conditionalFormatting sqref="D1587">
    <cfRule type="duplicateValues" dxfId="469" priority="1106" stopIfTrue="1"/>
  </conditionalFormatting>
  <conditionalFormatting sqref="D1590">
    <cfRule type="duplicateValues" dxfId="468" priority="1105" stopIfTrue="1"/>
  </conditionalFormatting>
  <conditionalFormatting sqref="A2740">
    <cfRule type="duplicateValues" dxfId="467" priority="1104" stopIfTrue="1"/>
  </conditionalFormatting>
  <conditionalFormatting sqref="D2734">
    <cfRule type="duplicateValues" dxfId="466" priority="1103" stopIfTrue="1"/>
  </conditionalFormatting>
  <conditionalFormatting sqref="D2742:D2744">
    <cfRule type="duplicateValues" dxfId="465" priority="1096" stopIfTrue="1"/>
  </conditionalFormatting>
  <conditionalFormatting sqref="D2748">
    <cfRule type="duplicateValues" dxfId="464" priority="1092" stopIfTrue="1"/>
  </conditionalFormatting>
  <conditionalFormatting sqref="D345">
    <cfRule type="duplicateValues" dxfId="463" priority="1081" stopIfTrue="1"/>
  </conditionalFormatting>
  <conditionalFormatting sqref="D346">
    <cfRule type="duplicateValues" dxfId="462" priority="1080" stopIfTrue="1"/>
  </conditionalFormatting>
  <conditionalFormatting sqref="D347">
    <cfRule type="duplicateValues" dxfId="461" priority="1079" stopIfTrue="1"/>
  </conditionalFormatting>
  <conditionalFormatting sqref="D331">
    <cfRule type="duplicateValues" dxfId="460" priority="1073" stopIfTrue="1"/>
  </conditionalFormatting>
  <conditionalFormatting sqref="D332">
    <cfRule type="duplicateValues" dxfId="459" priority="1072" stopIfTrue="1"/>
  </conditionalFormatting>
  <conditionalFormatting sqref="D333">
    <cfRule type="duplicateValues" dxfId="458" priority="1071" stopIfTrue="1"/>
  </conditionalFormatting>
  <conditionalFormatting sqref="C2742:C2744">
    <cfRule type="duplicateValues" dxfId="457" priority="1070" stopIfTrue="1"/>
  </conditionalFormatting>
  <conditionalFormatting sqref="D2777">
    <cfRule type="duplicateValues" dxfId="456" priority="1068" stopIfTrue="1"/>
  </conditionalFormatting>
  <conditionalFormatting sqref="D2779">
    <cfRule type="duplicateValues" dxfId="455" priority="1067" stopIfTrue="1"/>
  </conditionalFormatting>
  <conditionalFormatting sqref="B2777">
    <cfRule type="duplicateValues" dxfId="454" priority="1066" stopIfTrue="1"/>
  </conditionalFormatting>
  <conditionalFormatting sqref="D2778">
    <cfRule type="duplicateValues" dxfId="453" priority="1065" stopIfTrue="1"/>
  </conditionalFormatting>
  <conditionalFormatting sqref="D2757">
    <cfRule type="duplicateValues" dxfId="452" priority="1060" stopIfTrue="1"/>
  </conditionalFormatting>
  <conditionalFormatting sqref="D2765:D2768">
    <cfRule type="duplicateValues" dxfId="451" priority="1052" stopIfTrue="1"/>
  </conditionalFormatting>
  <conditionalFormatting sqref="D2769">
    <cfRule type="duplicateValues" dxfId="450" priority="1051" stopIfTrue="1"/>
  </conditionalFormatting>
  <conditionalFormatting sqref="D2770">
    <cfRule type="duplicateValues" dxfId="449" priority="1050" stopIfTrue="1"/>
  </conditionalFormatting>
  <conditionalFormatting sqref="D2771">
    <cfRule type="duplicateValues" dxfId="448" priority="1049" stopIfTrue="1"/>
  </conditionalFormatting>
  <conditionalFormatting sqref="D2773">
    <cfRule type="duplicateValues" dxfId="447" priority="1047" stopIfTrue="1"/>
  </conditionalFormatting>
  <conditionalFormatting sqref="D2775">
    <cfRule type="duplicateValues" dxfId="446" priority="1046" stopIfTrue="1"/>
  </conditionalFormatting>
  <conditionalFormatting sqref="D2776">
    <cfRule type="duplicateValues" dxfId="445" priority="1045" stopIfTrue="1"/>
  </conditionalFormatting>
  <conditionalFormatting sqref="D2204">
    <cfRule type="duplicateValues" dxfId="444" priority="1044" stopIfTrue="1"/>
  </conditionalFormatting>
  <conditionalFormatting sqref="D539">
    <cfRule type="duplicateValues" dxfId="443" priority="1043" stopIfTrue="1"/>
  </conditionalFormatting>
  <conditionalFormatting sqref="C145:C146">
    <cfRule type="duplicateValues" dxfId="442" priority="1042" stopIfTrue="1"/>
  </conditionalFormatting>
  <conditionalFormatting sqref="D999">
    <cfRule type="duplicateValues" dxfId="441" priority="1041" stopIfTrue="1"/>
  </conditionalFormatting>
  <conditionalFormatting sqref="D2291">
    <cfRule type="duplicateValues" dxfId="440" priority="1040" stopIfTrue="1"/>
  </conditionalFormatting>
  <conditionalFormatting sqref="D665">
    <cfRule type="duplicateValues" dxfId="439" priority="1039" stopIfTrue="1"/>
  </conditionalFormatting>
  <conditionalFormatting sqref="D594">
    <cfRule type="duplicateValues" dxfId="438" priority="1037" stopIfTrue="1"/>
  </conditionalFormatting>
  <conditionalFormatting sqref="D889">
    <cfRule type="duplicateValues" dxfId="437" priority="1036" stopIfTrue="1"/>
  </conditionalFormatting>
  <conditionalFormatting sqref="D1584">
    <cfRule type="duplicateValues" dxfId="436" priority="1035" stopIfTrue="1"/>
  </conditionalFormatting>
  <conditionalFormatting sqref="D2010">
    <cfRule type="duplicateValues" dxfId="435" priority="1034" stopIfTrue="1"/>
  </conditionalFormatting>
  <conditionalFormatting sqref="D1110">
    <cfRule type="duplicateValues" dxfId="434" priority="1033" stopIfTrue="1"/>
  </conditionalFormatting>
  <conditionalFormatting sqref="B1109">
    <cfRule type="duplicateValues" dxfId="433" priority="1032" stopIfTrue="1"/>
  </conditionalFormatting>
  <conditionalFormatting sqref="D1648">
    <cfRule type="duplicateValues" dxfId="432" priority="1031" stopIfTrue="1"/>
  </conditionalFormatting>
  <conditionalFormatting sqref="D356">
    <cfRule type="duplicateValues" dxfId="431" priority="1030" stopIfTrue="1"/>
  </conditionalFormatting>
  <conditionalFormatting sqref="D2397">
    <cfRule type="duplicateValues" dxfId="430" priority="1029" stopIfTrue="1"/>
  </conditionalFormatting>
  <conditionalFormatting sqref="D1338">
    <cfRule type="duplicateValues" dxfId="429" priority="1028" stopIfTrue="1"/>
  </conditionalFormatting>
  <conditionalFormatting sqref="C844">
    <cfRule type="duplicateValues" dxfId="428" priority="1027" stopIfTrue="1"/>
  </conditionalFormatting>
  <conditionalFormatting sqref="B2779">
    <cfRule type="duplicateValues" dxfId="427" priority="1026" stopIfTrue="1"/>
  </conditionalFormatting>
  <conditionalFormatting sqref="B2780">
    <cfRule type="duplicateValues" dxfId="426" priority="1024" stopIfTrue="1"/>
  </conditionalFormatting>
  <conditionalFormatting sqref="F2779">
    <cfRule type="duplicateValues" dxfId="425" priority="1022" stopIfTrue="1"/>
  </conditionalFormatting>
  <conditionalFormatting sqref="B2781:B2784 B2786:B2794">
    <cfRule type="duplicateValues" dxfId="424" priority="1021" stopIfTrue="1"/>
  </conditionalFormatting>
  <conditionalFormatting sqref="D2782:D2786 D2790:D2795 D2788">
    <cfRule type="duplicateValues" dxfId="423" priority="1020" stopIfTrue="1"/>
  </conditionalFormatting>
  <conditionalFormatting sqref="D2797">
    <cfRule type="duplicateValues" dxfId="422" priority="1019" stopIfTrue="1"/>
  </conditionalFormatting>
  <conditionalFormatting sqref="D2798">
    <cfRule type="duplicateValues" dxfId="421" priority="1018" stopIfTrue="1"/>
  </conditionalFormatting>
  <conditionalFormatting sqref="D2799:D2800 D2803:D2805">
    <cfRule type="duplicateValues" dxfId="420" priority="1017" stopIfTrue="1"/>
  </conditionalFormatting>
  <conditionalFormatting sqref="D2789">
    <cfRule type="duplicateValues" dxfId="419" priority="1016" stopIfTrue="1"/>
  </conditionalFormatting>
  <conditionalFormatting sqref="D851">
    <cfRule type="duplicateValues" dxfId="418" priority="1015" stopIfTrue="1"/>
  </conditionalFormatting>
  <conditionalFormatting sqref="B2796:B2804">
    <cfRule type="duplicateValues" dxfId="417" priority="1014" stopIfTrue="1"/>
  </conditionalFormatting>
  <conditionalFormatting sqref="D2801">
    <cfRule type="duplicateValues" dxfId="416" priority="1013" stopIfTrue="1"/>
  </conditionalFormatting>
  <conditionalFormatting sqref="D2802">
    <cfRule type="duplicateValues" dxfId="415" priority="1012" stopIfTrue="1"/>
  </conditionalFormatting>
  <conditionalFormatting sqref="B2843 B2805:B2806 B2808:B2839">
    <cfRule type="duplicateValues" dxfId="414" priority="1011" stopIfTrue="1"/>
  </conditionalFormatting>
  <conditionalFormatting sqref="D2833:D2834">
    <cfRule type="duplicateValues" dxfId="413" priority="1010" stopIfTrue="1"/>
  </conditionalFormatting>
  <conditionalFormatting sqref="D2851">
    <cfRule type="duplicateValues" dxfId="412" priority="1008" stopIfTrue="1"/>
  </conditionalFormatting>
  <conditionalFormatting sqref="D2365">
    <cfRule type="duplicateValues" dxfId="411" priority="1007" stopIfTrue="1"/>
  </conditionalFormatting>
  <conditionalFormatting sqref="D251">
    <cfRule type="duplicateValues" dxfId="410" priority="1006" stopIfTrue="1"/>
  </conditionalFormatting>
  <conditionalFormatting sqref="D260">
    <cfRule type="duplicateValues" dxfId="409" priority="1005" stopIfTrue="1"/>
  </conditionalFormatting>
  <conditionalFormatting sqref="D2310">
    <cfRule type="duplicateValues" dxfId="408" priority="1004" stopIfTrue="1"/>
  </conditionalFormatting>
  <conditionalFormatting sqref="A2655">
    <cfRule type="duplicateValues" dxfId="407" priority="1003" stopIfTrue="1"/>
  </conditionalFormatting>
  <conditionalFormatting sqref="D1581:D1583">
    <cfRule type="duplicateValues" dxfId="406" priority="1002" stopIfTrue="1"/>
  </conditionalFormatting>
  <conditionalFormatting sqref="D1944">
    <cfRule type="duplicateValues" dxfId="405" priority="1001" stopIfTrue="1"/>
  </conditionalFormatting>
  <conditionalFormatting sqref="D2674">
    <cfRule type="duplicateValues" dxfId="404" priority="1000" stopIfTrue="1"/>
  </conditionalFormatting>
  <conditionalFormatting sqref="D2676">
    <cfRule type="duplicateValues" dxfId="403" priority="999" stopIfTrue="1"/>
  </conditionalFormatting>
  <conditionalFormatting sqref="D2677">
    <cfRule type="duplicateValues" dxfId="402" priority="998" stopIfTrue="1"/>
  </conditionalFormatting>
  <conditionalFormatting sqref="D2678">
    <cfRule type="duplicateValues" dxfId="401" priority="997" stopIfTrue="1"/>
  </conditionalFormatting>
  <conditionalFormatting sqref="D2679">
    <cfRule type="duplicateValues" dxfId="400" priority="996" stopIfTrue="1"/>
  </conditionalFormatting>
  <conditionalFormatting sqref="D2680">
    <cfRule type="duplicateValues" dxfId="399" priority="995" stopIfTrue="1"/>
  </conditionalFormatting>
  <conditionalFormatting sqref="D2491">
    <cfRule type="duplicateValues" dxfId="398" priority="991" stopIfTrue="1"/>
  </conditionalFormatting>
  <conditionalFormatting sqref="D2482">
    <cfRule type="duplicateValues" dxfId="397" priority="990" stopIfTrue="1"/>
  </conditionalFormatting>
  <conditionalFormatting sqref="D2483">
    <cfRule type="duplicateValues" dxfId="396" priority="989" stopIfTrue="1"/>
  </conditionalFormatting>
  <conditionalFormatting sqref="D942:D947">
    <cfRule type="duplicateValues" dxfId="395" priority="988" stopIfTrue="1"/>
  </conditionalFormatting>
  <conditionalFormatting sqref="D923:D924">
    <cfRule type="duplicateValues" dxfId="394" priority="984" stopIfTrue="1"/>
  </conditionalFormatting>
  <conditionalFormatting sqref="D925">
    <cfRule type="duplicateValues" dxfId="393" priority="983" stopIfTrue="1"/>
  </conditionalFormatting>
  <conditionalFormatting sqref="D926">
    <cfRule type="duplicateValues" dxfId="392" priority="982" stopIfTrue="1"/>
  </conditionalFormatting>
  <conditionalFormatting sqref="D867:D868">
    <cfRule type="duplicateValues" dxfId="391" priority="981" stopIfTrue="1"/>
  </conditionalFormatting>
  <conditionalFormatting sqref="C1104">
    <cfRule type="duplicateValues" dxfId="390" priority="980" stopIfTrue="1"/>
  </conditionalFormatting>
  <conditionalFormatting sqref="D602">
    <cfRule type="duplicateValues" dxfId="389" priority="978" stopIfTrue="1"/>
  </conditionalFormatting>
  <conditionalFormatting sqref="D603">
    <cfRule type="duplicateValues" dxfId="388" priority="977" stopIfTrue="1"/>
  </conditionalFormatting>
  <conditionalFormatting sqref="D604">
    <cfRule type="duplicateValues" dxfId="387" priority="976" stopIfTrue="1"/>
  </conditionalFormatting>
  <conditionalFormatting sqref="D646">
    <cfRule type="duplicateValues" dxfId="386" priority="975" stopIfTrue="1"/>
  </conditionalFormatting>
  <conditionalFormatting sqref="D577">
    <cfRule type="duplicateValues" dxfId="385" priority="974" stopIfTrue="1"/>
  </conditionalFormatting>
  <conditionalFormatting sqref="D374">
    <cfRule type="duplicateValues" dxfId="384" priority="973" stopIfTrue="1"/>
  </conditionalFormatting>
  <conditionalFormatting sqref="D667">
    <cfRule type="duplicateValues" dxfId="383" priority="971" stopIfTrue="1"/>
  </conditionalFormatting>
  <conditionalFormatting sqref="D1365">
    <cfRule type="duplicateValues" dxfId="382" priority="970" stopIfTrue="1"/>
  </conditionalFormatting>
  <conditionalFormatting sqref="D1476">
    <cfRule type="duplicateValues" dxfId="381" priority="969" stopIfTrue="1"/>
  </conditionalFormatting>
  <conditionalFormatting sqref="C2778:C2786 C2456 C1245:C1263 C254 C101 C95:C96 C2362:C2364 C107:C124 C258 C250 C79 C88 C71:C75 C1407:C1419 C836:C839 C396:C448 C1481:C1486 C2485 C847:C850 C1062:C1103 C2489:C2491 C2327:C2341 C2169:C2182 C2501 C600 C574:C576 C1907:C1927 C40:C44 C2573:C2574 C913:C917 C1274:C1310 C459:C461 C463:C517 C1428:C1429 C1446:C1475 C2000:C2009 C888 C997:C998 C1546:C1555 C1557:C1567 C2547:C2566 C2410:C2417 C1753:C1758 C217 C542:C559 C691:C693 C901:C902 C959:C978 C209:C215 C1900:C1905 C2406:C2408 C352:C355 C1234:C1243 C1653:C1670 C2862:C2872 C1267:C1272 C1431:C1434 C2568:C2571 C1807:C1815 C2 C2253:C2273 C1970:C1982 C1441:C1444 C2419:C2450 C1195:C1232 C2094:C2099 C1158:C1168 C1821 C876:C877 C1746:C1751 C1797:C1805 C645 C359:C373 C1586 C1571:C1574 C1591:C1631 C348:C350 C334:C337 C2205:C2227 C540 C200:C207 C1047:C1060 C1000:C1041 C2292:C2309 C666 C841:C843 C890:C899 C2011:C2027 C1111:C1156 C1649:C1651 C357 C2398:C2404 C2391:C2396 C845 C852:C866 C1421:C1426 C2184:C2203 C2275:C2290 C252 C2311:C2325 C1945:C1968 C2493:C2495 C2503:C2545 C983:C995 C930:C957 C869:C872 C1105:C1109 C605:C643 C1760:C1789 C587:C593 C647:C653 C578:C585 C375:C377 C655:C664 C668:C689 C1366:C1376 C1477:C1478 C1823:C1898 C884:C886 C180:C198 C173:C178 C126:C128 C130:C144 C2102:C2104 C1265 C2788:C2796 C1312:C1337 C1633:C1647 C2343:C2360 C1984:C1995 C1929:C1943 C242:C248 C1791:C1795 C562:C572 C1540:C1544 C1171:C1184 C1186:C1193 C2229:C2251 C2106:C2167 C2077:C2090 C263:C283 C2856:C2860 C980:C981 C223:C240 C832:C834 C2366:C2388 C1339:C1342 C1344:C1364 C696:C754 C1488:C1501 C1503:C1537 C2029:C2047 C2049:C2057 C522:C538 C285:C297 C299:C325 C756:C830 C1378:C1405 C2059:C2074 C1043:C1045 C147:C156 C158:C170">
    <cfRule type="duplicateValues" dxfId="380" priority="968" stopIfTrue="1"/>
  </conditionalFormatting>
  <conditionalFormatting sqref="D172">
    <cfRule type="duplicateValues" dxfId="379" priority="965" stopIfTrue="1"/>
  </conditionalFormatting>
  <conditionalFormatting sqref="D1264">
    <cfRule type="duplicateValues" dxfId="378" priority="963" stopIfTrue="1"/>
  </conditionalFormatting>
  <conditionalFormatting sqref="D1790">
    <cfRule type="duplicateValues" dxfId="377" priority="961" stopIfTrue="1"/>
  </conditionalFormatting>
  <conditionalFormatting sqref="A2318">
    <cfRule type="duplicateValues" dxfId="376" priority="960" stopIfTrue="1"/>
  </conditionalFormatting>
  <conditionalFormatting sqref="D261:D262">
    <cfRule type="duplicateValues" dxfId="375" priority="959" stopIfTrue="1"/>
  </conditionalFormatting>
  <conditionalFormatting sqref="D2342">
    <cfRule type="duplicateValues" dxfId="374" priority="958" stopIfTrue="1"/>
  </conditionalFormatting>
  <conditionalFormatting sqref="D2855">
    <cfRule type="duplicateValues" dxfId="373" priority="957" stopIfTrue="1"/>
  </conditionalFormatting>
  <conditionalFormatting sqref="D2631">
    <cfRule type="duplicateValues" dxfId="372" priority="956" stopIfTrue="1"/>
  </conditionalFormatting>
  <conditionalFormatting sqref="D2097">
    <cfRule type="duplicateValues" dxfId="371" priority="955" stopIfTrue="1"/>
  </conditionalFormatting>
  <conditionalFormatting sqref="D2098">
    <cfRule type="duplicateValues" dxfId="370" priority="954" stopIfTrue="1"/>
  </conditionalFormatting>
  <conditionalFormatting sqref="D2856:D2857">
    <cfRule type="duplicateValues" dxfId="369" priority="953" stopIfTrue="1"/>
  </conditionalFormatting>
  <conditionalFormatting sqref="D2856:D2860">
    <cfRule type="duplicateValues" dxfId="368" priority="952" stopIfTrue="1"/>
  </conditionalFormatting>
  <conditionalFormatting sqref="D177">
    <cfRule type="duplicateValues" dxfId="367" priority="950" stopIfTrue="1"/>
  </conditionalFormatting>
  <conditionalFormatting sqref="D1846">
    <cfRule type="duplicateValues" dxfId="366" priority="949" stopIfTrue="1"/>
  </conditionalFormatting>
  <conditionalFormatting sqref="C1846">
    <cfRule type="duplicateValues" dxfId="365" priority="948" stopIfTrue="1"/>
  </conditionalFormatting>
  <conditionalFormatting sqref="D2861:D2872">
    <cfRule type="duplicateValues" dxfId="364" priority="947" stopIfTrue="1"/>
  </conditionalFormatting>
  <conditionalFormatting sqref="D151:D156 D158">
    <cfRule type="duplicateValues" dxfId="363" priority="946" stopIfTrue="1"/>
  </conditionalFormatting>
  <conditionalFormatting sqref="D2766">
    <cfRule type="duplicateValues" dxfId="362" priority="945" stopIfTrue="1"/>
  </conditionalFormatting>
  <conditionalFormatting sqref="D2767">
    <cfRule type="duplicateValues" dxfId="361" priority="944" stopIfTrue="1"/>
  </conditionalFormatting>
  <conditionalFormatting sqref="D2407">
    <cfRule type="duplicateValues" dxfId="360" priority="943" stopIfTrue="1"/>
  </conditionalFormatting>
  <conditionalFormatting sqref="D2383">
    <cfRule type="duplicateValues" dxfId="359" priority="941" stopIfTrue="1"/>
  </conditionalFormatting>
  <conditionalFormatting sqref="D2387">
    <cfRule type="duplicateValues" dxfId="358" priority="937" stopIfTrue="1"/>
  </conditionalFormatting>
  <conditionalFormatting sqref="D2388:D2389">
    <cfRule type="duplicateValues" dxfId="357" priority="936" stopIfTrue="1"/>
  </conditionalFormatting>
  <conditionalFormatting sqref="D2391">
    <cfRule type="duplicateValues" dxfId="356" priority="935" stopIfTrue="1"/>
  </conditionalFormatting>
  <conditionalFormatting sqref="D1533">
    <cfRule type="duplicateValues" dxfId="355" priority="932" stopIfTrue="1"/>
  </conditionalFormatting>
  <conditionalFormatting sqref="A1533">
    <cfRule type="duplicateValues" dxfId="354" priority="931" stopIfTrue="1"/>
  </conditionalFormatting>
  <conditionalFormatting sqref="D158">
    <cfRule type="duplicateValues" dxfId="353" priority="930" stopIfTrue="1"/>
  </conditionalFormatting>
  <conditionalFormatting sqref="D2220">
    <cfRule type="duplicateValues" dxfId="352" priority="929" stopIfTrue="1"/>
  </conditionalFormatting>
  <conditionalFormatting sqref="D1722">
    <cfRule type="duplicateValues" dxfId="351" priority="928" stopIfTrue="1"/>
  </conditionalFormatting>
  <conditionalFormatting sqref="D2314">
    <cfRule type="duplicateValues" dxfId="350" priority="927" stopIfTrue="1"/>
  </conditionalFormatting>
  <conditionalFormatting sqref="D1516">
    <cfRule type="duplicateValues" dxfId="349" priority="926" stopIfTrue="1"/>
  </conditionalFormatting>
  <conditionalFormatting sqref="D2025">
    <cfRule type="duplicateValues" dxfId="348" priority="925" stopIfTrue="1"/>
  </conditionalFormatting>
  <conditionalFormatting sqref="D1508:D1510">
    <cfRule type="duplicateValues" dxfId="347" priority="924" stopIfTrue="1"/>
  </conditionalFormatting>
  <conditionalFormatting sqref="C2430">
    <cfRule type="duplicateValues" dxfId="346" priority="923" stopIfTrue="1"/>
  </conditionalFormatting>
  <conditionalFormatting sqref="D2430">
    <cfRule type="duplicateValues" dxfId="345" priority="922" stopIfTrue="1"/>
  </conditionalFormatting>
  <conditionalFormatting sqref="D1542">
    <cfRule type="duplicateValues" dxfId="344" priority="919" stopIfTrue="1"/>
  </conditionalFormatting>
  <conditionalFormatting sqref="D1545">
    <cfRule type="duplicateValues" dxfId="343" priority="918" stopIfTrue="1"/>
  </conditionalFormatting>
  <conditionalFormatting sqref="D2730:D2855">
    <cfRule type="duplicateValues" dxfId="342" priority="916" stopIfTrue="1"/>
  </conditionalFormatting>
  <conditionalFormatting sqref="D924">
    <cfRule type="duplicateValues" dxfId="341" priority="914" stopIfTrue="1"/>
  </conditionalFormatting>
  <conditionalFormatting sqref="D2353">
    <cfRule type="duplicateValues" dxfId="340" priority="913" stopIfTrue="1"/>
  </conditionalFormatting>
  <conditionalFormatting sqref="D2861">
    <cfRule type="duplicateValues" dxfId="339" priority="901" stopIfTrue="1"/>
  </conditionalFormatting>
  <conditionalFormatting sqref="D2862">
    <cfRule type="duplicateValues" dxfId="338" priority="900" stopIfTrue="1"/>
  </conditionalFormatting>
  <conditionalFormatting sqref="D150">
    <cfRule type="duplicateValues" dxfId="337" priority="899" stopIfTrue="1"/>
  </conditionalFormatting>
  <conditionalFormatting sqref="D279">
    <cfRule type="duplicateValues" dxfId="336" priority="898" stopIfTrue="1"/>
  </conditionalFormatting>
  <conditionalFormatting sqref="D272">
    <cfRule type="duplicateValues" dxfId="335" priority="897" stopIfTrue="1"/>
  </conditionalFormatting>
  <conditionalFormatting sqref="D2837">
    <cfRule type="duplicateValues" dxfId="334" priority="896" stopIfTrue="1"/>
  </conditionalFormatting>
  <conditionalFormatting sqref="D2838">
    <cfRule type="duplicateValues" dxfId="333" priority="895" stopIfTrue="1"/>
  </conditionalFormatting>
  <conditionalFormatting sqref="D2836">
    <cfRule type="duplicateValues" dxfId="332" priority="894" stopIfTrue="1"/>
  </conditionalFormatting>
  <conditionalFormatting sqref="D2873">
    <cfRule type="duplicateValues" dxfId="331" priority="882" stopIfTrue="1"/>
  </conditionalFormatting>
  <conditionalFormatting sqref="D1047">
    <cfRule type="duplicateValues" dxfId="330" priority="868" stopIfTrue="1"/>
  </conditionalFormatting>
  <conditionalFormatting sqref="D807">
    <cfRule type="duplicateValues" dxfId="329" priority="767" stopIfTrue="1"/>
  </conditionalFormatting>
  <conditionalFormatting sqref="D808">
    <cfRule type="duplicateValues" dxfId="328" priority="766" stopIfTrue="1"/>
  </conditionalFormatting>
  <conditionalFormatting sqref="D816">
    <cfRule type="duplicateValues" dxfId="327" priority="731" stopIfTrue="1"/>
  </conditionalFormatting>
  <conditionalFormatting sqref="D817">
    <cfRule type="duplicateValues" dxfId="326" priority="730" stopIfTrue="1"/>
  </conditionalFormatting>
  <conditionalFormatting sqref="D818">
    <cfRule type="duplicateValues" dxfId="325" priority="729" stopIfTrue="1"/>
  </conditionalFormatting>
  <conditionalFormatting sqref="D2595:D2596">
    <cfRule type="duplicateValues" dxfId="324" priority="716" stopIfTrue="1"/>
  </conditionalFormatting>
  <conditionalFormatting sqref="D2379">
    <cfRule type="duplicateValues" dxfId="323" priority="715" stopIfTrue="1"/>
  </conditionalFormatting>
  <conditionalFormatting sqref="D1501">
    <cfRule type="duplicateValues" dxfId="322" priority="714" stopIfTrue="1"/>
  </conditionalFormatting>
  <conditionalFormatting sqref="D2222">
    <cfRule type="duplicateValues" dxfId="321" priority="701" stopIfTrue="1"/>
  </conditionalFormatting>
  <conditionalFormatting sqref="D294">
    <cfRule type="duplicateValues" dxfId="320" priority="689" stopIfTrue="1"/>
  </conditionalFormatting>
  <conditionalFormatting sqref="D295">
    <cfRule type="duplicateValues" dxfId="319" priority="688" stopIfTrue="1"/>
  </conditionalFormatting>
  <conditionalFormatting sqref="C410">
    <cfRule type="duplicateValues" dxfId="318" priority="676" stopIfTrue="1"/>
  </conditionalFormatting>
  <conditionalFormatting sqref="D400">
    <cfRule type="duplicateValues" dxfId="317" priority="664" stopIfTrue="1"/>
  </conditionalFormatting>
  <conditionalFormatting sqref="D1038">
    <cfRule type="duplicateValues" dxfId="316" priority="639" stopIfTrue="1"/>
  </conditionalFormatting>
  <conditionalFormatting sqref="D1039">
    <cfRule type="duplicateValues" dxfId="315" priority="638" stopIfTrue="1"/>
  </conditionalFormatting>
  <conditionalFormatting sqref="D241">
    <cfRule type="duplicateValues" dxfId="314" priority="626" stopIfTrue="1"/>
  </conditionalFormatting>
  <conditionalFormatting sqref="D1421">
    <cfRule type="duplicateValues" dxfId="313" priority="625" stopIfTrue="1"/>
  </conditionalFormatting>
  <conditionalFormatting sqref="D1866">
    <cfRule type="duplicateValues" dxfId="312" priority="624" stopIfTrue="1"/>
  </conditionalFormatting>
  <conditionalFormatting sqref="D2393">
    <cfRule type="duplicateValues" dxfId="311" priority="623" stopIfTrue="1"/>
  </conditionalFormatting>
  <conditionalFormatting sqref="D1114:D1115">
    <cfRule type="duplicateValues" dxfId="310" priority="622" stopIfTrue="1"/>
  </conditionalFormatting>
  <conditionalFormatting sqref="D1116">
    <cfRule type="duplicateValues" dxfId="309" priority="621" stopIfTrue="1"/>
  </conditionalFormatting>
  <conditionalFormatting sqref="D2863:D2864">
    <cfRule type="duplicateValues" dxfId="308" priority="609" stopIfTrue="1"/>
  </conditionalFormatting>
  <conditionalFormatting sqref="D543">
    <cfRule type="duplicateValues" dxfId="307" priority="597" stopIfTrue="1"/>
  </conditionalFormatting>
  <conditionalFormatting sqref="D1478">
    <cfRule type="duplicateValues" dxfId="306" priority="596" stopIfTrue="1"/>
  </conditionalFormatting>
  <conditionalFormatting sqref="D2175">
    <cfRule type="duplicateValues" dxfId="305" priority="595" stopIfTrue="1"/>
  </conditionalFormatting>
  <conditionalFormatting sqref="D2198">
    <cfRule type="duplicateValues" dxfId="304" priority="594" stopIfTrue="1"/>
  </conditionalFormatting>
  <conditionalFormatting sqref="D1318">
    <cfRule type="duplicateValues" dxfId="303" priority="593" stopIfTrue="1"/>
  </conditionalFormatting>
  <conditionalFormatting sqref="D161">
    <cfRule type="duplicateValues" dxfId="302" priority="592" stopIfTrue="1"/>
  </conditionalFormatting>
  <conditionalFormatting sqref="D165">
    <cfRule type="duplicateValues" dxfId="301" priority="591" stopIfTrue="1"/>
  </conditionalFormatting>
  <conditionalFormatting sqref="D706">
    <cfRule type="duplicateValues" dxfId="300" priority="510" stopIfTrue="1"/>
  </conditionalFormatting>
  <conditionalFormatting sqref="D707">
    <cfRule type="duplicateValues" dxfId="299" priority="509" stopIfTrue="1"/>
  </conditionalFormatting>
  <conditionalFormatting sqref="D262">
    <cfRule type="duplicateValues" dxfId="298" priority="508" stopIfTrue="1"/>
  </conditionalFormatting>
  <conditionalFormatting sqref="D1891">
    <cfRule type="duplicateValues" dxfId="297" priority="505" stopIfTrue="1"/>
  </conditionalFormatting>
  <conditionalFormatting sqref="D1509:D1510">
    <cfRule type="duplicateValues" dxfId="296" priority="504" stopIfTrue="1"/>
  </conditionalFormatting>
  <conditionalFormatting sqref="D1506">
    <cfRule type="duplicateValues" dxfId="295" priority="503" stopIfTrue="1"/>
  </conditionalFormatting>
  <conditionalFormatting sqref="D1510">
    <cfRule type="duplicateValues" dxfId="294" priority="502" stopIfTrue="1"/>
  </conditionalFormatting>
  <conditionalFormatting sqref="D2436">
    <cfRule type="duplicateValues" dxfId="293" priority="500" stopIfTrue="1"/>
  </conditionalFormatting>
  <conditionalFormatting sqref="D2437">
    <cfRule type="duplicateValues" dxfId="292" priority="499" stopIfTrue="1"/>
  </conditionalFormatting>
  <conditionalFormatting sqref="D2440">
    <cfRule type="duplicateValues" dxfId="291" priority="476" stopIfTrue="1"/>
  </conditionalFormatting>
  <conditionalFormatting sqref="C146">
    <cfRule type="duplicateValues" dxfId="290" priority="475" stopIfTrue="1"/>
  </conditionalFormatting>
  <conditionalFormatting sqref="D146">
    <cfRule type="duplicateValues" dxfId="289" priority="474" stopIfTrue="1"/>
  </conditionalFormatting>
  <conditionalFormatting sqref="D1170">
    <cfRule type="duplicateValues" dxfId="288" priority="473" stopIfTrue="1"/>
  </conditionalFormatting>
  <conditionalFormatting sqref="D1734">
    <cfRule type="duplicateValues" dxfId="287" priority="471" stopIfTrue="1"/>
  </conditionalFormatting>
  <conditionalFormatting sqref="D2657">
    <cfRule type="duplicateValues" dxfId="286" priority="426" stopIfTrue="1"/>
  </conditionalFormatting>
  <conditionalFormatting sqref="D741">
    <cfRule type="duplicateValues" dxfId="285" priority="425" stopIfTrue="1"/>
  </conditionalFormatting>
  <conditionalFormatting sqref="C2041">
    <cfRule type="duplicateValues" dxfId="284" priority="412" stopIfTrue="1"/>
  </conditionalFormatting>
  <conditionalFormatting sqref="D2046">
    <cfRule type="duplicateValues" dxfId="283" priority="355" stopIfTrue="1"/>
  </conditionalFormatting>
  <conditionalFormatting sqref="D2047">
    <cfRule type="duplicateValues" dxfId="282" priority="353" stopIfTrue="1"/>
  </conditionalFormatting>
  <conditionalFormatting sqref="D474">
    <cfRule type="duplicateValues" dxfId="281" priority="351" stopIfTrue="1"/>
  </conditionalFormatting>
  <conditionalFormatting sqref="D475">
    <cfRule type="duplicateValues" dxfId="280" priority="338" stopIfTrue="1"/>
  </conditionalFormatting>
  <conditionalFormatting sqref="D1611">
    <cfRule type="duplicateValues" dxfId="279" priority="337" stopIfTrue="1"/>
  </conditionalFormatting>
  <conditionalFormatting sqref="D92">
    <cfRule type="duplicateValues" dxfId="278" priority="335" stopIfTrue="1"/>
  </conditionalFormatting>
  <conditionalFormatting sqref="D87">
    <cfRule type="duplicateValues" dxfId="277" priority="322" stopIfTrue="1"/>
  </conditionalFormatting>
  <conditionalFormatting sqref="D2470:D2471">
    <cfRule type="duplicateValues" dxfId="276" priority="309" stopIfTrue="1"/>
  </conditionalFormatting>
  <conditionalFormatting sqref="D2403">
    <cfRule type="duplicateValues" dxfId="275" priority="296" stopIfTrue="1"/>
  </conditionalFormatting>
  <conditionalFormatting sqref="D2404">
    <cfRule type="duplicateValues" dxfId="274" priority="293" stopIfTrue="1"/>
  </conditionalFormatting>
  <conditionalFormatting sqref="D2471">
    <cfRule type="duplicateValues" dxfId="273" priority="291" stopIfTrue="1"/>
  </conditionalFormatting>
  <conditionalFormatting sqref="D2321">
    <cfRule type="duplicateValues" dxfId="272" priority="289" stopIfTrue="1"/>
  </conditionalFormatting>
  <conditionalFormatting sqref="D1115">
    <cfRule type="duplicateValues" dxfId="271" priority="287" stopIfTrue="1"/>
  </conditionalFormatting>
  <conditionalFormatting sqref="D1483:D1485">
    <cfRule type="duplicateValues" dxfId="270" priority="263" stopIfTrue="1"/>
  </conditionalFormatting>
  <conditionalFormatting sqref="D1484:D1485">
    <cfRule type="duplicateValues" dxfId="269" priority="261" stopIfTrue="1"/>
  </conditionalFormatting>
  <conditionalFormatting sqref="C1490">
    <cfRule type="duplicateValues" dxfId="268" priority="248" stopIfTrue="1"/>
  </conditionalFormatting>
  <conditionalFormatting sqref="D1490">
    <cfRule type="duplicateValues" dxfId="267" priority="247" stopIfTrue="1"/>
  </conditionalFormatting>
  <conditionalFormatting sqref="D1485">
    <cfRule type="duplicateValues" dxfId="266" priority="246" stopIfTrue="1"/>
  </conditionalFormatting>
  <conditionalFormatting sqref="D1056">
    <cfRule type="duplicateValues" dxfId="265" priority="244" stopIfTrue="1"/>
  </conditionalFormatting>
  <conditionalFormatting sqref="D2673">
    <cfRule type="duplicateValues" dxfId="264" priority="241" stopIfTrue="1"/>
  </conditionalFormatting>
  <conditionalFormatting sqref="D298">
    <cfRule type="duplicateValues" dxfId="263" priority="229" stopIfTrue="1"/>
  </conditionalFormatting>
  <conditionalFormatting sqref="C370">
    <cfRule type="duplicateValues" dxfId="262" priority="213" stopIfTrue="1"/>
  </conditionalFormatting>
  <conditionalFormatting sqref="D2702">
    <cfRule type="duplicateValues" dxfId="261" priority="212" stopIfTrue="1"/>
  </conditionalFormatting>
  <conditionalFormatting sqref="D2703">
    <cfRule type="duplicateValues" dxfId="260" priority="210" stopIfTrue="1"/>
  </conditionalFormatting>
  <conditionalFormatting sqref="D2704">
    <cfRule type="duplicateValues" dxfId="259" priority="208" stopIfTrue="1"/>
  </conditionalFormatting>
  <conditionalFormatting sqref="D2705">
    <cfRule type="duplicateValues" dxfId="258" priority="206" stopIfTrue="1"/>
  </conditionalFormatting>
  <conditionalFormatting sqref="D2706">
    <cfRule type="duplicateValues" dxfId="257" priority="205" stopIfTrue="1"/>
  </conditionalFormatting>
  <conditionalFormatting sqref="D2707">
    <cfRule type="duplicateValues" dxfId="256" priority="203" stopIfTrue="1"/>
  </conditionalFormatting>
  <conditionalFormatting sqref="D2708">
    <cfRule type="duplicateValues" dxfId="255" priority="201" stopIfTrue="1"/>
  </conditionalFormatting>
  <conditionalFormatting sqref="D2709">
    <cfRule type="duplicateValues" dxfId="254" priority="199" stopIfTrue="1"/>
  </conditionalFormatting>
  <conditionalFormatting sqref="D2710">
    <cfRule type="duplicateValues" dxfId="253" priority="197" stopIfTrue="1"/>
  </conditionalFormatting>
  <conditionalFormatting sqref="D2711">
    <cfRule type="duplicateValues" dxfId="252" priority="195" stopIfTrue="1"/>
  </conditionalFormatting>
  <conditionalFormatting sqref="D2716">
    <cfRule type="duplicateValues" dxfId="251" priority="149" stopIfTrue="1"/>
  </conditionalFormatting>
  <conditionalFormatting sqref="C2716">
    <cfRule type="duplicateValues" dxfId="250" priority="148" stopIfTrue="1"/>
  </conditionalFormatting>
  <conditionalFormatting sqref="D2717:D2726">
    <cfRule type="duplicateValues" dxfId="249" priority="133" stopIfTrue="1"/>
  </conditionalFormatting>
  <conditionalFormatting sqref="C2717:C2726">
    <cfRule type="duplicateValues" dxfId="248" priority="132" stopIfTrue="1"/>
  </conditionalFormatting>
  <conditionalFormatting sqref="D1740">
    <cfRule type="duplicateValues" dxfId="247" priority="95" stopIfTrue="1"/>
  </conditionalFormatting>
  <conditionalFormatting sqref="D682">
    <cfRule type="duplicateValues" dxfId="246" priority="91" stopIfTrue="1"/>
  </conditionalFormatting>
  <conditionalFormatting sqref="D684">
    <cfRule type="duplicateValues" dxfId="245" priority="78" stopIfTrue="1"/>
  </conditionalFormatting>
  <conditionalFormatting sqref="D689">
    <cfRule type="duplicateValues" dxfId="244" priority="76" stopIfTrue="1"/>
  </conditionalFormatting>
  <conditionalFormatting sqref="D1711:D1714">
    <cfRule type="duplicateValues" dxfId="243" priority="6788" stopIfTrue="1"/>
  </conditionalFormatting>
  <conditionalFormatting sqref="A615">
    <cfRule type="duplicateValues" dxfId="242" priority="74" stopIfTrue="1"/>
  </conditionalFormatting>
  <conditionalFormatting sqref="C2874:C2875">
    <cfRule type="duplicateValues" dxfId="241" priority="56" stopIfTrue="1"/>
  </conditionalFormatting>
  <conditionalFormatting sqref="C2876">
    <cfRule type="duplicateValues" dxfId="240" priority="55" stopIfTrue="1"/>
  </conditionalFormatting>
  <conditionalFormatting sqref="D2880">
    <cfRule type="duplicateValues" dxfId="239" priority="28" stopIfTrue="1"/>
  </conditionalFormatting>
  <conditionalFormatting sqref="C2896:C65651 C2761:C2769 C2441 C1242:C1260 C252 C101 C95:C96 C2352:C2354 C107:C124 C255 C248 C79 C88 C71:C75 C833:C836 C158:C169 C1478:C1480 C2467 C844:C847 C1059:C1098 C2473:C2475 C2316:C2331 C2158:C2171 C2218:C2240 C2486 C597 C571:C573 C1814:C1887 C1896:C1916 C40:C44 C2558:C2559 C910:C914 C1271:C1307 C456:C458 C460:C514 C1425:C1426 C1443:C1472 C1989:C1998 C885 C994:C995 C1539:C1548 C1550:C1560 C2532:C2551 C2398:C2407 C1744:C1749 C215 C539:C556 C687:C690 C898:C899 C955:C975 C208:C213 C1889:C1894 C2394:C2396 C349:C352 C1231:C1240 C1644:C1663 C2840:C2843 C1264:C1269 C1428:C1431 C2553:C2556 C1798:C1806 C1:C2 C1959:C1970 C1438:C1441 C2409:C2435 C1192:C1229 C2082:C2087 C1155:C1165 C1812 C519:C534 C873:C874 C2018:C2038 C1735:C1742 C1788:C1796 C642 C356:C370 C1579 C1564:C1567 C1584:C1624 C345:C347 C331:C334 C2194:C2216 C199:C206 C1047:C1057 C997:C1038 C2282:C2299 C663 C838:C840 C887:C896 C2000:C2016 C1108:C1153 C1640:C1642 C354 C391:C392 C2380:C2385 C842 C849:C863 C1418:C1423 C2173:C2192 C693:C751 C250 C2301:C2314 C1934:C1957 C2477:C2480 C2488:C2530 C980:C992 C927:C953 C866:C869 C1102:C1106 C602:C640 C1751:C1780 C584:C590 C644:C650 C575:C582 C372:C374 C652:C661 C665:C685 C1363:C1373 C1474:C1475 C1482:C1523 C881:C883 C179:C197 C172:C177 C126:C128 C130:C144 C2090:C2093 C1262 C2771:C2779 C1309:C1334 C1626:C1638 C2333:C2350 C1972:C1984 C1918:C1932 C240:C246 C1782:C1786 C559:C569 C1533:C1537 C1167:C1181 C1183:C1190 C2242:C2260 C2095:C2156 C2391:C2392 C260:C280 C2835:C2838 C977:C978 C221:C238 C753:C830 C2356:C2378 C1336:C1339 C1341:C1361 C2262:C2269 C2271:C2280 C2040:C2047 C2077:C2079 C536:C537 C282:C297 C299:C322 C1375:C1405 C1407:C1416 C2845:C2873 C2049:C2074 C1040:C1045 C146:C156 C395:C445 C2387:C2389 C2877:C2878 C2880">
    <cfRule type="duplicateValues" dxfId="238" priority="8700" stopIfTrue="1"/>
  </conditionalFormatting>
  <conditionalFormatting sqref="C2877:C2878">
    <cfRule type="duplicateValues" dxfId="237" priority="9551" stopIfTrue="1"/>
  </conditionalFormatting>
  <conditionalFormatting sqref="D2877:D2878">
    <cfRule type="duplicateValues" dxfId="236" priority="9552" stopIfTrue="1"/>
  </conditionalFormatting>
  <conditionalFormatting sqref="D16:D18">
    <cfRule type="duplicateValues" dxfId="235" priority="1" stopIfTrue="1"/>
  </conditionalFormatting>
  <pageMargins left="0.78740157499999996" right="0.78740157499999996" top="0.984251969" bottom="0.984251969" header="0.49212598499999999" footer="0.49212598499999999"/>
  <pageSetup paperSize="9" orientation="portrait" horizontalDpi="4294967293" verticalDpi="300" r:id="rId2"/>
  <headerFooter alignWithMargins="0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indexed="44"/>
  </sheetPr>
  <dimension ref="A1:I114"/>
  <sheetViews>
    <sheetView zoomScaleNormal="100" workbookViewId="0">
      <pane xSplit="1" ySplit="3" topLeftCell="B81" activePane="bottomRight" state="frozen"/>
      <selection pane="topRight" activeCell="B1" sqref="B1"/>
      <selection pane="bottomLeft" activeCell="A4" sqref="A4"/>
      <selection pane="bottomRight" activeCell="B9" sqref="B9"/>
    </sheetView>
  </sheetViews>
  <sheetFormatPr defaultRowHeight="12.75"/>
  <cols>
    <col min="2" max="2" width="16.42578125" bestFit="1" customWidth="1"/>
    <col min="3" max="3" width="11.85546875" bestFit="1" customWidth="1"/>
    <col min="5" max="5" width="13.28515625" bestFit="1" customWidth="1"/>
    <col min="6" max="6" width="2.7109375" bestFit="1" customWidth="1"/>
    <col min="7" max="7" width="54" bestFit="1" customWidth="1"/>
    <col min="9" max="9" width="36.28515625" bestFit="1" customWidth="1"/>
  </cols>
  <sheetData>
    <row r="1" spans="1:9" ht="13.5" thickBot="1"/>
    <row r="2" spans="1:9" ht="17.25" thickTop="1" thickBot="1">
      <c r="B2" s="711">
        <f ca="1">TODAY()</f>
        <v>44159</v>
      </c>
      <c r="C2" s="712"/>
      <c r="D2" s="712"/>
      <c r="E2" s="712"/>
      <c r="F2" s="712"/>
      <c r="G2" s="713"/>
    </row>
    <row r="3" spans="1:9" ht="13.5" thickTop="1"/>
    <row r="4" spans="1:9">
      <c r="B4" s="710" t="s">
        <v>1782</v>
      </c>
      <c r="C4" s="710"/>
      <c r="D4" s="710"/>
      <c r="E4" s="710"/>
      <c r="F4" s="710"/>
      <c r="G4" s="710"/>
    </row>
    <row r="5" spans="1:9">
      <c r="B5" s="710"/>
      <c r="C5" s="710"/>
      <c r="D5" s="710"/>
      <c r="E5" s="710"/>
      <c r="F5" s="710"/>
      <c r="G5" s="710"/>
    </row>
    <row r="6" spans="1:9" ht="13.5" thickBot="1">
      <c r="A6" s="21"/>
      <c r="B6" s="21"/>
      <c r="C6" s="21"/>
      <c r="D6" s="21"/>
      <c r="E6" s="21"/>
      <c r="F6" s="21"/>
      <c r="G6" s="21"/>
    </row>
    <row r="7" spans="1:9" ht="14.25" thickTop="1" thickBot="1">
      <c r="A7" s="21"/>
      <c r="B7" s="708" t="s">
        <v>1779</v>
      </c>
      <c r="C7" s="709"/>
      <c r="D7" s="709"/>
      <c r="E7" s="714" t="s">
        <v>1778</v>
      </c>
      <c r="F7" s="714"/>
      <c r="G7" s="27" t="str">
        <f ca="1">IF(WEEKDAY(B2,2)=1,"HOJE","SEGUNDA-FEIRA")</f>
        <v>SEGUNDA-FEIRA</v>
      </c>
    </row>
    <row r="8" spans="1:9" ht="14.25" thickTop="1" thickBot="1">
      <c r="A8" s="21"/>
      <c r="B8" s="13" t="s">
        <v>812</v>
      </c>
      <c r="C8" s="13" t="s">
        <v>250</v>
      </c>
      <c r="D8" s="13" t="s">
        <v>435</v>
      </c>
      <c r="E8" s="13" t="s">
        <v>1178</v>
      </c>
      <c r="F8" s="13" t="s">
        <v>1802</v>
      </c>
      <c r="G8" s="13" t="s">
        <v>370</v>
      </c>
    </row>
    <row r="9" spans="1:9" ht="14.25" thickTop="1" thickBot="1">
      <c r="A9" s="21"/>
      <c r="B9" s="14" t="e">
        <f>VLOOKUP(G9,'GAL-CUB'!$A:$A,2,FALSE)</f>
        <v>#N/A</v>
      </c>
      <c r="C9" s="14" t="e">
        <f>VLOOKUP(G9,'GAL-CUB'!$A:$B,3,FALSE)</f>
        <v>#N/A</v>
      </c>
      <c r="D9" s="14" t="e">
        <f>VLOOKUP(G9,'GAL-CUB'!$A:$F,8,FALSE)</f>
        <v>#N/A</v>
      </c>
      <c r="E9" s="14" t="str">
        <f>IFERROR(VLOOKUP(G9,'GAL-CUB'!$A:$D,4,FALSE),IFERROR(VLOOKUP(G9,ESCOLTAS!$A:$F,6,FALSE),VLOOKUP(G9,SAÍDAS!$A:$B,2,FALSE)))</f>
        <v xml:space="preserve">UP </v>
      </c>
      <c r="F9" s="102">
        <v>1</v>
      </c>
      <c r="G9" s="15" t="s">
        <v>1644</v>
      </c>
    </row>
    <row r="10" spans="1:9" ht="14.25" thickTop="1" thickBot="1">
      <c r="A10" s="21"/>
      <c r="B10" s="14" t="e">
        <f>VLOOKUP(G10,'GAL-CUB'!$A:$A,2,FALSE)</f>
        <v>#N/A</v>
      </c>
      <c r="C10" s="14" t="e">
        <f>VLOOKUP(G10,'GAL-CUB'!$A:$B,3,FALSE)</f>
        <v>#N/A</v>
      </c>
      <c r="D10" s="14" t="e">
        <f>VLOOKUP(G10,'GAL-CUB'!$A:$H,7,FALSE)</f>
        <v>#N/A</v>
      </c>
      <c r="E10" s="102" t="e">
        <f>IFERROR(VLOOKUP(G10,'GAL-CUB'!$A:$D,4,FALSE),IFERROR(VLOOKUP(G10,ESCOLTAS!$A:$F,6,FALSE),VLOOKUP(G10,SAÍDAS!$A:$B,2,FALSE)))</f>
        <v>#N/A</v>
      </c>
      <c r="F10" s="102">
        <v>2</v>
      </c>
      <c r="G10" s="15" t="s">
        <v>1904</v>
      </c>
    </row>
    <row r="11" spans="1:9" ht="14.25" thickTop="1" thickBot="1">
      <c r="A11" s="21"/>
      <c r="B11" s="14" t="e">
        <f>VLOOKUP(G11,'GAL-CUB'!$A:$A,2,FALSE)</f>
        <v>#N/A</v>
      </c>
      <c r="C11" s="14" t="e">
        <f>VLOOKUP(G11,'GAL-CUB'!$A:$B,3,FALSE)</f>
        <v>#N/A</v>
      </c>
      <c r="D11" s="14" t="e">
        <f>VLOOKUP(G11,'GAL-CUB'!$A:$H,7,FALSE)</f>
        <v>#N/A</v>
      </c>
      <c r="E11" s="14" t="e">
        <f>IFERROR(VLOOKUP(G11,'GAL-CUB'!$A:$D,4,FALSE),IFERROR(VLOOKUP(G11,ESCOLTAS!$A:$F,6,FALSE),VLOOKUP(G11,SAÍDAS!$A:$B,2,FALSE)))</f>
        <v>#N/A</v>
      </c>
      <c r="F11" s="102">
        <v>3</v>
      </c>
      <c r="G11" s="15" t="s">
        <v>1813</v>
      </c>
    </row>
    <row r="12" spans="1:9" ht="14.25" thickTop="1" thickBot="1">
      <c r="A12" s="21"/>
      <c r="B12" s="14" t="e">
        <f>VLOOKUP(G12,'GAL-CUB'!$A:$A,2,FALSE)</f>
        <v>#N/A</v>
      </c>
      <c r="C12" s="14" t="e">
        <f>VLOOKUP(G12,'GAL-CUB'!$A:$B,3,FALSE)</f>
        <v>#N/A</v>
      </c>
      <c r="D12" s="14" t="e">
        <f>VLOOKUP(G12,'GAL-CUB'!$A:$H,7,FALSE)</f>
        <v>#N/A</v>
      </c>
      <c r="E12" s="14" t="e">
        <f>IFERROR(VLOOKUP(G12,'GAL-CUB'!$A:$D,4,FALSE),IFERROR(VLOOKUP(G12,ESCOLTAS!$A:$F,6,FALSE),VLOOKUP(G12,SAÍDAS!$A:$B,2,FALSE)))</f>
        <v>#N/A</v>
      </c>
      <c r="F12" s="102">
        <v>4</v>
      </c>
      <c r="G12" s="108" t="s">
        <v>1796</v>
      </c>
    </row>
    <row r="13" spans="1:9" ht="14.25" thickTop="1" thickBot="1">
      <c r="A13" s="21"/>
      <c r="B13" s="14" t="e">
        <f>VLOOKUP(G13,'GAL-CUB'!$A:$A,2,FALSE)</f>
        <v>#N/A</v>
      </c>
      <c r="C13" s="14" t="e">
        <f>VLOOKUP(G13,'GAL-CUB'!$A:$B,3,FALSE)</f>
        <v>#N/A</v>
      </c>
      <c r="D13" s="14" t="e">
        <f>VLOOKUP(G13,'GAL-CUB'!$A:$H,7,FALSE)</f>
        <v>#N/A</v>
      </c>
      <c r="E13" s="14" t="e">
        <f>IFERROR(VLOOKUP(G13,'GAL-CUB'!$A:$D,4,FALSE),IFERROR(VLOOKUP(G13,ESCOLTAS!$A:$F,6,FALSE),VLOOKUP(G13,SAÍDAS!$A:$B,2,FALSE)))</f>
        <v>#N/A</v>
      </c>
      <c r="F13" s="102">
        <v>5</v>
      </c>
      <c r="G13" s="53" t="s">
        <v>2077</v>
      </c>
    </row>
    <row r="14" spans="1:9" ht="14.25" thickTop="1" thickBot="1">
      <c r="A14" s="21"/>
      <c r="B14" s="14" t="e">
        <f>VLOOKUP(G14,'GAL-CUB'!$A:$A,2,FALSE)</f>
        <v>#N/A</v>
      </c>
      <c r="C14" s="14" t="e">
        <f>VLOOKUP(G14,'GAL-CUB'!$A:$B,3,FALSE)</f>
        <v>#N/A</v>
      </c>
      <c r="D14" s="14" t="e">
        <f>VLOOKUP(G14,'GAL-CUB'!$A:$H,7,FALSE)</f>
        <v>#N/A</v>
      </c>
      <c r="E14" s="14" t="str">
        <f>IFERROR(VLOOKUP(G14,'GAL-CUB'!$A:$D,4,FALSE),IFERROR(VLOOKUP(G14,ESCOLTAS!$A:$F,6,FALSE),VLOOKUP(G14,SAÍDAS!$A:$B,2,FALSE)))</f>
        <v>CRAPG</v>
      </c>
      <c r="F14" s="102">
        <v>6</v>
      </c>
      <c r="G14" s="16" t="s">
        <v>1629</v>
      </c>
    </row>
    <row r="15" spans="1:9" ht="14.25" thickTop="1" thickBot="1">
      <c r="A15" s="21"/>
      <c r="B15" s="14" t="e">
        <f>VLOOKUP(G15,'GAL-CUB'!$A:$A,2,FALSE)</f>
        <v>#N/A</v>
      </c>
      <c r="C15" s="14" t="e">
        <f>VLOOKUP(G15,'GAL-CUB'!$A:$B,3,FALSE)</f>
        <v>#N/A</v>
      </c>
      <c r="D15" s="14" t="e">
        <f>VLOOKUP(G15,'GAL-CUB'!$A:$H,7,FALSE)</f>
        <v>#N/A</v>
      </c>
      <c r="E15" s="14" t="str">
        <f>IFERROR(VLOOKUP(G15,'GAL-CUB'!$A:$D,4,FALSE),IFERROR(VLOOKUP(G15,ESCOLTAS!$A:$F,6,FALSE),VLOOKUP(G15,SAÍDAS!$A:$B,2,FALSE)))</f>
        <v>CRAPG</v>
      </c>
      <c r="F15" s="102">
        <v>7</v>
      </c>
      <c r="G15" s="16" t="s">
        <v>1807</v>
      </c>
    </row>
    <row r="16" spans="1:9" ht="14.25" thickTop="1" thickBot="1">
      <c r="A16" s="21"/>
      <c r="B16" s="14" t="e">
        <f>VLOOKUP(G16,'GAL-CUB'!$A:$A,2,FALSE)</f>
        <v>#N/A</v>
      </c>
      <c r="C16" s="14" t="e">
        <f>VLOOKUP(G16,'GAL-CUB'!$A:$B,3,FALSE)</f>
        <v>#N/A</v>
      </c>
      <c r="D16" s="14" t="e">
        <f>VLOOKUP(G16,'GAL-CUB'!$A:$H,7,FALSE)</f>
        <v>#N/A</v>
      </c>
      <c r="E16" s="14" t="e">
        <f>IFERROR(VLOOKUP(G16,'GAL-CUB'!$A:$D,4,FALSE),IFERROR(VLOOKUP(G16,ESCOLTAS!$A:$F,6,FALSE),VLOOKUP(G16,SAÍDAS!$A:$B,2,FALSE)))</f>
        <v>#N/A</v>
      </c>
      <c r="F16" s="102">
        <v>8</v>
      </c>
      <c r="G16" s="16" t="s">
        <v>1621</v>
      </c>
    </row>
    <row r="17" spans="1:9" ht="14.25" thickTop="1" thickBot="1">
      <c r="A17" s="21"/>
      <c r="B17" s="14" t="e">
        <f>VLOOKUP(G17,'GAL-CUB'!$A:$A,2,FALSE)</f>
        <v>#N/A</v>
      </c>
      <c r="C17" s="14" t="e">
        <f>VLOOKUP(G17,'GAL-CUB'!$A:$B,3,FALSE)</f>
        <v>#N/A</v>
      </c>
      <c r="D17" s="14" t="e">
        <f>VLOOKUP(G17,'GAL-CUB'!$A:$H,7,FALSE)</f>
        <v>#N/A</v>
      </c>
      <c r="E17" s="14" t="e">
        <f>IFERROR(VLOOKUP(G17,'GAL-CUB'!$A:$D,4,FALSE),IFERROR(VLOOKUP(G17,ESCOLTAS!$A:$F,6,FALSE),VLOOKUP(G17,SAÍDAS!$A:$B,2,FALSE)))</f>
        <v>#N/A</v>
      </c>
      <c r="F17" s="102">
        <v>9</v>
      </c>
      <c r="G17" s="15" t="s">
        <v>1820</v>
      </c>
    </row>
    <row r="18" spans="1:9" ht="14.25" thickTop="1" thickBot="1">
      <c r="A18" s="21"/>
      <c r="B18" s="14" t="e">
        <f>VLOOKUP(G18,'GAL-CUB'!$A:$A,2,FALSE)</f>
        <v>#N/A</v>
      </c>
      <c r="C18" s="14" t="e">
        <f>VLOOKUP(G18,'GAL-CUB'!$A:$B,3,FALSE)</f>
        <v>#N/A</v>
      </c>
      <c r="D18" s="14" t="e">
        <f>VLOOKUP(G18,'GAL-CUB'!$A:$H,7,FALSE)</f>
        <v>#N/A</v>
      </c>
      <c r="E18" s="14" t="e">
        <f>IFERROR(VLOOKUP(G18,'GAL-CUB'!$A:$D,4,FALSE),IFERROR(VLOOKUP(G18,ESCOLTAS!$A:$F,6,FALSE),VLOOKUP(G18,SAÍDAS!$A:$B,2,FALSE)))</f>
        <v>#N/A</v>
      </c>
      <c r="F18" s="102">
        <v>10</v>
      </c>
      <c r="G18" s="16" t="s">
        <v>1637</v>
      </c>
    </row>
    <row r="19" spans="1:9" ht="14.25" thickTop="1" thickBot="1">
      <c r="A19" s="21"/>
      <c r="B19" s="14" t="e">
        <f>VLOOKUP(G19,'GAL-CUB'!$A:$A,2,FALSE)</f>
        <v>#N/A</v>
      </c>
      <c r="C19" s="14" t="e">
        <f>VLOOKUP(G19,'GAL-CUB'!$A:$B,3,FALSE)</f>
        <v>#N/A</v>
      </c>
      <c r="D19" s="14" t="e">
        <f>VLOOKUP(G19,'GAL-CUB'!$A:$H,7,FALSE)</f>
        <v>#N/A</v>
      </c>
      <c r="E19" s="14" t="e">
        <f>IFERROR(VLOOKUP(G19,'GAL-CUB'!$A:$D,4,FALSE),IFERROR(VLOOKUP(G19,ESCOLTAS!$A:$F,6,FALSE),VLOOKUP(G19,SAÍDAS!$A:$B,2,FALSE)))</f>
        <v>#N/A</v>
      </c>
      <c r="F19" s="102">
        <v>11</v>
      </c>
      <c r="G19" s="16" t="s">
        <v>294</v>
      </c>
    </row>
    <row r="20" spans="1:9" ht="14.25" thickTop="1" thickBot="1">
      <c r="A20" s="21"/>
      <c r="B20" s="14" t="e">
        <f>VLOOKUP(G20,'GAL-CUB'!$A:$A,2,FALSE)</f>
        <v>#N/A</v>
      </c>
      <c r="C20" s="14" t="e">
        <f>VLOOKUP(G20,'GAL-CUB'!$A:$B,3,FALSE)</f>
        <v>#N/A</v>
      </c>
      <c r="D20" s="14" t="e">
        <f>VLOOKUP(G20,'GAL-CUB'!$A:$H,7,FALSE)</f>
        <v>#N/A</v>
      </c>
      <c r="E20" s="14" t="str">
        <f>IFERROR(VLOOKUP(G20,'GAL-CUB'!$A:$D,4,FALSE),IFERROR(VLOOKUP(G20,ESCOLTAS!$A:$F,6,FALSE),VLOOKUP(G20,SAÍDAS!$A:$B,2,FALSE)))</f>
        <v>CRAPG</v>
      </c>
      <c r="F20" s="102">
        <v>12</v>
      </c>
      <c r="G20" s="15" t="s">
        <v>883</v>
      </c>
    </row>
    <row r="21" spans="1:9" ht="14.25" thickTop="1" thickBot="1"/>
    <row r="22" spans="1:9" ht="14.25" thickTop="1" thickBot="1">
      <c r="B22" s="708" t="s">
        <v>2096</v>
      </c>
      <c r="C22" s="709"/>
      <c r="D22" s="709"/>
      <c r="E22" s="714"/>
      <c r="F22" s="714"/>
      <c r="G22" s="27" t="str">
        <f ca="1">IF(WEEKDAY(B2,2)=1,"HOJE","SEGUNDA-FEIRA")</f>
        <v>SEGUNDA-FEIRA</v>
      </c>
    </row>
    <row r="23" spans="1:9" ht="14.25" thickTop="1" thickBot="1">
      <c r="B23" s="13" t="s">
        <v>812</v>
      </c>
      <c r="C23" s="13" t="s">
        <v>250</v>
      </c>
      <c r="D23" s="13" t="s">
        <v>435</v>
      </c>
      <c r="E23" s="13" t="s">
        <v>1178</v>
      </c>
      <c r="F23" s="13" t="s">
        <v>1802</v>
      </c>
      <c r="G23" s="13" t="s">
        <v>370</v>
      </c>
    </row>
    <row r="24" spans="1:9" ht="14.25" thickTop="1" thickBot="1">
      <c r="B24" s="14" t="e">
        <f>VLOOKUP(G24,'GAL-CUB'!$A:$A,2,FALSE)</f>
        <v>#N/A</v>
      </c>
      <c r="C24" s="14" t="e">
        <f>VLOOKUP(G24,'GAL-CUB'!$A:$B,3,FALSE)</f>
        <v>#N/A</v>
      </c>
      <c r="D24" s="14" t="e">
        <f>VLOOKUP(G24,'GAL-CUB'!$A:$F,7,FALSE)</f>
        <v>#N/A</v>
      </c>
      <c r="E24" s="14" t="e">
        <f>IFERROR(VLOOKUP(G24,'GAL-CUB'!$A:$D,4,FALSE),IFERROR(VLOOKUP(G24,ESCOLTAS!$A:$F,6,FALSE),VLOOKUP(G24,SAÍDAS!$A:$B,2,FALSE)))</f>
        <v>#N/A</v>
      </c>
      <c r="F24" s="102">
        <v>1</v>
      </c>
      <c r="G24" s="108" t="s">
        <v>1715</v>
      </c>
    </row>
    <row r="25" spans="1:9" ht="14.25" thickTop="1" thickBot="1">
      <c r="B25" s="14" t="e">
        <f>VLOOKUP(G25,'GAL-CUB'!$A:$A,2,FALSE)</f>
        <v>#N/A</v>
      </c>
      <c r="C25" s="14" t="e">
        <f>VLOOKUP(G25,'GAL-CUB'!$A:$B,3,FALSE)</f>
        <v>#N/A</v>
      </c>
      <c r="D25" s="14" t="e">
        <f>VLOOKUP(G25,'GAL-CUB'!$A:$F,7,FALSE)</f>
        <v>#N/A</v>
      </c>
      <c r="E25" s="14" t="e">
        <f>IFERROR(VLOOKUP(G25,'GAL-CUB'!$A:$D,4,FALSE),IFERROR(VLOOKUP(G25,ESCOLTAS!$A:$F,6,FALSE),VLOOKUP(G25,SAÍDAS!$A:$B,2,FALSE)))</f>
        <v>#N/A</v>
      </c>
      <c r="F25" s="50">
        <v>2</v>
      </c>
      <c r="G25" s="108" t="s">
        <v>2070</v>
      </c>
    </row>
    <row r="26" spans="1:9" ht="14.25" thickTop="1" thickBot="1">
      <c r="B26" s="14" t="e">
        <f>VLOOKUP(G26,'GAL-CUB'!$A:$A,2,FALSE)</f>
        <v>#N/A</v>
      </c>
      <c r="C26" s="14" t="e">
        <f>VLOOKUP(G26,'GAL-CUB'!$A:$B,3,FALSE)</f>
        <v>#N/A</v>
      </c>
      <c r="D26" s="14" t="e">
        <f>VLOOKUP(G26,'GAL-CUB'!$A:$F,7,FALSE)</f>
        <v>#N/A</v>
      </c>
      <c r="E26" s="14" t="e">
        <f>IFERROR(VLOOKUP(G26,'GAL-CUB'!$A:$D,4,FALSE),IFERROR(VLOOKUP(G26,ESCOLTAS!$A:$F,6,FALSE),VLOOKUP(G26,SAÍDAS!$A:$B,2,FALSE)))</f>
        <v>#N/A</v>
      </c>
      <c r="F26" s="102">
        <v>3</v>
      </c>
      <c r="G26" s="16" t="s">
        <v>2078</v>
      </c>
    </row>
    <row r="27" spans="1:9" ht="14.25" thickTop="1" thickBot="1">
      <c r="B27" s="14" t="e">
        <f>VLOOKUP(G27,'GAL-CUB'!$A:$A,2,FALSE)</f>
        <v>#N/A</v>
      </c>
      <c r="C27" s="14" t="e">
        <f>VLOOKUP(G27,'GAL-CUB'!$A:$B,3,FALSE)</f>
        <v>#N/A</v>
      </c>
      <c r="D27" s="14" t="e">
        <f>VLOOKUP(G27,'GAL-CUB'!$A:$F,7,FALSE)</f>
        <v>#N/A</v>
      </c>
      <c r="E27" s="14" t="str">
        <f>IFERROR(VLOOKUP(G27,'GAL-CUB'!$A:$D,4,FALSE),IFERROR(VLOOKUP(G27,ESCOLTAS!$A:$F,6,FALSE),VLOOKUP(G27,SAÍDAS!$A:$B,2,FALSE)))</f>
        <v>CRAPG</v>
      </c>
      <c r="F27" s="102">
        <v>4</v>
      </c>
      <c r="G27" s="16"/>
    </row>
    <row r="28" spans="1:9" ht="14.25" thickTop="1" thickBot="1">
      <c r="B28" s="14" t="e">
        <f>VLOOKUP(G28,'GAL-CUB'!$A:$A,2,FALSE)</f>
        <v>#N/A</v>
      </c>
      <c r="C28" s="14" t="e">
        <f>VLOOKUP(G28,'GAL-CUB'!$A:$B,3,FALSE)</f>
        <v>#N/A</v>
      </c>
      <c r="D28" s="14" t="e">
        <f>VLOOKUP(G28,'GAL-CUB'!$A:$F,7,FALSE)</f>
        <v>#N/A</v>
      </c>
      <c r="E28" s="14" t="e">
        <f>IFERROR(VLOOKUP(G28,'GAL-CUB'!$A:$D,4,FALSE),IFERROR(VLOOKUP(G28,ESCOLTAS!$A:$F,6,FALSE),VLOOKUP(G28,SAÍDAS!$A:$B,2,FALSE)))</f>
        <v>#N/A</v>
      </c>
      <c r="F28" s="102">
        <v>5</v>
      </c>
      <c r="G28" s="108" t="s">
        <v>2072</v>
      </c>
    </row>
    <row r="29" spans="1:9" ht="14.25" thickTop="1" thickBot="1">
      <c r="B29" s="14" t="e">
        <f>VLOOKUP(G29,'GAL-CUB'!$A:$A,2,FALSE)</f>
        <v>#N/A</v>
      </c>
      <c r="C29" s="14" t="e">
        <f>VLOOKUP(G29,'GAL-CUB'!$A:$B,3,FALSE)</f>
        <v>#N/A</v>
      </c>
      <c r="D29" s="14" t="e">
        <f>VLOOKUP(G29,'GAL-CUB'!$A:$F,7,FALSE)</f>
        <v>#N/A</v>
      </c>
      <c r="E29" s="14" t="e">
        <f>IFERROR(VLOOKUP(G29,'GAL-CUB'!$A:$D,4,FALSE),IFERROR(VLOOKUP(G29,ESCOLTAS!$A:$F,6,FALSE),VLOOKUP(G29,SAÍDAS!$A:$B,2,FALSE)))</f>
        <v>#N/A</v>
      </c>
      <c r="F29" s="102">
        <v>6</v>
      </c>
      <c r="G29" s="16" t="s">
        <v>2080</v>
      </c>
    </row>
    <row r="30" spans="1:9" ht="14.25" thickTop="1" thickBot="1">
      <c r="B30" s="14" t="e">
        <f>VLOOKUP(G30,'GAL-CUB'!$A:$A,2,FALSE)</f>
        <v>#N/A</v>
      </c>
      <c r="C30" s="14" t="e">
        <f>VLOOKUP(G30,'GAL-CUB'!$A:$B,3,FALSE)</f>
        <v>#N/A</v>
      </c>
      <c r="D30" s="14" t="e">
        <f>VLOOKUP(G30,'GAL-CUB'!$A:$F,7,FALSE)</f>
        <v>#N/A</v>
      </c>
      <c r="E30" s="14" t="e">
        <f>IFERROR(VLOOKUP(G30,'GAL-CUB'!$A:$D,4,FALSE),IFERROR(VLOOKUP(G30,ESCOLTAS!$A:$F,6,FALSE),VLOOKUP(G30,SAÍDAS!$A:$B,2,FALSE)))</f>
        <v>#N/A</v>
      </c>
      <c r="F30" s="102">
        <v>7</v>
      </c>
      <c r="G30" s="53" t="s">
        <v>1663</v>
      </c>
    </row>
    <row r="31" spans="1:9" ht="14.25" thickTop="1" thickBot="1">
      <c r="B31" s="14" t="e">
        <f>VLOOKUP(G31,'GAL-CUB'!$A:$A,2,FALSE)</f>
        <v>#N/A</v>
      </c>
      <c r="C31" s="14" t="e">
        <f>VLOOKUP(G31,'GAL-CUB'!$A:$B,3,FALSE)</f>
        <v>#N/A</v>
      </c>
      <c r="D31" s="14" t="e">
        <f>VLOOKUP(G31,'GAL-CUB'!$A:$F,7,FALSE)</f>
        <v>#N/A</v>
      </c>
      <c r="E31" s="14" t="str">
        <f>IFERROR(VLOOKUP(G31,'GAL-CUB'!$A:$D,4,FALSE),IFERROR(VLOOKUP(G31,ESCOLTAS!$A:$F,6,FALSE),VLOOKUP(G31,SAÍDAS!$A:$B,2,FALSE)))</f>
        <v>CRAPG</v>
      </c>
      <c r="F31" s="102">
        <v>8</v>
      </c>
      <c r="G31" s="15" t="s">
        <v>919</v>
      </c>
    </row>
    <row r="32" spans="1:9" ht="14.25" thickTop="1" thickBot="1">
      <c r="B32" s="14" t="e">
        <f>VLOOKUP(G32,'GAL-CUB'!$A:$A,2,FALSE)</f>
        <v>#N/A</v>
      </c>
      <c r="C32" s="14" t="e">
        <f>VLOOKUP(G32,'GAL-CUB'!$A:$B,3,FALSE)</f>
        <v>#N/A</v>
      </c>
      <c r="D32" s="14" t="e">
        <f>VLOOKUP(G32,'GAL-CUB'!$A:$F,7,FALSE)</f>
        <v>#N/A</v>
      </c>
      <c r="E32" s="14" t="e">
        <f>IFERROR(VLOOKUP(G32,'GAL-CUB'!$A:$D,4,FALSE),IFERROR(VLOOKUP(G32,ESCOLTAS!$A:$F,6,FALSE),VLOOKUP(G32,SAÍDAS!$A:$B,2,FALSE)))</f>
        <v>#N/A</v>
      </c>
      <c r="F32" s="102">
        <v>9</v>
      </c>
      <c r="G32" s="53" t="s">
        <v>2065</v>
      </c>
    </row>
    <row r="33" spans="2:9" ht="14.25" thickTop="1" thickBot="1">
      <c r="B33" s="14" t="e">
        <f>VLOOKUP(G33,'GAL-CUB'!$A:$A,2,FALSE)</f>
        <v>#N/A</v>
      </c>
      <c r="C33" s="14" t="e">
        <f>VLOOKUP(G33,'GAL-CUB'!$A:$B,3,FALSE)</f>
        <v>#N/A</v>
      </c>
      <c r="D33" s="14" t="e">
        <f>VLOOKUP(G33,'GAL-CUB'!$A:$F,7,FALSE)</f>
        <v>#N/A</v>
      </c>
      <c r="E33" s="14" t="e">
        <f>IFERROR(VLOOKUP(G33,'GAL-CUB'!$A:$D,4,FALSE),IFERROR(VLOOKUP(G33,ESCOLTAS!$A:$F,6,FALSE),VLOOKUP(G33,SAÍDAS!$A:$B,2,FALSE)))</f>
        <v>#N/A</v>
      </c>
      <c r="F33" s="102">
        <v>10</v>
      </c>
      <c r="G33" s="16" t="s">
        <v>2082</v>
      </c>
    </row>
    <row r="34" spans="2:9" ht="14.25" thickTop="1" thickBot="1">
      <c r="B34" s="14" t="e">
        <f>VLOOKUP(G34,'GAL-CUB'!$A:$A,2,FALSE)</f>
        <v>#N/A</v>
      </c>
      <c r="C34" s="14" t="e">
        <f>VLOOKUP(G34,'GAL-CUB'!$A:$B,3,FALSE)</f>
        <v>#N/A</v>
      </c>
      <c r="D34" s="14" t="e">
        <f>VLOOKUP(G34,'GAL-CUB'!$A:$F,7,FALSE)</f>
        <v>#N/A</v>
      </c>
      <c r="E34" s="14" t="e">
        <f>IFERROR(VLOOKUP(G34,'GAL-CUB'!$A:$D,4,FALSE),IFERROR(VLOOKUP(G34,ESCOLTAS!$A:$F,6,FALSE),VLOOKUP(G34,SAÍDAS!$A:$B,2,FALSE)))</f>
        <v>#N/A</v>
      </c>
      <c r="F34" s="102">
        <v>11</v>
      </c>
      <c r="G34" s="16" t="s">
        <v>2076</v>
      </c>
    </row>
    <row r="35" spans="2:9" ht="14.25" thickTop="1" thickBot="1">
      <c r="B35" s="14" t="e">
        <f>VLOOKUP(G35,'GAL-CUB'!$A:$A,2,FALSE)</f>
        <v>#N/A</v>
      </c>
      <c r="C35" s="14" t="e">
        <f>VLOOKUP(G35,'GAL-CUB'!$A:$B,3,FALSE)</f>
        <v>#N/A</v>
      </c>
      <c r="D35" s="14" t="e">
        <f>VLOOKUP(G35,'GAL-CUB'!$A:$F,7,FALSE)</f>
        <v>#N/A</v>
      </c>
      <c r="E35" s="14" t="str">
        <f>IFERROR(VLOOKUP(G35,'GAL-CUB'!$A:$D,4,FALSE),IFERROR(VLOOKUP(G35,ESCOLTAS!$A:$F,6,FALSE),VLOOKUP(G35,SAÍDAS!$A:$B,2,FALSE)))</f>
        <v>CRAPG</v>
      </c>
      <c r="F35" s="102">
        <v>12</v>
      </c>
      <c r="G35" s="18" t="s">
        <v>405</v>
      </c>
    </row>
    <row r="36" spans="2:9" ht="14.25" thickTop="1" thickBot="1"/>
    <row r="37" spans="2:9" ht="14.25" thickTop="1" thickBot="1">
      <c r="B37" s="708" t="s">
        <v>1783</v>
      </c>
      <c r="C37" s="709"/>
      <c r="D37" s="709"/>
      <c r="E37" s="86"/>
      <c r="F37" s="86"/>
      <c r="G37" s="27" t="str">
        <f ca="1">IF(WEEKDAY(B2,2)=1,"HOJE","SEGUNDA-FEIRA")</f>
        <v>SEGUNDA-FEIRA</v>
      </c>
    </row>
    <row r="38" spans="2:9" ht="14.25" thickTop="1" thickBot="1">
      <c r="B38" s="13" t="s">
        <v>812</v>
      </c>
      <c r="C38" s="13" t="s">
        <v>250</v>
      </c>
      <c r="D38" s="13" t="s">
        <v>435</v>
      </c>
      <c r="E38" s="13" t="s">
        <v>1178</v>
      </c>
      <c r="F38" s="13" t="s">
        <v>1802</v>
      </c>
      <c r="G38" s="13" t="s">
        <v>370</v>
      </c>
    </row>
    <row r="39" spans="2:9" ht="14.25" thickTop="1" thickBot="1">
      <c r="B39" s="14" t="e">
        <f>VLOOKUP(G39,'GAL-CUB'!$A:$A,2,FALSE)</f>
        <v>#N/A</v>
      </c>
      <c r="C39" s="14" t="e">
        <f>VLOOKUP(G39,'GAL-CUB'!$A:$B,3,FALSE)</f>
        <v>#N/A</v>
      </c>
      <c r="D39" s="14" t="e">
        <f>VLOOKUP(G39,'GAL-CUB'!$A:$F,7,FALSE)</f>
        <v>#N/A</v>
      </c>
      <c r="E39" s="14" t="e">
        <f>IFERROR(VLOOKUP(G39,'GAL-CUB'!$A:$D,4,FALSE),IFERROR(VLOOKUP(G39,ESCOLTAS!$A:$F,6,FALSE),VLOOKUP(G39,SAÍDAS!$A:$B,2,FALSE)))</f>
        <v>#N/A</v>
      </c>
      <c r="F39" s="102">
        <v>1</v>
      </c>
      <c r="G39" s="98" t="s">
        <v>2054</v>
      </c>
    </row>
    <row r="40" spans="2:9" ht="14.25" thickTop="1" thickBot="1">
      <c r="B40" s="14" t="e">
        <f>VLOOKUP(G40,'GAL-CUB'!$A:$A,2,FALSE)</f>
        <v>#N/A</v>
      </c>
      <c r="C40" s="14" t="e">
        <f>VLOOKUP(G40,'GAL-CUB'!$A:$B,3,FALSE)</f>
        <v>#N/A</v>
      </c>
      <c r="D40" s="14" t="e">
        <f>VLOOKUP(G40,'GAL-CUB'!$A:$F,7,FALSE)</f>
        <v>#N/A</v>
      </c>
      <c r="E40" s="14" t="e">
        <f>IFERROR(VLOOKUP(G40,'GAL-CUB'!$A:$D,4,FALSE),IFERROR(VLOOKUP(G40,ESCOLTAS!$A:$F,6,FALSE),VLOOKUP(G40,SAÍDAS!$A:$B,2,FALSE)))</f>
        <v>#N/A</v>
      </c>
      <c r="F40" s="14">
        <v>2</v>
      </c>
      <c r="G40" s="18" t="s">
        <v>1840</v>
      </c>
    </row>
    <row r="41" spans="2:9" ht="14.25" thickTop="1" thickBot="1">
      <c r="B41" s="14" t="e">
        <f>VLOOKUP(G41,'GAL-CUB'!$A:$A,2,FALSE)</f>
        <v>#N/A</v>
      </c>
      <c r="C41" s="14" t="e">
        <f>VLOOKUP(G41,'GAL-CUB'!$A:$B,3,FALSE)</f>
        <v>#N/A</v>
      </c>
      <c r="D41" s="14" t="e">
        <f>VLOOKUP(G41,'GAL-CUB'!$A:$F,7,FALSE)</f>
        <v>#N/A</v>
      </c>
      <c r="E41" s="14" t="str">
        <f>IFERROR(VLOOKUP(G41,'GAL-CUB'!$A:$D,4,FALSE),IFERROR(VLOOKUP(G41,ESCOLTAS!$A:$F,6,FALSE),VLOOKUP(G41,SAÍDAS!$A:$B,2,FALSE)))</f>
        <v>CRAPG</v>
      </c>
      <c r="F41" s="14">
        <v>3</v>
      </c>
      <c r="G41" s="16"/>
    </row>
    <row r="42" spans="2:9" ht="14.25" thickTop="1" thickBot="1">
      <c r="B42" s="14" t="e">
        <f>VLOOKUP(G42,'GAL-CUB'!$A:$A,2,FALSE)</f>
        <v>#N/A</v>
      </c>
      <c r="C42" s="14" t="e">
        <f>VLOOKUP(G42,'GAL-CUB'!$A:$B,3,FALSE)</f>
        <v>#N/A</v>
      </c>
      <c r="D42" s="14" t="e">
        <f>VLOOKUP(G42,'GAL-CUB'!$A:$F,7,FALSE)</f>
        <v>#N/A</v>
      </c>
      <c r="E42" s="102" t="str">
        <f>IFERROR(VLOOKUP(G42,'GAL-CUB'!$A:$D,4,FALSE),IFERROR(VLOOKUP(G42,ESCOLTAS!$A:$F,6,FALSE),VLOOKUP(G42,SAÍDAS!$A:$B,2,FALSE)))</f>
        <v>CRAPG</v>
      </c>
      <c r="F42" s="102">
        <v>4</v>
      </c>
      <c r="G42" s="60"/>
    </row>
    <row r="43" spans="2:9" ht="14.25" thickTop="1" thickBot="1">
      <c r="B43" s="14" t="e">
        <f>VLOOKUP(G43,'GAL-CUB'!$A:$A,2,FALSE)</f>
        <v>#N/A</v>
      </c>
      <c r="C43" s="14" t="e">
        <f>VLOOKUP(G43,'GAL-CUB'!$A:$B,3,FALSE)</f>
        <v>#N/A</v>
      </c>
      <c r="D43" s="14" t="e">
        <f>VLOOKUP(G43,'GAL-CUB'!$A:$F,7,FALSE)</f>
        <v>#N/A</v>
      </c>
      <c r="E43" s="102" t="str">
        <f>IFERROR(VLOOKUP(G43,'GAL-CUB'!$A:$D,4,FALSE),IFERROR(VLOOKUP(G43,ESCOLTAS!$A:$F,6,FALSE),VLOOKUP(G43,SAÍDAS!$A:$B,2,FALSE)))</f>
        <v>CRAPG</v>
      </c>
      <c r="F43" s="14">
        <v>5</v>
      </c>
      <c r="G43" s="18"/>
    </row>
    <row r="44" spans="2:9" ht="14.25" thickTop="1" thickBot="1">
      <c r="B44" s="14" t="e">
        <f>VLOOKUP(G44,'GAL-CUB'!$A:$A,2,FALSE)</f>
        <v>#N/A</v>
      </c>
      <c r="C44" s="14" t="e">
        <f>VLOOKUP(G44,'GAL-CUB'!$A:$B,3,FALSE)</f>
        <v>#N/A</v>
      </c>
      <c r="D44" s="14" t="e">
        <f>VLOOKUP(G44,'GAL-CUB'!$A:$F,7,FALSE)</f>
        <v>#N/A</v>
      </c>
      <c r="E44" s="102" t="e">
        <f>IFERROR(VLOOKUP(G44,'GAL-CUB'!$A:$D,4,FALSE),IFERROR(VLOOKUP(G44,ESCOLTAS!$A:$F,6,FALSE),VLOOKUP(G44,SAÍDAS!$A:$B,2,FALSE)))</f>
        <v>#N/A</v>
      </c>
      <c r="F44" s="14">
        <v>6</v>
      </c>
      <c r="G44" s="16" t="s">
        <v>1732</v>
      </c>
    </row>
    <row r="45" spans="2:9" ht="14.25" thickTop="1" thickBot="1">
      <c r="B45" s="14" t="e">
        <f>VLOOKUP(G45,'GAL-CUB'!$A:$A,2,FALSE)</f>
        <v>#N/A</v>
      </c>
      <c r="C45" s="14" t="e">
        <f>VLOOKUP(G45,'GAL-CUB'!$A:$B,3,FALSE)</f>
        <v>#N/A</v>
      </c>
      <c r="D45" s="14" t="e">
        <f>VLOOKUP(G45,'GAL-CUB'!$A:$F,7,FALSE)</f>
        <v>#N/A</v>
      </c>
      <c r="E45" s="102" t="e">
        <f>IFERROR(VLOOKUP(G45,'GAL-CUB'!$A:$D,4,FALSE),IFERROR(VLOOKUP(G45,ESCOLTAS!$A:$F,6,FALSE),VLOOKUP(G45,SAÍDAS!$A:$B,2,FALSE)))</f>
        <v>#N/A</v>
      </c>
      <c r="F45" s="102">
        <v>7</v>
      </c>
      <c r="G45" s="60" t="s">
        <v>631</v>
      </c>
    </row>
    <row r="46" spans="2:9" ht="14.25" thickTop="1" thickBot="1">
      <c r="B46" s="14" t="e">
        <f>VLOOKUP(G46,'GAL-CUB'!$A:$A,2,FALSE)</f>
        <v>#N/A</v>
      </c>
      <c r="C46" s="14" t="e">
        <f>VLOOKUP(G46,'GAL-CUB'!$A:$B,3,FALSE)</f>
        <v>#N/A</v>
      </c>
      <c r="D46" s="14" t="e">
        <f>VLOOKUP(G46,'GAL-CUB'!$A:$F,7,FALSE)</f>
        <v>#N/A</v>
      </c>
      <c r="E46" s="102" t="e">
        <f>IFERROR(VLOOKUP(G46,'GAL-CUB'!$A:$D,4,FALSE),IFERROR(VLOOKUP(G46,ESCOLTAS!$A:$F,6,FALSE),VLOOKUP(G46,SAÍDAS!$A:$B,2,FALSE)))</f>
        <v>#N/A</v>
      </c>
      <c r="F46" s="14">
        <v>8</v>
      </c>
      <c r="G46" s="18" t="s">
        <v>1382</v>
      </c>
    </row>
    <row r="47" spans="2:9" ht="14.25" thickTop="1" thickBot="1">
      <c r="B47" s="14" t="e">
        <f>VLOOKUP(G47,'GAL-CUB'!$A:$A,2,FALSE)</f>
        <v>#N/A</v>
      </c>
      <c r="C47" s="14" t="e">
        <f>VLOOKUP(G47,'GAL-CUB'!$A:$B,3,FALSE)</f>
        <v>#N/A</v>
      </c>
      <c r="D47" s="14" t="e">
        <f>VLOOKUP(G47,'GAL-CUB'!$A:$F,7,FALSE)</f>
        <v>#N/A</v>
      </c>
      <c r="E47" s="102" t="e">
        <f>IFERROR(VLOOKUP(G47,'GAL-CUB'!$A:$D,4,FALSE),IFERROR(VLOOKUP(G47,ESCOLTAS!$A:$F,6,FALSE),VLOOKUP(G47,SAÍDAS!$A:$B,2,FALSE)))</f>
        <v>#N/A</v>
      </c>
      <c r="F47" s="14">
        <v>9</v>
      </c>
      <c r="G47" s="15" t="s">
        <v>1684</v>
      </c>
    </row>
    <row r="48" spans="2:9" ht="14.25" thickTop="1" thickBot="1">
      <c r="B48" s="14" t="e">
        <f>VLOOKUP(G48,'GAL-CUB'!$A:$A,2,FALSE)</f>
        <v>#N/A</v>
      </c>
      <c r="C48" s="14" t="e">
        <f>VLOOKUP(G48,'GAL-CUB'!$A:$B,3,FALSE)</f>
        <v>#N/A</v>
      </c>
      <c r="D48" s="14" t="e">
        <f>VLOOKUP(G48,'GAL-CUB'!$A:$F,7,FALSE)</f>
        <v>#N/A</v>
      </c>
      <c r="E48" s="102" t="e">
        <f>IFERROR(VLOOKUP(G48,'GAL-CUB'!$A:$D,4,FALSE),IFERROR(VLOOKUP(G48,ESCOLTAS!$A:$F,6,FALSE),VLOOKUP(G48,SAÍDAS!$A:$B,2,FALSE)))</f>
        <v>#N/A</v>
      </c>
      <c r="F48" s="102">
        <v>10</v>
      </c>
      <c r="G48" s="16" t="s">
        <v>563</v>
      </c>
    </row>
    <row r="49" spans="2:9" ht="14.25" thickTop="1" thickBot="1">
      <c r="B49" s="14" t="e">
        <f>VLOOKUP(G49,'GAL-CUB'!$A:$A,2,FALSE)</f>
        <v>#N/A</v>
      </c>
      <c r="C49" s="14" t="e">
        <f>VLOOKUP(G49,'GAL-CUB'!$A:$B,3,FALSE)</f>
        <v>#N/A</v>
      </c>
      <c r="D49" s="14" t="e">
        <f>VLOOKUP(G49,'GAL-CUB'!$A:$F,7,FALSE)</f>
        <v>#N/A</v>
      </c>
      <c r="E49" s="102" t="str">
        <f>IFERROR(VLOOKUP(G49,'GAL-CUB'!$A:$D,4,FALSE),IFERROR(VLOOKUP(G49,ESCOLTAS!$A:$F,6,FALSE),VLOOKUP(G49,SAÍDAS!$A:$B,2,FALSE)))</f>
        <v>CRAPG</v>
      </c>
      <c r="F49" s="14">
        <v>11</v>
      </c>
      <c r="G49" s="15" t="s">
        <v>1825</v>
      </c>
    </row>
    <row r="50" spans="2:9" ht="14.25" thickTop="1" thickBot="1">
      <c r="B50" s="14" t="e">
        <f>VLOOKUP(G50,'GAL-CUB'!$A:$A,2,FALSE)</f>
        <v>#N/A</v>
      </c>
      <c r="C50" s="14" t="e">
        <f>VLOOKUP(G50,'GAL-CUB'!$A:$B,3,FALSE)</f>
        <v>#N/A</v>
      </c>
      <c r="D50" s="14" t="e">
        <f>VLOOKUP(G50,'GAL-CUB'!$A:$F,7,FALSE)</f>
        <v>#N/A</v>
      </c>
      <c r="E50" s="102" t="str">
        <f>IFERROR(VLOOKUP(G50,'GAL-CUB'!$A:$D,4,FALSE),IFERROR(VLOOKUP(G50,ESCOLTAS!$A:$F,6,FALSE),VLOOKUP(G50,SAÍDAS!$A:$B,2,FALSE)))</f>
        <v>CRAPG</v>
      </c>
      <c r="F50" s="14">
        <v>12</v>
      </c>
      <c r="G50" s="108" t="s">
        <v>1811</v>
      </c>
    </row>
    <row r="51" spans="2:9" ht="13.5" thickTop="1"/>
    <row r="52" spans="2:9">
      <c r="B52" s="710" t="s">
        <v>1781</v>
      </c>
      <c r="C52" s="710"/>
      <c r="D52" s="710"/>
      <c r="E52" s="710"/>
      <c r="F52" s="710"/>
      <c r="G52" s="710"/>
    </row>
    <row r="53" spans="2:9">
      <c r="B53" s="710"/>
      <c r="C53" s="710"/>
      <c r="D53" s="710"/>
      <c r="E53" s="710"/>
      <c r="F53" s="710"/>
      <c r="G53" s="710"/>
    </row>
    <row r="54" spans="2:9" ht="13.5" thickBot="1"/>
    <row r="55" spans="2:9" ht="14.25" thickTop="1" thickBot="1">
      <c r="B55" s="708" t="s">
        <v>1780</v>
      </c>
      <c r="C55" s="709"/>
      <c r="D55" s="709"/>
      <c r="E55" s="46"/>
      <c r="F55" s="46"/>
      <c r="G55" s="27" t="str">
        <f ca="1">IF(WEEKDAY(B2,2)=1,"HOJE","SEGUNDA-FEIRA")</f>
        <v>SEGUNDA-FEIRA</v>
      </c>
    </row>
    <row r="56" spans="2:9" ht="14.25" thickTop="1" thickBot="1">
      <c r="B56" s="13" t="s">
        <v>812</v>
      </c>
      <c r="C56" s="13" t="s">
        <v>250</v>
      </c>
      <c r="D56" s="13" t="s">
        <v>435</v>
      </c>
      <c r="E56" s="13" t="s">
        <v>1178</v>
      </c>
      <c r="F56" s="13" t="s">
        <v>1802</v>
      </c>
      <c r="G56" s="13" t="s">
        <v>370</v>
      </c>
    </row>
    <row r="57" spans="2:9" ht="14.25" thickTop="1" thickBot="1">
      <c r="B57" s="14" t="e">
        <f>VLOOKUP(G57,'GAL-CUB'!$A:$A,2,FALSE)</f>
        <v>#N/A</v>
      </c>
      <c r="C57" s="14" t="e">
        <f>VLOOKUP(G57,'GAL-CUB'!$A:$B,3,FALSE)</f>
        <v>#N/A</v>
      </c>
      <c r="D57" s="14" t="e">
        <f>VLOOKUP(G57,'GAL-CUB'!$A:$F,7,FALSE)</f>
        <v>#N/A</v>
      </c>
      <c r="E57" s="14" t="str">
        <f>IFERROR(VLOOKUP(G57,'GAL-CUB'!$A:$D,4,FALSE),IFERROR(VLOOKUP(G57,ESCOLTAS!$A:$F,6,FALSE),VLOOKUP(G57,SAÍDAS!$A:$B,2,FALSE)))</f>
        <v>CRAPG</v>
      </c>
      <c r="F57" s="14">
        <v>1</v>
      </c>
      <c r="G57" s="15" t="s">
        <v>1750</v>
      </c>
    </row>
    <row r="58" spans="2:9" ht="14.25" thickTop="1" thickBot="1">
      <c r="B58" s="14" t="e">
        <f>VLOOKUP(G58,'GAL-CUB'!$A:$A,2,FALSE)</f>
        <v>#N/A</v>
      </c>
      <c r="C58" s="14" t="e">
        <f>VLOOKUP(G58,'GAL-CUB'!$A:$B,3,FALSE)</f>
        <v>#N/A</v>
      </c>
      <c r="D58" s="14" t="e">
        <f>VLOOKUP(G58,'GAL-CUB'!$A:$F,7,FALSE)</f>
        <v>#N/A</v>
      </c>
      <c r="E58" s="14" t="str">
        <f>IFERROR(VLOOKUP(G58,'GAL-CUB'!$A:$D,4,FALSE),IFERROR(VLOOKUP(G58,ESCOLTAS!$A:$F,6,FALSE),VLOOKUP(G58,SAÍDAS!$A:$B,2,FALSE)))</f>
        <v>CRAPG</v>
      </c>
      <c r="F58" s="14">
        <v>2</v>
      </c>
      <c r="G58" s="16" t="s">
        <v>1979</v>
      </c>
    </row>
    <row r="59" spans="2:9" ht="14.25" thickTop="1" thickBot="1">
      <c r="B59" s="14" t="e">
        <f>VLOOKUP(G59,'GAL-CUB'!$A:$A,2,FALSE)</f>
        <v>#N/A</v>
      </c>
      <c r="C59" s="14" t="e">
        <f>VLOOKUP(G59,'GAL-CUB'!$A:$B,3,FALSE)</f>
        <v>#N/A</v>
      </c>
      <c r="D59" s="14" t="e">
        <f>VLOOKUP(G59,'GAL-CUB'!$A:$F,7,FALSE)</f>
        <v>#N/A</v>
      </c>
      <c r="E59" s="14" t="str">
        <f>IFERROR(VLOOKUP(G59,'GAL-CUB'!$A:$D,4,FALSE),IFERROR(VLOOKUP(G59,ESCOLTAS!$A:$F,6,FALSE),VLOOKUP(G59,SAÍDAS!$A:$B,2,FALSE)))</f>
        <v>CRAPG</v>
      </c>
      <c r="F59" s="14">
        <v>3</v>
      </c>
      <c r="G59" s="108" t="s">
        <v>1817</v>
      </c>
    </row>
    <row r="60" spans="2:9" ht="14.25" thickTop="1" thickBot="1">
      <c r="B60" s="14" t="e">
        <f>VLOOKUP(G60,'GAL-CUB'!$A:$A,2,FALSE)</f>
        <v>#N/A</v>
      </c>
      <c r="C60" s="14" t="e">
        <f>VLOOKUP(G60,'GAL-CUB'!$A:$B,3,FALSE)</f>
        <v>#N/A</v>
      </c>
      <c r="D60" s="14" t="e">
        <f>VLOOKUP(G60,'GAL-CUB'!$A:$F,7,FALSE)</f>
        <v>#N/A</v>
      </c>
      <c r="E60" s="14" t="str">
        <f>IFERROR(VLOOKUP(G60,'GAL-CUB'!$A:$D,4,FALSE),IFERROR(VLOOKUP(G60,ESCOLTAS!$A:$F,6,FALSE),VLOOKUP(G60,SAÍDAS!$A:$B,2,FALSE)))</f>
        <v>CRAPG</v>
      </c>
      <c r="F60" s="14">
        <v>4</v>
      </c>
      <c r="G60" s="15" t="s">
        <v>1630</v>
      </c>
    </row>
    <row r="61" spans="2:9" ht="14.25" thickTop="1" thickBot="1">
      <c r="B61" s="14" t="e">
        <f>VLOOKUP(G61,'GAL-CUB'!$A:$A,2,FALSE)</f>
        <v>#N/A</v>
      </c>
      <c r="C61" s="14" t="e">
        <f>VLOOKUP(G61,'GAL-CUB'!$A:$B,3,FALSE)</f>
        <v>#N/A</v>
      </c>
      <c r="D61" s="14" t="e">
        <f>VLOOKUP(G61,'GAL-CUB'!$A:$F,7,FALSE)</f>
        <v>#N/A</v>
      </c>
      <c r="E61" s="14" t="e">
        <f>IFERROR(VLOOKUP(G61,'GAL-CUB'!$A:$D,4,FALSE),IFERROR(VLOOKUP(G61,ESCOLTAS!$A:$F,6,FALSE),VLOOKUP(G61,SAÍDAS!$A:$B,2,FALSE)))</f>
        <v>#N/A</v>
      </c>
      <c r="F61" s="14">
        <v>5</v>
      </c>
      <c r="G61" s="15" t="s">
        <v>1755</v>
      </c>
    </row>
    <row r="62" spans="2:9" ht="14.25" thickTop="1" thickBot="1">
      <c r="B62" s="14" t="e">
        <f>VLOOKUP(G62,'GAL-CUB'!$A:$A,2,FALSE)</f>
        <v>#N/A</v>
      </c>
      <c r="C62" s="14" t="e">
        <f>VLOOKUP(G62,'GAL-CUB'!$A:$B,3,FALSE)</f>
        <v>#N/A</v>
      </c>
      <c r="D62" s="14" t="e">
        <f>VLOOKUP(G62,'GAL-CUB'!$A:$F,7,FALSE)</f>
        <v>#N/A</v>
      </c>
      <c r="E62" s="14" t="str">
        <f>IFERROR(VLOOKUP(G62,'GAL-CUB'!$A:$D,4,FALSE),IFERROR(VLOOKUP(G62,ESCOLTAS!$A:$F,6,FALSE),VLOOKUP(G62,SAÍDAS!$A:$B,2,FALSE)))</f>
        <v>CRAPG</v>
      </c>
      <c r="F62" s="14">
        <v>6</v>
      </c>
      <c r="G62" s="15" t="s">
        <v>1766</v>
      </c>
    </row>
    <row r="63" spans="2:9" ht="14.25" thickTop="1" thickBot="1">
      <c r="B63" s="14" t="e">
        <f>VLOOKUP(G63,'GAL-CUB'!$A:$A,2,FALSE)</f>
        <v>#N/A</v>
      </c>
      <c r="C63" s="14" t="e">
        <f>VLOOKUP(G63,'GAL-CUB'!$A:$B,3,FALSE)</f>
        <v>#N/A</v>
      </c>
      <c r="D63" s="14" t="e">
        <f>VLOOKUP(G63,'GAL-CUB'!$A:$F,7,FALSE)</f>
        <v>#N/A</v>
      </c>
      <c r="E63" s="14" t="e">
        <f>IFERROR(VLOOKUP(G63,'GAL-CUB'!$A:$D,4,FALSE),IFERROR(VLOOKUP(G63,ESCOLTAS!$A:$F,6,FALSE),VLOOKUP(G63,SAÍDAS!$A:$B,2,FALSE)))</f>
        <v>#N/A</v>
      </c>
      <c r="F63" s="14">
        <v>7</v>
      </c>
      <c r="G63" s="16" t="s">
        <v>2069</v>
      </c>
    </row>
    <row r="64" spans="2:9" ht="14.25" thickTop="1" thickBot="1">
      <c r="B64" s="14" t="e">
        <f>VLOOKUP(G64,'GAL-CUB'!$A:$A,2,FALSE)</f>
        <v>#N/A</v>
      </c>
      <c r="C64" s="14" t="e">
        <f>VLOOKUP(G64,'GAL-CUB'!$A:$B,3,FALSE)</f>
        <v>#N/A</v>
      </c>
      <c r="D64" s="14" t="e">
        <f>VLOOKUP(G64,'GAL-CUB'!$A:$F,7,FALSE)</f>
        <v>#N/A</v>
      </c>
      <c r="E64" s="14">
        <f>IFERROR(VLOOKUP(G64,'GAL-CUB'!$A:$D,4,FALSE),IFERROR(VLOOKUP(G64,ESCOLTAS!$A:$F,6,FALSE),VLOOKUP(G64,SAÍDAS!$A:$B,2,FALSE)))</f>
        <v>0</v>
      </c>
      <c r="F64" s="14">
        <v>8</v>
      </c>
      <c r="G64" s="108" t="s">
        <v>577</v>
      </c>
    </row>
    <row r="65" spans="2:9" ht="14.25" thickTop="1" thickBot="1">
      <c r="B65" s="14" t="e">
        <f>VLOOKUP(G65,'GAL-CUB'!$A:$A,2,FALSE)</f>
        <v>#N/A</v>
      </c>
      <c r="C65" s="14" t="e">
        <f>VLOOKUP(G65,'GAL-CUB'!$A:$B,3,FALSE)</f>
        <v>#N/A</v>
      </c>
      <c r="D65" s="14" t="e">
        <f>VLOOKUP(G65,'GAL-CUB'!$A:$F,7,FALSE)</f>
        <v>#N/A</v>
      </c>
      <c r="E65" s="14" t="e">
        <f>IFERROR(VLOOKUP(G65,'GAL-CUB'!$A:$D,4,FALSE),IFERROR(VLOOKUP(G65,ESCOLTAS!$A:$F,6,FALSE),VLOOKUP(G65,SAÍDAS!$A:$B,2,FALSE)))</f>
        <v>#N/A</v>
      </c>
      <c r="F65" s="14">
        <v>9</v>
      </c>
      <c r="G65" s="15" t="s">
        <v>1667</v>
      </c>
    </row>
    <row r="66" spans="2:9" ht="14.25" thickTop="1" thickBot="1">
      <c r="B66" s="14"/>
      <c r="C66" s="14"/>
      <c r="D66" s="14" t="e">
        <f>VLOOKUP(G66,'GAL-CUB'!$A:$F,7,FALSE)</f>
        <v>#N/A</v>
      </c>
      <c r="E66" s="14" t="e">
        <f>IFERROR(VLOOKUP(G66,'GAL-CUB'!$A:$D,4,FALSE),IFERROR(VLOOKUP(G66,ESCOLTAS!$A:$F,6,FALSE),VLOOKUP(G66,SAÍDAS!$A:$B,2,FALSE)))</f>
        <v>#N/A</v>
      </c>
      <c r="F66" s="14">
        <v>10</v>
      </c>
      <c r="G66" s="108" t="s">
        <v>2090</v>
      </c>
    </row>
    <row r="67" spans="2:9" ht="14.25" thickTop="1" thickBot="1">
      <c r="B67" s="14" t="e">
        <f>VLOOKUP(G67,'GAL-CUB'!$A:$A,2,FALSE)</f>
        <v>#N/A</v>
      </c>
      <c r="C67" s="14" t="e">
        <f>VLOOKUP(G67,'GAL-CUB'!$A:$B,3,FALSE)</f>
        <v>#N/A</v>
      </c>
      <c r="D67" s="14" t="e">
        <f>VLOOKUP(G67,'GAL-CUB'!$A:$F,7,FALSE)</f>
        <v>#N/A</v>
      </c>
      <c r="E67" s="14" t="e">
        <f>IFERROR(VLOOKUP(G67,'GAL-CUB'!$A:$D,4,FALSE),IFERROR(VLOOKUP(G67,ESCOLTAS!$A:$F,6,FALSE),VLOOKUP(G67,SAÍDAS!$A:$B,2,FALSE)))</f>
        <v>#N/A</v>
      </c>
      <c r="F67" s="14">
        <v>11</v>
      </c>
      <c r="G67" s="15" t="s">
        <v>424</v>
      </c>
    </row>
    <row r="68" spans="2:9" ht="14.25" thickTop="1" thickBot="1">
      <c r="B68" s="14" t="e">
        <f>VLOOKUP(G68,'GAL-CUB'!$A:$A,2,FALSE)</f>
        <v>#N/A</v>
      </c>
      <c r="C68" s="14" t="e">
        <f>VLOOKUP(G68,'GAL-CUB'!$A:$B,3,FALSE)</f>
        <v>#N/A</v>
      </c>
      <c r="D68" s="14" t="e">
        <f>VLOOKUP(G68,'GAL-CUB'!$A:$F,7,FALSE)</f>
        <v>#N/A</v>
      </c>
      <c r="E68" s="14" t="e">
        <f>IFERROR(VLOOKUP(G68,'GAL-CUB'!$A:$D,4,FALSE),IFERROR(VLOOKUP(G68,ESCOLTAS!$A:$F,6,FALSE),VLOOKUP(G68,SAÍDAS!$A:$B,2,FALSE)))</f>
        <v>#N/A</v>
      </c>
      <c r="F68" s="14">
        <v>12</v>
      </c>
      <c r="G68" s="47" t="s">
        <v>2083</v>
      </c>
    </row>
    <row r="69" spans="2:9" ht="14.25" thickTop="1" thickBot="1"/>
    <row r="70" spans="2:9" ht="14.25" thickTop="1" thickBot="1">
      <c r="B70" s="708" t="s">
        <v>1790</v>
      </c>
      <c r="C70" s="709"/>
      <c r="D70" s="709"/>
      <c r="E70" s="46"/>
      <c r="F70" s="46"/>
      <c r="G70" s="27" t="str">
        <f ca="1">IF(WEEKDAY(B2,2)=1,"HOJE","SEGUNDA-FEIRA")</f>
        <v>SEGUNDA-FEIRA</v>
      </c>
    </row>
    <row r="71" spans="2:9" ht="14.25" thickTop="1" thickBot="1">
      <c r="B71" s="13" t="s">
        <v>812</v>
      </c>
      <c r="C71" s="13" t="s">
        <v>250</v>
      </c>
      <c r="D71" s="13" t="s">
        <v>435</v>
      </c>
      <c r="E71" s="13" t="s">
        <v>1178</v>
      </c>
      <c r="F71" s="13" t="s">
        <v>1802</v>
      </c>
      <c r="G71" s="13" t="s">
        <v>370</v>
      </c>
    </row>
    <row r="72" spans="2:9" ht="14.25" thickTop="1" thickBot="1">
      <c r="B72" s="14" t="e">
        <f>VLOOKUP(G72,'GAL-CUB'!$A:$A,2,FALSE)</f>
        <v>#N/A</v>
      </c>
      <c r="C72" s="14" t="e">
        <f>VLOOKUP(G72,'GAL-CUB'!$A:$B,3,FALSE)</f>
        <v>#N/A</v>
      </c>
      <c r="D72" s="14" t="e">
        <f>VLOOKUP(G72,'GAL-CUB'!$A:$F,7,FALSE)</f>
        <v>#N/A</v>
      </c>
      <c r="E72" s="14" t="str">
        <f>IFERROR(VLOOKUP(G72,'GAL-CUB'!$A:$D,4,FALSE),IFERROR(VLOOKUP(G72,ESCOLTAS!$A:$F,6,FALSE),VLOOKUP(G72,SAÍDAS!$A:$B,2,FALSE)))</f>
        <v>CRAPG</v>
      </c>
      <c r="F72" s="14">
        <v>1</v>
      </c>
      <c r="G72" s="15" t="s">
        <v>355</v>
      </c>
    </row>
    <row r="73" spans="2:9" ht="14.25" thickTop="1" thickBot="1">
      <c r="B73" s="14" t="e">
        <f>VLOOKUP(G73,'GAL-CUB'!$A:$A,2,FALSE)</f>
        <v>#N/A</v>
      </c>
      <c r="C73" s="14" t="e">
        <f>VLOOKUP(G73,'GAL-CUB'!$A:$B,3,FALSE)</f>
        <v>#N/A</v>
      </c>
      <c r="D73" s="14" t="e">
        <f>VLOOKUP(G73,'GAL-CUB'!$A:$F,7,FALSE)</f>
        <v>#N/A</v>
      </c>
      <c r="E73" s="14" t="e">
        <f>IFERROR(VLOOKUP(G73,'GAL-CUB'!$A:$D,4,FALSE),IFERROR(VLOOKUP(G73,ESCOLTAS!$A:$F,6,FALSE),VLOOKUP(G73,SAÍDAS!$A:$B,2,FALSE)))</f>
        <v>#N/A</v>
      </c>
      <c r="F73" s="14">
        <v>2</v>
      </c>
      <c r="G73" s="18" t="s">
        <v>2074</v>
      </c>
    </row>
    <row r="74" spans="2:9" ht="14.25" thickTop="1" thickBot="1">
      <c r="B74" s="14" t="e">
        <f>VLOOKUP(G74,'GAL-CUB'!$A:$A,2,FALSE)</f>
        <v>#N/A</v>
      </c>
      <c r="C74" s="14" t="e">
        <f>VLOOKUP(G74,'GAL-CUB'!$A:$B,3,FALSE)</f>
        <v>#N/A</v>
      </c>
      <c r="D74" s="14" t="e">
        <f>VLOOKUP(G74,'GAL-CUB'!$A:$F,7,FALSE)</f>
        <v>#N/A</v>
      </c>
      <c r="E74" s="14" t="e">
        <f>IFERROR(VLOOKUP(G74,'GAL-CUB'!$A:$D,4,FALSE),IFERROR(VLOOKUP(G74,ESCOLTAS!$A:$F,6,FALSE),VLOOKUP(G74,SAÍDAS!$A:$B,2,FALSE)))</f>
        <v>#N/A</v>
      </c>
      <c r="F74" s="14">
        <v>3</v>
      </c>
      <c r="G74" s="18" t="s">
        <v>1083</v>
      </c>
    </row>
    <row r="75" spans="2:9" ht="14.25" thickTop="1" thickBot="1">
      <c r="B75" s="14" t="e">
        <f>VLOOKUP(G75,'GAL-CUB'!$A:$A,2,FALSE)</f>
        <v>#N/A</v>
      </c>
      <c r="C75" s="14" t="e">
        <f>VLOOKUP(G75,'GAL-CUB'!$A:$B,3,FALSE)</f>
        <v>#N/A</v>
      </c>
      <c r="D75" s="14" t="e">
        <f>VLOOKUP(G75,'GAL-CUB'!$A:$F,7,FALSE)</f>
        <v>#N/A</v>
      </c>
      <c r="E75" s="14" t="e">
        <f>IFERROR(VLOOKUP(G75,'GAL-CUB'!$A:$D,4,FALSE),IFERROR(VLOOKUP(G75,ESCOLTAS!$A:$F,6,FALSE),VLOOKUP(G75,SAÍDAS!$A:$B,2,FALSE)))</f>
        <v>#N/A</v>
      </c>
      <c r="F75" s="14">
        <v>4</v>
      </c>
      <c r="G75" s="15" t="s">
        <v>1765</v>
      </c>
    </row>
    <row r="76" spans="2:9" ht="14.25" thickTop="1" thickBot="1">
      <c r="B76" s="14" t="e">
        <f>VLOOKUP(G76,'GAL-CUB'!$A:$A,2,FALSE)</f>
        <v>#N/A</v>
      </c>
      <c r="C76" s="14" t="e">
        <f>VLOOKUP(G76,'GAL-CUB'!$A:$B,3,FALSE)</f>
        <v>#N/A</v>
      </c>
      <c r="D76" s="14" t="e">
        <f>VLOOKUP(G76,'GAL-CUB'!$A:$F,7,FALSE)</f>
        <v>#N/A</v>
      </c>
      <c r="E76" s="14" t="str">
        <f>IFERROR(VLOOKUP(G76,'GAL-CUB'!$A:$D,4,FALSE),IFERROR(VLOOKUP(G76,ESCOLTAS!$A:$F,6,FALSE),VLOOKUP(G76,SAÍDAS!$A:$B,2,FALSE)))</f>
        <v>Bonde CTBA</v>
      </c>
      <c r="F76" s="14">
        <v>5</v>
      </c>
      <c r="G76" s="15" t="s">
        <v>1112</v>
      </c>
    </row>
    <row r="77" spans="2:9" ht="14.25" thickTop="1" thickBot="1">
      <c r="B77" s="14" t="e">
        <f>VLOOKUP(G77,'GAL-CUB'!$A:$A,2,FALSE)</f>
        <v>#N/A</v>
      </c>
      <c r="C77" s="14" t="e">
        <f>VLOOKUP(G77,'GAL-CUB'!$A:$B,3,FALSE)</f>
        <v>#N/A</v>
      </c>
      <c r="D77" s="14" t="e">
        <f>VLOOKUP(G77,'GAL-CUB'!$A:$F,7,FALSE)</f>
        <v>#N/A</v>
      </c>
      <c r="E77" s="14" t="str">
        <f>IFERROR(VLOOKUP(G77,'GAL-CUB'!$A:$D,4,FALSE),IFERROR(VLOOKUP(G77,ESCOLTAS!$A:$F,6,FALSE),VLOOKUP(G77,SAÍDAS!$A:$B,2,FALSE)))</f>
        <v>CRAPG</v>
      </c>
      <c r="F77" s="14">
        <v>6</v>
      </c>
      <c r="G77" s="15" t="s">
        <v>139</v>
      </c>
    </row>
    <row r="78" spans="2:9" ht="14.25" thickTop="1" thickBot="1">
      <c r="B78" s="14" t="e">
        <f>VLOOKUP(G78,'GAL-CUB'!$A:$A,2,FALSE)</f>
        <v>#N/A</v>
      </c>
      <c r="C78" s="14" t="e">
        <f>VLOOKUP(G78,'GAL-CUB'!$A:$B,3,FALSE)</f>
        <v>#N/A</v>
      </c>
      <c r="D78" s="14" t="e">
        <f>VLOOKUP(G78,'GAL-CUB'!$A:$F,7,FALSE)</f>
        <v>#N/A</v>
      </c>
      <c r="E78" s="14" t="e">
        <f>IFERROR(VLOOKUP(G78,'GAL-CUB'!$A:$D,4,FALSE),IFERROR(VLOOKUP(G78,ESCOLTAS!$A:$F,6,FALSE),VLOOKUP(G78,SAÍDAS!$A:$B,2,FALSE)))</f>
        <v>#N/A</v>
      </c>
      <c r="F78" s="14">
        <v>7</v>
      </c>
      <c r="G78" s="16" t="s">
        <v>2088</v>
      </c>
    </row>
    <row r="79" spans="2:9" ht="14.25" thickTop="1" thickBot="1">
      <c r="B79" s="14" t="e">
        <f>VLOOKUP(G79,'GAL-CUB'!$A:$A,2,FALSE)</f>
        <v>#N/A</v>
      </c>
      <c r="C79" s="14" t="e">
        <f>VLOOKUP(G79,'GAL-CUB'!$A:$B,3,FALSE)</f>
        <v>#N/A</v>
      </c>
      <c r="D79" s="14" t="e">
        <f>VLOOKUP(G79,'GAL-CUB'!$A:$F,7,FALSE)</f>
        <v>#N/A</v>
      </c>
      <c r="E79" s="14" t="str">
        <f>IFERROR(VLOOKUP(G79,'GAL-CUB'!$A:$D,4,FALSE),IFERROR(VLOOKUP(G79,ESCOLTAS!$A:$F,6,FALSE),VLOOKUP(G79,SAÍDAS!$A:$B,2,FALSE)))</f>
        <v>CRAPG</v>
      </c>
      <c r="F79" s="14">
        <v>8</v>
      </c>
      <c r="G79" s="16" t="s">
        <v>2071</v>
      </c>
    </row>
    <row r="80" spans="2:9" ht="14.25" thickTop="1" thickBot="1">
      <c r="B80" s="14" t="e">
        <f>VLOOKUP(G80,'GAL-CUB'!$A:$A,2,FALSE)</f>
        <v>#N/A</v>
      </c>
      <c r="C80" s="14" t="e">
        <f>VLOOKUP(G80,'GAL-CUB'!$A:$B,3,FALSE)</f>
        <v>#N/A</v>
      </c>
      <c r="D80" s="14" t="e">
        <f>VLOOKUP(G80,'GAL-CUB'!$A:$F,7,FALSE)</f>
        <v>#N/A</v>
      </c>
      <c r="E80" s="14" t="e">
        <f>IFERROR(VLOOKUP(G80,'GAL-CUB'!$A:$D,4,FALSE),IFERROR(VLOOKUP(G80,ESCOLTAS!$A:$F,6,FALSE),VLOOKUP(G80,SAÍDAS!$A:$B,2,FALSE)))</f>
        <v>#N/A</v>
      </c>
      <c r="F80" s="14">
        <v>9</v>
      </c>
      <c r="G80" s="108" t="s">
        <v>628</v>
      </c>
    </row>
    <row r="81" spans="2:9" ht="14.25" thickTop="1" thickBot="1">
      <c r="B81" s="14"/>
      <c r="C81" s="14" t="e">
        <f>VLOOKUP(G81,'GAL-CUB'!$A:$B,3,FALSE)</f>
        <v>#N/A</v>
      </c>
      <c r="D81" s="14" t="e">
        <f>VLOOKUP(G81,'GAL-CUB'!$A:$F,7,FALSE)</f>
        <v>#N/A</v>
      </c>
      <c r="E81" s="14" t="str">
        <f>IFERROR(VLOOKUP(G81,'GAL-CUB'!$A:$D,4,FALSE),IFERROR(VLOOKUP(G81,ESCOLTAS!$A:$F,6,FALSE),VLOOKUP(G81,SAÍDAS!$A:$B,2,FALSE)))</f>
        <v>CRAPG</v>
      </c>
      <c r="F81" s="14">
        <v>10</v>
      </c>
      <c r="G81" s="16" t="s">
        <v>1701</v>
      </c>
    </row>
    <row r="82" spans="2:9" ht="14.25" thickTop="1" thickBot="1">
      <c r="B82" s="14" t="e">
        <f>VLOOKUP(G82,'GAL-CUB'!$A:$A,2,FALSE)</f>
        <v>#N/A</v>
      </c>
      <c r="C82" s="14" t="e">
        <f>VLOOKUP(G82,'GAL-CUB'!$A:$B,3,FALSE)</f>
        <v>#N/A</v>
      </c>
      <c r="D82" s="14" t="e">
        <f>VLOOKUP(G82,'GAL-CUB'!$A:$F,7,FALSE)</f>
        <v>#N/A</v>
      </c>
      <c r="E82" s="14" t="str">
        <f>IFERROR(VLOOKUP(G82,'GAL-CUB'!$A:$D,4,FALSE),IFERROR(VLOOKUP(G82,ESCOLTAS!$A:$F,6,FALSE),VLOOKUP(G82,SAÍDAS!$A:$B,2,FALSE)))</f>
        <v>CRAPG</v>
      </c>
      <c r="F82" s="14">
        <v>11</v>
      </c>
      <c r="G82" s="108" t="s">
        <v>1837</v>
      </c>
    </row>
    <row r="83" spans="2:9" ht="14.25" thickTop="1" thickBot="1">
      <c r="B83" s="14" t="e">
        <f>VLOOKUP(G83,'GAL-CUB'!$A:$A,2,FALSE)</f>
        <v>#N/A</v>
      </c>
      <c r="C83" s="14" t="e">
        <f>VLOOKUP(G83,'GAL-CUB'!$A:$B,3,FALSE)</f>
        <v>#N/A</v>
      </c>
      <c r="D83" s="14" t="e">
        <f>VLOOKUP(G83,'GAL-CUB'!$A:$F,7,FALSE)</f>
        <v>#N/A</v>
      </c>
      <c r="E83" s="14" t="str">
        <f>IFERROR(VLOOKUP(G83,'GAL-CUB'!$A:$D,4,FALSE),IFERROR(VLOOKUP(G83,ESCOLTAS!$A:$F,6,FALSE),VLOOKUP(G83,SAÍDAS!$A:$B,2,FALSE)))</f>
        <v>CRAPG</v>
      </c>
      <c r="F83" s="14">
        <v>12</v>
      </c>
      <c r="G83" s="15" t="s">
        <v>1183</v>
      </c>
    </row>
    <row r="84" spans="2:9" ht="14.25" thickTop="1" thickBot="1"/>
    <row r="85" spans="2:9" ht="14.25" thickTop="1" thickBot="1">
      <c r="B85" s="708" t="s">
        <v>1785</v>
      </c>
      <c r="C85" s="709"/>
      <c r="D85" s="709"/>
      <c r="E85" s="46" t="s">
        <v>2193</v>
      </c>
      <c r="F85" s="46"/>
      <c r="G85" s="27" t="str">
        <f ca="1">IF(WEEKDAY(B2,2)=1,"HOJE","SEGUNDA-FEIRA")</f>
        <v>SEGUNDA-FEIRA</v>
      </c>
    </row>
    <row r="86" spans="2:9" ht="14.25" thickTop="1" thickBot="1">
      <c r="B86" s="13" t="s">
        <v>812</v>
      </c>
      <c r="C86" s="13" t="s">
        <v>250</v>
      </c>
      <c r="D86" s="13" t="s">
        <v>435</v>
      </c>
      <c r="E86" s="13" t="s">
        <v>1178</v>
      </c>
      <c r="F86" s="13" t="s">
        <v>1802</v>
      </c>
      <c r="G86" s="13" t="s">
        <v>370</v>
      </c>
    </row>
    <row r="87" spans="2:9" ht="14.25" thickTop="1" thickBot="1">
      <c r="B87" s="14" t="e">
        <f>VLOOKUP(G87,'GAL-CUB'!$A:$A,2,FALSE)</f>
        <v>#N/A</v>
      </c>
      <c r="C87" s="14" t="e">
        <f>VLOOKUP(G87,'GAL-CUB'!$A:$B,3,FALSE)</f>
        <v>#N/A</v>
      </c>
      <c r="D87" s="14" t="e">
        <f>VLOOKUP(G87,'GAL-CUB'!$A:$F,7,FALSE)</f>
        <v>#N/A</v>
      </c>
      <c r="E87" s="14" t="str">
        <f>IFERROR(VLOOKUP(G87,'GAL-CUB'!$A:$D,4,FALSE),IFERROR(VLOOKUP(G87,ESCOLTAS!$A:$F,6,FALSE),VLOOKUP(G87,SAÍDAS!$A:$B,2,FALSE)))</f>
        <v>CRAPG</v>
      </c>
      <c r="F87" s="14">
        <v>1</v>
      </c>
      <c r="G87" s="108" t="s">
        <v>158</v>
      </c>
    </row>
    <row r="88" spans="2:9" ht="14.25" thickTop="1" thickBot="1">
      <c r="B88" s="14" t="e">
        <f>VLOOKUP(G88,'GAL-CUB'!$A:$A,2,FALSE)</f>
        <v>#N/A</v>
      </c>
      <c r="C88" s="14" t="e">
        <f>VLOOKUP(G88,'GAL-CUB'!$A:$B,3,FALSE)</f>
        <v>#N/A</v>
      </c>
      <c r="D88" s="14" t="e">
        <f>VLOOKUP(G88,'GAL-CUB'!$A:$F,7,FALSE)</f>
        <v>#N/A</v>
      </c>
      <c r="E88" s="14" t="str">
        <f>IFERROR(VLOOKUP(G88,'GAL-CUB'!$A:$D,4,FALSE),IFERROR(VLOOKUP(G88,ESCOLTAS!$A:$F,6,FALSE),VLOOKUP(G88,SAÍDAS!$A:$B,2,FALSE)))</f>
        <v>UP</v>
      </c>
      <c r="F88" s="14">
        <v>2</v>
      </c>
      <c r="G88" s="130" t="s">
        <v>1669</v>
      </c>
    </row>
    <row r="89" spans="2:9" ht="14.25" thickTop="1" thickBot="1">
      <c r="B89" s="14" t="e">
        <f>VLOOKUP(G89,'GAL-CUB'!$A:$A,2,FALSE)</f>
        <v>#N/A</v>
      </c>
      <c r="C89" s="14" t="e">
        <f>VLOOKUP(G89,'GAL-CUB'!$A:$B,3,FALSE)</f>
        <v>#N/A</v>
      </c>
      <c r="D89" s="14" t="e">
        <f>VLOOKUP(G89,'GAL-CUB'!$A:$F,7,FALSE)</f>
        <v>#N/A</v>
      </c>
      <c r="E89" s="14" t="e">
        <f>IFERROR(VLOOKUP(G89,'GAL-CUB'!$A:$D,4,FALSE),IFERROR(VLOOKUP(G89,ESCOLTAS!$A:$F,6,FALSE),VLOOKUP(G89,SAÍDAS!$A:$B,2,FALSE)))</f>
        <v>#N/A</v>
      </c>
      <c r="F89" s="14">
        <v>3</v>
      </c>
      <c r="G89" s="130" t="s">
        <v>1725</v>
      </c>
    </row>
    <row r="90" spans="2:9" ht="14.25" thickTop="1" thickBot="1">
      <c r="B90" s="14" t="e">
        <f>VLOOKUP(G90,'GAL-CUB'!$A:$A,2,FALSE)</f>
        <v>#N/A</v>
      </c>
      <c r="C90" s="14" t="e">
        <f>VLOOKUP(G90,'GAL-CUB'!$A:$B,3,FALSE)</f>
        <v>#N/A</v>
      </c>
      <c r="D90" s="14" t="e">
        <f>VLOOKUP(G90,'GAL-CUB'!$A:$F,7,FALSE)</f>
        <v>#N/A</v>
      </c>
      <c r="E90" s="14" t="str">
        <f>IFERROR(VLOOKUP(G90,'GAL-CUB'!$A:$D,4,FALSE),IFERROR(VLOOKUP(G90,ESCOLTAS!$A:$F,6,FALSE),VLOOKUP(G90,SAÍDAS!$A:$B,2,FALSE)))</f>
        <v>Bonde CTBA</v>
      </c>
      <c r="F90" s="14">
        <v>4</v>
      </c>
      <c r="G90" s="130" t="s">
        <v>1112</v>
      </c>
    </row>
    <row r="91" spans="2:9" ht="14.25" thickTop="1" thickBot="1">
      <c r="B91" s="14" t="e">
        <f>VLOOKUP(G91,'GAL-CUB'!$A:$A,2,FALSE)</f>
        <v>#N/A</v>
      </c>
      <c r="C91" s="14" t="e">
        <f>VLOOKUP(G91,'GAL-CUB'!$A:$B,3,FALSE)</f>
        <v>#N/A</v>
      </c>
      <c r="D91" s="14" t="e">
        <f>VLOOKUP(G91,'GAL-CUB'!$A:$F,7,FALSE)</f>
        <v>#N/A</v>
      </c>
      <c r="E91" s="102" t="e">
        <f>IFERROR(VLOOKUP(G91,'GAL-CUB'!$A:$D,4,FALSE),IFERROR(VLOOKUP(G91,ESCOLTAS!$A:$F,6,FALSE),VLOOKUP(G91,SAÍDAS!$A:$B,2,FALSE)))</f>
        <v>#N/A</v>
      </c>
      <c r="F91" s="14">
        <v>5</v>
      </c>
      <c r="G91" s="16" t="s">
        <v>2067</v>
      </c>
    </row>
    <row r="92" spans="2:9" ht="14.25" thickTop="1" thickBot="1">
      <c r="B92" s="14" t="e">
        <f>VLOOKUP(G92,'GAL-CUB'!$A:$A,2,FALSE)</f>
        <v>#N/A</v>
      </c>
      <c r="C92" s="14" t="e">
        <f>VLOOKUP(G92,'GAL-CUB'!$A:$B,3,FALSE)</f>
        <v>#N/A</v>
      </c>
      <c r="D92" s="14" t="e">
        <f>VLOOKUP(G92,'GAL-CUB'!$A:$F,7,FALSE)</f>
        <v>#N/A</v>
      </c>
      <c r="E92" s="102" t="e">
        <f>IFERROR(VLOOKUP(G92,'GAL-CUB'!$A:$D,4,FALSE),IFERROR(VLOOKUP(G92,ESCOLTAS!$A:$F,6,FALSE),VLOOKUP(G92,SAÍDAS!$A:$B,2,FALSE)))</f>
        <v>#N/A</v>
      </c>
      <c r="F92" s="14">
        <v>6</v>
      </c>
      <c r="G92" s="15" t="s">
        <v>1631</v>
      </c>
    </row>
    <row r="93" spans="2:9" ht="14.25" thickTop="1" thickBot="1">
      <c r="B93" s="14" t="e">
        <f>VLOOKUP(G93,'GAL-CUB'!$A:$A,2,FALSE)</f>
        <v>#N/A</v>
      </c>
      <c r="C93" s="14" t="e">
        <f>VLOOKUP(G93,'GAL-CUB'!$A:$B,3,FALSE)</f>
        <v>#N/A</v>
      </c>
      <c r="D93" s="14" t="e">
        <f>VLOOKUP(G93,'GAL-CUB'!$A:$F,7,FALSE)</f>
        <v>#N/A</v>
      </c>
      <c r="E93" s="14" t="str">
        <f>IFERROR(VLOOKUP(G93,'GAL-CUB'!$A:$D,4,FALSE),IFERROR(VLOOKUP(G93,ESCOLTAS!$A:$F,6,FALSE),VLOOKUP(G93,SAÍDAS!$A:$B,2,FALSE)))</f>
        <v>CRAPG</v>
      </c>
      <c r="F93" s="14">
        <v>7</v>
      </c>
      <c r="G93" s="130" t="s">
        <v>811</v>
      </c>
    </row>
    <row r="94" spans="2:9" ht="14.25" thickTop="1" thickBot="1">
      <c r="B94" s="14" t="e">
        <f>VLOOKUP(G94,'GAL-CUB'!$A:$A,2,FALSE)</f>
        <v>#N/A</v>
      </c>
      <c r="C94" s="14" t="e">
        <f>VLOOKUP(G94,'GAL-CUB'!$A:$B,3,FALSE)</f>
        <v>#N/A</v>
      </c>
      <c r="D94" s="14" t="e">
        <f>VLOOKUP(G94,'GAL-CUB'!$A:$F,7,FALSE)</f>
        <v>#N/A</v>
      </c>
      <c r="E94" s="14" t="e">
        <f>IFERROR(VLOOKUP(G94,'GAL-CUB'!$A:$D,4,FALSE),IFERROR(VLOOKUP(G94,ESCOLTAS!$A:$F,6,FALSE),VLOOKUP(G94,SAÍDAS!$A:$B,2,FALSE)))</f>
        <v>#N/A</v>
      </c>
      <c r="F94" s="14">
        <v>8</v>
      </c>
      <c r="G94" s="131" t="s">
        <v>1382</v>
      </c>
    </row>
    <row r="95" spans="2:9" ht="14.25" thickTop="1" thickBot="1">
      <c r="B95" s="14" t="e">
        <f>VLOOKUP(G95,'GAL-CUB'!$A:$A,2,FALSE)</f>
        <v>#N/A</v>
      </c>
      <c r="C95" s="14" t="e">
        <f>VLOOKUP(G95,'GAL-CUB'!$A:$B,3,FALSE)</f>
        <v>#N/A</v>
      </c>
      <c r="D95" s="14" t="e">
        <f>VLOOKUP(G95,'GAL-CUB'!$A:$F,7,FALSE)</f>
        <v>#N/A</v>
      </c>
      <c r="E95" s="14">
        <f>IFERROR(VLOOKUP(G95,'GAL-CUB'!$A:$D,4,FALSE),IFERROR(VLOOKUP(G95,ESCOLTAS!$A:$F,6,FALSE),VLOOKUP(G95,SAÍDAS!$A:$B,2,FALSE)))</f>
        <v>0</v>
      </c>
      <c r="F95" s="14">
        <v>9</v>
      </c>
      <c r="G95" s="122" t="s">
        <v>2064</v>
      </c>
    </row>
    <row r="96" spans="2:9" ht="14.25" thickTop="1" thickBot="1">
      <c r="B96" s="14" t="e">
        <f>VLOOKUP(G96,'GAL-CUB'!$A:$A,2,FALSE)</f>
        <v>#N/A</v>
      </c>
      <c r="C96" s="14" t="e">
        <f>VLOOKUP(G96,'GAL-CUB'!$A:$B,3,FALSE)</f>
        <v>#N/A</v>
      </c>
      <c r="D96" s="14" t="e">
        <f>VLOOKUP(G96,'GAL-CUB'!$A:$F,7,FALSE)</f>
        <v>#N/A</v>
      </c>
      <c r="E96" s="14" t="str">
        <f>IFERROR(VLOOKUP(G96,'GAL-CUB'!$A:$D,4,FALSE),IFERROR(VLOOKUP(G96,ESCOLTAS!$A:$F,6,FALSE),VLOOKUP(G96,SAÍDAS!$A:$B,2,FALSE)))</f>
        <v>CRAPG</v>
      </c>
      <c r="F96" s="14">
        <v>10</v>
      </c>
      <c r="G96" s="108" t="s">
        <v>1763</v>
      </c>
    </row>
    <row r="97" spans="2:9" ht="14.25" thickTop="1" thickBot="1">
      <c r="B97" s="14" t="e">
        <f>VLOOKUP(G97,'GAL-CUB'!$A:$A,2,FALSE)</f>
        <v>#N/A</v>
      </c>
      <c r="C97" s="14" t="e">
        <f>VLOOKUP(G97,'GAL-CUB'!$A:$B,3,FALSE)</f>
        <v>#N/A</v>
      </c>
      <c r="D97" s="14" t="e">
        <f>VLOOKUP(G97,'GAL-CUB'!$A:$F,7,FALSE)</f>
        <v>#N/A</v>
      </c>
      <c r="E97" s="14" t="e">
        <f>IFERROR(VLOOKUP(G97,'GAL-CUB'!$A:$D,4,FALSE),IFERROR(VLOOKUP(G97,ESCOLTAS!$A:$F,6,FALSE),VLOOKUP(G97,SAÍDAS!$A:$B,2,FALSE)))</f>
        <v>#N/A</v>
      </c>
      <c r="F97" s="14">
        <v>11</v>
      </c>
      <c r="G97" s="129" t="s">
        <v>563</v>
      </c>
    </row>
    <row r="98" spans="2:9" ht="14.25" thickTop="1" thickBot="1">
      <c r="B98" s="14" t="e">
        <f>VLOOKUP(G98,'GAL-CUB'!$A:$A,2,FALSE)</f>
        <v>#N/A</v>
      </c>
      <c r="C98" s="14" t="e">
        <f>VLOOKUP(G98,'GAL-CUB'!$A:$B,3,FALSE)</f>
        <v>#N/A</v>
      </c>
      <c r="D98" s="14" t="e">
        <f>VLOOKUP(G98,'GAL-CUB'!$A:$F,7,FALSE)</f>
        <v>#N/A</v>
      </c>
      <c r="E98" s="14" t="e">
        <f>IFERROR(VLOOKUP(G98,'GAL-CUB'!$A:$D,4,FALSE),IFERROR(VLOOKUP(G98,ESCOLTAS!$A:$F,6,FALSE),VLOOKUP(G98,SAÍDAS!$A:$B,2,FALSE)))</f>
        <v>#N/A</v>
      </c>
      <c r="F98" s="14">
        <v>12</v>
      </c>
      <c r="G98" s="130" t="s">
        <v>1857</v>
      </c>
    </row>
    <row r="99" spans="2:9" ht="14.25" thickTop="1" thickBot="1"/>
    <row r="100" spans="2:9" ht="14.25" thickTop="1" thickBot="1">
      <c r="B100" s="708"/>
      <c r="C100" s="709"/>
      <c r="D100" s="709"/>
      <c r="E100" s="46"/>
      <c r="F100" s="46"/>
      <c r="G100" s="27" t="str">
        <f ca="1">IF(WEEKDAY(B2,2)=1,"HOJE","SEGUNDA-FEIRA")</f>
        <v>SEGUNDA-FEIRA</v>
      </c>
    </row>
    <row r="101" spans="2:9" ht="14.25" thickTop="1" thickBot="1">
      <c r="B101" s="13" t="s">
        <v>812</v>
      </c>
      <c r="C101" s="13" t="s">
        <v>250</v>
      </c>
      <c r="D101" s="13" t="s">
        <v>435</v>
      </c>
      <c r="E101" s="13" t="s">
        <v>1178</v>
      </c>
      <c r="F101" s="13" t="s">
        <v>1802</v>
      </c>
      <c r="G101" s="13" t="s">
        <v>370</v>
      </c>
    </row>
    <row r="102" spans="2:9" ht="14.25" thickTop="1" thickBot="1">
      <c r="B102" s="14" t="e">
        <f>VLOOKUP(G102,'GAL-CUB'!$A:$A,2,FALSE)</f>
        <v>#N/A</v>
      </c>
      <c r="C102" s="14" t="e">
        <f>VLOOKUP(G102,'GAL-CUB'!$A:$B,3,FALSE)</f>
        <v>#N/A</v>
      </c>
      <c r="D102" s="14" t="e">
        <f>VLOOKUP(G102,'GAL-CUB'!$A:$F,7,FALSE)</f>
        <v>#N/A</v>
      </c>
      <c r="E102" s="14" t="str">
        <f>IFERROR(VLOOKUP(G102,'GAL-CUB'!$A:$D,4,FALSE),IFERROR(VLOOKUP(G102,ESCOLTAS!$A:$F,6,FALSE),VLOOKUP(G102,SAÍDAS!$A:$B,2,FALSE)))</f>
        <v>CRAPG</v>
      </c>
      <c r="F102" s="14">
        <v>1</v>
      </c>
      <c r="G102" s="16"/>
    </row>
    <row r="103" spans="2:9" ht="14.25" thickTop="1" thickBot="1">
      <c r="B103" s="14" t="e">
        <f>VLOOKUP(G103,'GAL-CUB'!$A:$A,2,FALSE)</f>
        <v>#N/A</v>
      </c>
      <c r="C103" s="14" t="e">
        <f>VLOOKUP(G103,'GAL-CUB'!$A:$B,3,FALSE)</f>
        <v>#N/A</v>
      </c>
      <c r="D103" s="14" t="e">
        <f>VLOOKUP(G103,'GAL-CUB'!$A:$F,7,FALSE)</f>
        <v>#N/A</v>
      </c>
      <c r="E103" s="14" t="str">
        <f>IFERROR(VLOOKUP(G103,'GAL-CUB'!$A:$D,4,FALSE),IFERROR(VLOOKUP(G103,ESCOLTAS!$A:$F,6,FALSE),VLOOKUP(G103,SAÍDAS!$A:$B,2,FALSE)))</f>
        <v>CRAPG</v>
      </c>
      <c r="F103" s="14">
        <v>2</v>
      </c>
      <c r="G103" s="16"/>
    </row>
    <row r="104" spans="2:9" ht="14.25" thickTop="1" thickBot="1">
      <c r="B104" s="14" t="e">
        <f>VLOOKUP(G104,'GAL-CUB'!$A:$A,2,FALSE)</f>
        <v>#N/A</v>
      </c>
      <c r="C104" s="14" t="e">
        <f>VLOOKUP(G104,'GAL-CUB'!$A:$B,3,FALSE)</f>
        <v>#N/A</v>
      </c>
      <c r="D104" s="14" t="e">
        <f>VLOOKUP(G104,'GAL-CUB'!$A:$F,7,FALSE)</f>
        <v>#N/A</v>
      </c>
      <c r="E104" s="102" t="str">
        <f>IFERROR(VLOOKUP(G104,'GAL-CUB'!$A:$D,4,FALSE),IFERROR(VLOOKUP(G104,ESCOLTAS!$A:$F,6,FALSE),VLOOKUP(G104,SAÍDAS!$A:$B,2,FALSE)))</f>
        <v>CRAPG</v>
      </c>
      <c r="F104" s="14">
        <v>3</v>
      </c>
      <c r="G104" s="16"/>
    </row>
    <row r="105" spans="2:9" ht="14.25" thickTop="1" thickBot="1">
      <c r="B105" s="14" t="e">
        <f>VLOOKUP(G105,'GAL-CUB'!$A:$A,2,FALSE)</f>
        <v>#N/A</v>
      </c>
      <c r="C105" s="14" t="e">
        <f>VLOOKUP(G105,'GAL-CUB'!$A:$B,3,FALSE)</f>
        <v>#N/A</v>
      </c>
      <c r="D105" s="14" t="e">
        <f>VLOOKUP(G105,'GAL-CUB'!$A:$F,7,FALSE)</f>
        <v>#N/A</v>
      </c>
      <c r="E105" s="102" t="str">
        <f>IFERROR(VLOOKUP(G105,'GAL-CUB'!$A:$D,4,FALSE),IFERROR(VLOOKUP(G105,ESCOLTAS!$A:$F,6,FALSE),VLOOKUP(G105,SAÍDAS!$A:$B,2,FALSE)))</f>
        <v>CRAPG</v>
      </c>
      <c r="F105" s="14">
        <v>4</v>
      </c>
      <c r="G105" s="98"/>
    </row>
    <row r="106" spans="2:9" ht="14.25" thickTop="1" thickBot="1">
      <c r="B106" s="14" t="e">
        <f>VLOOKUP(G106,'GAL-CUB'!$A:$A,2,FALSE)</f>
        <v>#N/A</v>
      </c>
      <c r="C106" s="14" t="e">
        <f>VLOOKUP(G106,'GAL-CUB'!$A:$B,3,FALSE)</f>
        <v>#N/A</v>
      </c>
      <c r="D106" s="14" t="e">
        <f>VLOOKUP(G106,'GAL-CUB'!$A:$F,7,FALSE)</f>
        <v>#N/A</v>
      </c>
      <c r="E106" s="102" t="str">
        <f>IFERROR(VLOOKUP(G106,'GAL-CUB'!$A:$D,4,FALSE),IFERROR(VLOOKUP(G106,ESCOLTAS!$A:$F,6,FALSE),VLOOKUP(G106,SAÍDAS!$A:$B,2,FALSE)))</f>
        <v>CRAPG</v>
      </c>
      <c r="F106" s="14">
        <v>5</v>
      </c>
      <c r="G106" s="18"/>
    </row>
    <row r="107" spans="2:9" ht="14.25" thickTop="1" thickBot="1">
      <c r="B107" s="14" t="e">
        <f>VLOOKUP(G107,'GAL-CUB'!$A:$A,2,FALSE)</f>
        <v>#N/A</v>
      </c>
      <c r="C107" s="14" t="e">
        <f>VLOOKUP(G107,'GAL-CUB'!$A:$B,3,FALSE)</f>
        <v>#N/A</v>
      </c>
      <c r="D107" s="14" t="e">
        <f>VLOOKUP(G107,'GAL-CUB'!$A:$F,7,FALSE)</f>
        <v>#N/A</v>
      </c>
      <c r="E107" s="102" t="str">
        <f>IFERROR(VLOOKUP(G107,'GAL-CUB'!$A:$D,4,FALSE),IFERROR(VLOOKUP(G107,ESCOLTAS!$A:$F,6,FALSE),VLOOKUP(G107,SAÍDAS!$A:$B,2,FALSE)))</f>
        <v>CRAPG</v>
      </c>
      <c r="F107" s="14">
        <v>6</v>
      </c>
      <c r="G107" s="107"/>
    </row>
    <row r="108" spans="2:9" ht="14.25" thickTop="1" thickBot="1">
      <c r="B108" s="14" t="e">
        <f>VLOOKUP(G108,'GAL-CUB'!$A:$A,2,FALSE)</f>
        <v>#N/A</v>
      </c>
      <c r="C108" s="14" t="e">
        <f>VLOOKUP(G108,'GAL-CUB'!$A:$B,3,FALSE)</f>
        <v>#N/A</v>
      </c>
      <c r="D108" s="14" t="e">
        <f>VLOOKUP(G108,'GAL-CUB'!$A:$F,7,FALSE)</f>
        <v>#N/A</v>
      </c>
      <c r="E108" s="102" t="str">
        <f>IFERROR(VLOOKUP(G108,'GAL-CUB'!$A:$D,4,FALSE),IFERROR(VLOOKUP(G108,ESCOLTAS!$A:$F,6,FALSE),VLOOKUP(G108,SAÍDAS!$A:$B,2,FALSE)))</f>
        <v>CRAPG</v>
      </c>
      <c r="F108" s="14">
        <v>7</v>
      </c>
      <c r="G108" s="15"/>
    </row>
    <row r="109" spans="2:9" ht="14.25" thickTop="1" thickBot="1">
      <c r="B109" s="14" t="e">
        <f>VLOOKUP(G109,'GAL-CUB'!$A:$A,2,FALSE)</f>
        <v>#N/A</v>
      </c>
      <c r="C109" s="14" t="e">
        <f>VLOOKUP(G109,'GAL-CUB'!$A:$B,3,FALSE)</f>
        <v>#N/A</v>
      </c>
      <c r="D109" s="14" t="e">
        <f>VLOOKUP(G109,'GAL-CUB'!$A:$F,7,FALSE)</f>
        <v>#N/A</v>
      </c>
      <c r="E109" s="102" t="str">
        <f>IFERROR(VLOOKUP(G109,'GAL-CUB'!$A:$D,4,FALSE),IFERROR(VLOOKUP(G109,ESCOLTAS!$A:$F,6,FALSE),VLOOKUP(G109,SAÍDAS!$A:$B,2,FALSE)))</f>
        <v>CRAPG</v>
      </c>
      <c r="F109" s="14">
        <v>8</v>
      </c>
      <c r="G109" s="107"/>
    </row>
    <row r="110" spans="2:9" ht="14.25" thickTop="1" thickBot="1">
      <c r="B110" s="14" t="e">
        <f>VLOOKUP(G110,'GAL-CUB'!$A:$A,2,FALSE)</f>
        <v>#N/A</v>
      </c>
      <c r="C110" s="14" t="e">
        <f>VLOOKUP(G110,'GAL-CUB'!$A:$B,3,FALSE)</f>
        <v>#N/A</v>
      </c>
      <c r="D110" s="14" t="e">
        <f>VLOOKUP(G110,'GAL-CUB'!$A:$F,7,FALSE)</f>
        <v>#N/A</v>
      </c>
      <c r="E110" s="102" t="str">
        <f>IFERROR(VLOOKUP(G110,'GAL-CUB'!$A:$D,4,FALSE),IFERROR(VLOOKUP(G110,ESCOLTAS!$A:$F,6,FALSE),VLOOKUP(G110,SAÍDAS!$A:$B,2,FALSE)))</f>
        <v>CRAPG</v>
      </c>
      <c r="F110" s="14">
        <v>9</v>
      </c>
      <c r="G110" s="16"/>
    </row>
    <row r="111" spans="2:9" ht="14.25" thickTop="1" thickBot="1">
      <c r="B111" s="14" t="e">
        <f>VLOOKUP(G111,'GAL-CUB'!$A:$A,2,FALSE)</f>
        <v>#N/A</v>
      </c>
      <c r="C111" s="14" t="e">
        <f>VLOOKUP(G111,'GAL-CUB'!$A:$B,3,FALSE)</f>
        <v>#N/A</v>
      </c>
      <c r="D111" s="14" t="e">
        <f>VLOOKUP(G111,'GAL-CUB'!$A:$F,7,FALSE)</f>
        <v>#N/A</v>
      </c>
      <c r="E111" s="102" t="str">
        <f>IFERROR(VLOOKUP(G111,'GAL-CUB'!$A:$D,4,FALSE),IFERROR(VLOOKUP(G111,ESCOLTAS!$A:$F,6,FALSE),VLOOKUP(G111,SAÍDAS!$A:$B,2,FALSE)))</f>
        <v>CRAPG</v>
      </c>
      <c r="F111" s="14">
        <v>10</v>
      </c>
      <c r="G111" s="15"/>
    </row>
    <row r="112" spans="2:9" ht="14.25" thickTop="1" thickBot="1">
      <c r="B112" s="14" t="e">
        <f>VLOOKUP(G112,'GAL-CUB'!$A:$A,2,FALSE)</f>
        <v>#N/A</v>
      </c>
      <c r="C112" s="14" t="e">
        <f>VLOOKUP(G112,'GAL-CUB'!$A:$B,3,FALSE)</f>
        <v>#N/A</v>
      </c>
      <c r="D112" s="14" t="e">
        <f>VLOOKUP(G112,'GAL-CUB'!$A:$F,7,FALSE)</f>
        <v>#N/A</v>
      </c>
      <c r="E112" s="102" t="str">
        <f>IFERROR(VLOOKUP(G112,'GAL-CUB'!$A:$D,4,FALSE),IFERROR(VLOOKUP(G112,ESCOLTAS!$A:$F,6,FALSE),VLOOKUP(G112,SAÍDAS!$A:$B,2,FALSE)))</f>
        <v>CRAPG</v>
      </c>
      <c r="F112" s="14">
        <v>11</v>
      </c>
      <c r="G112" s="107"/>
    </row>
    <row r="113" spans="2:9" ht="14.25" thickTop="1" thickBot="1">
      <c r="B113" s="14" t="e">
        <f>VLOOKUP(G113,'GAL-CUB'!$A:$A,2,FALSE)</f>
        <v>#N/A</v>
      </c>
      <c r="C113" s="14" t="e">
        <f>VLOOKUP(G113,'GAL-CUB'!$A:$B,3,FALSE)</f>
        <v>#N/A</v>
      </c>
      <c r="D113" s="14" t="e">
        <f>VLOOKUP(G113,'GAL-CUB'!$A:$F,7,FALSE)</f>
        <v>#N/A</v>
      </c>
      <c r="E113" s="14" t="str">
        <f>IFERROR(VLOOKUP(G113,'GAL-CUB'!$A:$D,4,FALSE),IFERROR(VLOOKUP(G113,ESCOLTAS!$A:$F,6,FALSE),VLOOKUP(G113,SAÍDAS!$A:$B,2,FALSE)))</f>
        <v>CRAPG</v>
      </c>
      <c r="F113" s="14">
        <v>12</v>
      </c>
      <c r="G113" s="107"/>
    </row>
    <row r="114" spans="2:9" ht="13.5" thickTop="1"/>
  </sheetData>
  <mergeCells count="12">
    <mergeCell ref="B2:G2"/>
    <mergeCell ref="B7:D7"/>
    <mergeCell ref="B22:D22"/>
    <mergeCell ref="B37:D37"/>
    <mergeCell ref="E22:F22"/>
    <mergeCell ref="E7:F7"/>
    <mergeCell ref="B4:G5"/>
    <mergeCell ref="B70:D70"/>
    <mergeCell ref="B85:D85"/>
    <mergeCell ref="B100:D100"/>
    <mergeCell ref="B55:D55"/>
    <mergeCell ref="B52:G53"/>
  </mergeCells>
  <phoneticPr fontId="23" type="noConversion"/>
  <conditionalFormatting sqref="G99:G101 G69:G71 G84:G86 B99:G99 G114:G65536 I29:I36 G36:G38 G51:G56 G1:G8 G21:G23 I75:I76 H1:H36 J1:IV1048576 A1:F1048576 I1:I26 I79:I88 I42:I58 H42:H88 I61:I73 H97:I65536">
    <cfRule type="cellIs" dxfId="234" priority="241" stopIfTrue="1" operator="equal">
      <formula>"CD"</formula>
    </cfRule>
    <cfRule type="cellIs" dxfId="233" priority="242" stopIfTrue="1" operator="equal">
      <formula>"ALVARÁ"</formula>
    </cfRule>
    <cfRule type="cellIs" dxfId="232" priority="243" stopIfTrue="1" operator="equal">
      <formula>"CRAPG"</formula>
    </cfRule>
    <cfRule type="cellIs" dxfId="231" priority="244" stopIfTrue="1" operator="equal">
      <formula>0</formula>
    </cfRule>
    <cfRule type="cellIs" dxfId="230" priority="245" stopIfTrue="1" operator="equal">
      <formula>"KADESH"</formula>
    </cfRule>
    <cfRule type="cellIs" dxfId="229" priority="246" stopIfTrue="1" operator="equal">
      <formula>"SANÇÃO"</formula>
    </cfRule>
  </conditionalFormatting>
  <conditionalFormatting sqref="B9:F20">
    <cfRule type="cellIs" dxfId="228" priority="167" stopIfTrue="1" operator="equal">
      <formula>"KADESH"</formula>
    </cfRule>
    <cfRule type="cellIs" dxfId="227" priority="168" stopIfTrue="1" operator="equal">
      <formula>"CCP"</formula>
    </cfRule>
    <cfRule type="cellIs" dxfId="226" priority="169" stopIfTrue="1" operator="equal">
      <formula>"ALVARÁ"</formula>
    </cfRule>
    <cfRule type="cellIs" dxfId="225" priority="170" stopIfTrue="1" operator="equal">
      <formula>"CRAPG"</formula>
    </cfRule>
    <cfRule type="cellIs" dxfId="224" priority="171" stopIfTrue="1" operator="equal">
      <formula>"CD"</formula>
    </cfRule>
    <cfRule type="cellIs" dxfId="223" priority="172" stopIfTrue="1" operator="equal">
      <formula>"SANÇÃO"</formula>
    </cfRule>
    <cfRule type="cellIs" dxfId="222" priority="173" stopIfTrue="1" operator="equal">
      <formula>0</formula>
    </cfRule>
  </conditionalFormatting>
  <conditionalFormatting sqref="E1:E1048576">
    <cfRule type="cellIs" dxfId="221" priority="166" stopIfTrue="1" operator="equal">
      <formula>"Tornozeleira"</formula>
    </cfRule>
  </conditionalFormatting>
  <conditionalFormatting sqref="D1:D1048576">
    <cfRule type="cellIs" dxfId="220" priority="116" stopIfTrue="1" operator="equal">
      <formula>"DES."</formula>
    </cfRule>
    <cfRule type="cellIs" dxfId="219" priority="117" stopIfTrue="1" operator="equal">
      <formula>"DES."</formula>
    </cfRule>
  </conditionalFormatting>
  <conditionalFormatting sqref="I74">
    <cfRule type="cellIs" dxfId="218" priority="102" stopIfTrue="1" operator="equal">
      <formula>"CD"</formula>
    </cfRule>
    <cfRule type="cellIs" dxfId="217" priority="103" stopIfTrue="1" operator="equal">
      <formula>"ALVARÁ"</formula>
    </cfRule>
    <cfRule type="cellIs" dxfId="216" priority="104" stopIfTrue="1" operator="equal">
      <formula>"CRAPG"</formula>
    </cfRule>
    <cfRule type="cellIs" dxfId="215" priority="105" stopIfTrue="1" operator="equal">
      <formula>0</formula>
    </cfRule>
    <cfRule type="cellIs" dxfId="214" priority="106" stopIfTrue="1" operator="equal">
      <formula>"KADESH"</formula>
    </cfRule>
    <cfRule type="cellIs" dxfId="213" priority="107" stopIfTrue="1" operator="equal">
      <formula>"SANÇÃO"</formula>
    </cfRule>
  </conditionalFormatting>
  <conditionalFormatting sqref="G31">
    <cfRule type="containsText" dxfId="212" priority="40" operator="containsText" text="TRIAGEM/SANÇÃO">
      <formula>NOT(ISERROR(SEARCH("TRIAGEM/SANÇÃO",G31)))</formula>
    </cfRule>
    <cfRule type="containsText" dxfId="211" priority="41" operator="containsText" text="TRIAGEM">
      <formula>NOT(ISERROR(SEARCH("TRIAGEM",G31)))</formula>
    </cfRule>
    <cfRule type="containsText" dxfId="210" priority="42" operator="containsText" text="SANÇÃO">
      <formula>NOT(ISERROR(SEARCH("SANÇÃO",G31)))</formula>
    </cfRule>
    <cfRule type="containsText" dxfId="209" priority="43" operator="containsText" text="LAVANDERIA">
      <formula>NOT(ISERROR(SEARCH("LAVANDERIA",G31)))</formula>
    </cfRule>
    <cfRule type="containsText" dxfId="208" priority="44" operator="containsText" text="KADESH">
      <formula>NOT(ISERROR(SEARCH("KADESH",G31)))</formula>
    </cfRule>
    <cfRule type="containsText" dxfId="207" priority="45" operator="containsText" text="FAXINA">
      <formula>NOT(ISERROR(SEARCH("FAXINA",G31)))</formula>
    </cfRule>
    <cfRule type="containsText" dxfId="206" priority="46" operator="containsText" text="COZINHA">
      <formula>NOT(ISERROR(SEARCH("COZINHA",G31)))</formula>
    </cfRule>
    <cfRule type="containsText" dxfId="205" priority="47" operator="containsText" text="COSTURA">
      <formula>NOT(ISERROR(SEARCH("COSTURA",G31)))</formula>
    </cfRule>
    <cfRule type="containsText" dxfId="204" priority="48" operator="containsText" text="BIBLIOTECA">
      <formula>NOT(ISERROR(SEARCH("BIBLIOTECA",G31)))</formula>
    </cfRule>
    <cfRule type="containsText" dxfId="203" priority="49" operator="containsText" text="ARTESANATO">
      <formula>NOT(ISERROR(SEARCH("ARTESANATO",G31)))</formula>
    </cfRule>
  </conditionalFormatting>
  <conditionalFormatting sqref="G73:G74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7:I28">
    <cfRule type="cellIs" dxfId="202" priority="29" stopIfTrue="1" operator="equal">
      <formula>"CD"</formula>
    </cfRule>
    <cfRule type="cellIs" dxfId="201" priority="30" stopIfTrue="1" operator="equal">
      <formula>"ALVARÁ"</formula>
    </cfRule>
    <cfRule type="cellIs" dxfId="200" priority="31" stopIfTrue="1" operator="equal">
      <formula>"CRAPG"</formula>
    </cfRule>
    <cfRule type="cellIs" dxfId="199" priority="32" stopIfTrue="1" operator="equal">
      <formula>0</formula>
    </cfRule>
    <cfRule type="cellIs" dxfId="198" priority="33" stopIfTrue="1" operator="equal">
      <formula>"KADESH"</formula>
    </cfRule>
    <cfRule type="cellIs" dxfId="197" priority="34" stopIfTrue="1" operator="equal">
      <formula>"SANÇÃO"</formula>
    </cfRule>
  </conditionalFormatting>
  <conditionalFormatting sqref="H37:I41">
    <cfRule type="cellIs" dxfId="196" priority="23" stopIfTrue="1" operator="equal">
      <formula>"CD"</formula>
    </cfRule>
    <cfRule type="cellIs" dxfId="195" priority="24" stopIfTrue="1" operator="equal">
      <formula>"ALVARÁ"</formula>
    </cfRule>
    <cfRule type="cellIs" dxfId="194" priority="25" stopIfTrue="1" operator="equal">
      <formula>"CRAPG"</formula>
    </cfRule>
    <cfRule type="cellIs" dxfId="193" priority="26" stopIfTrue="1" operator="equal">
      <formula>0</formula>
    </cfRule>
    <cfRule type="cellIs" dxfId="192" priority="27" stopIfTrue="1" operator="equal">
      <formula>"KADESH"</formula>
    </cfRule>
    <cfRule type="cellIs" dxfId="191" priority="28" stopIfTrue="1" operator="equal">
      <formula>"SANÇÃO"</formula>
    </cfRule>
  </conditionalFormatting>
  <conditionalFormatting sqref="G61">
    <cfRule type="cellIs" dxfId="190" priority="21" stopIfTrue="1" operator="equal">
      <formula>"KADESH"</formula>
    </cfRule>
  </conditionalFormatting>
  <conditionalFormatting sqref="G61">
    <cfRule type="cellIs" dxfId="189" priority="20" stopIfTrue="1" operator="equal">
      <formula>"HAGIOS"</formula>
    </cfRule>
  </conditionalFormatting>
  <conditionalFormatting sqref="G61">
    <cfRule type="duplicateValues" dxfId="188" priority="22" stopIfTrue="1"/>
  </conditionalFormatting>
  <conditionalFormatting sqref="I59:I60">
    <cfRule type="cellIs" dxfId="187" priority="14" stopIfTrue="1" operator="equal">
      <formula>"CD"</formula>
    </cfRule>
    <cfRule type="cellIs" dxfId="186" priority="15" stopIfTrue="1" operator="equal">
      <formula>"ALVARÁ"</formula>
    </cfRule>
    <cfRule type="cellIs" dxfId="185" priority="16" stopIfTrue="1" operator="equal">
      <formula>"CRAPG"</formula>
    </cfRule>
    <cfRule type="cellIs" dxfId="184" priority="17" stopIfTrue="1" operator="equal">
      <formula>0</formula>
    </cfRule>
    <cfRule type="cellIs" dxfId="183" priority="18" stopIfTrue="1" operator="equal">
      <formula>"KADESH"</formula>
    </cfRule>
    <cfRule type="cellIs" dxfId="182" priority="19" stopIfTrue="1" operator="equal">
      <formula>"SANÇÃO"</formula>
    </cfRule>
  </conditionalFormatting>
  <conditionalFormatting sqref="I77:I78">
    <cfRule type="cellIs" dxfId="181" priority="8" stopIfTrue="1" operator="equal">
      <formula>"CD"</formula>
    </cfRule>
    <cfRule type="cellIs" dxfId="180" priority="9" stopIfTrue="1" operator="equal">
      <formula>"ALVARÁ"</formula>
    </cfRule>
    <cfRule type="cellIs" dxfId="179" priority="10" stopIfTrue="1" operator="equal">
      <formula>"CRAPG"</formula>
    </cfRule>
    <cfRule type="cellIs" dxfId="178" priority="11" stopIfTrue="1" operator="equal">
      <formula>0</formula>
    </cfRule>
    <cfRule type="cellIs" dxfId="177" priority="12" stopIfTrue="1" operator="equal">
      <formula>"KADESH"</formula>
    </cfRule>
    <cfRule type="cellIs" dxfId="176" priority="13" stopIfTrue="1" operator="equal">
      <formula>"SANÇÃO"</formula>
    </cfRule>
  </conditionalFormatting>
  <conditionalFormatting sqref="H89:I96">
    <cfRule type="cellIs" dxfId="175" priority="2" stopIfTrue="1" operator="equal">
      <formula>"CD"</formula>
    </cfRule>
    <cfRule type="cellIs" dxfId="174" priority="3" stopIfTrue="1" operator="equal">
      <formula>"ALVARÁ"</formula>
    </cfRule>
    <cfRule type="cellIs" dxfId="173" priority="4" stopIfTrue="1" operator="equal">
      <formula>"CRAPG"</formula>
    </cfRule>
    <cfRule type="cellIs" dxfId="172" priority="5" stopIfTrue="1" operator="equal">
      <formula>0</formula>
    </cfRule>
    <cfRule type="cellIs" dxfId="171" priority="6" stopIfTrue="1" operator="equal">
      <formula>"KADESH"</formula>
    </cfRule>
    <cfRule type="cellIs" dxfId="170" priority="7" stopIfTrue="1" operator="equal">
      <formula>"SANÇÃO"</formula>
    </cfRule>
  </conditionalFormatting>
  <conditionalFormatting sqref="G9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indexed="43"/>
  </sheetPr>
  <dimension ref="A1:J174"/>
  <sheetViews>
    <sheetView zoomScale="110" zoomScaleNormal="110" workbookViewId="0">
      <pane xSplit="1" ySplit="3" topLeftCell="B19" activePane="bottomRight" state="frozen"/>
      <selection activeCell="G76" sqref="G76"/>
      <selection pane="topRight" activeCell="G76" sqref="G76"/>
      <selection pane="bottomLeft" activeCell="G76" sqref="G76"/>
      <selection pane="bottomRight" activeCell="B41" sqref="B41"/>
    </sheetView>
  </sheetViews>
  <sheetFormatPr defaultRowHeight="12.75"/>
  <cols>
    <col min="2" max="2" width="16.42578125" bestFit="1" customWidth="1"/>
    <col min="5" max="5" width="13.28515625" bestFit="1" customWidth="1"/>
    <col min="6" max="6" width="3.5703125" bestFit="1" customWidth="1"/>
    <col min="7" max="7" width="47.140625" bestFit="1" customWidth="1"/>
  </cols>
  <sheetData>
    <row r="1" spans="1:7" ht="13.5" thickBot="1"/>
    <row r="2" spans="1:7" ht="17.25" thickTop="1" thickBot="1">
      <c r="B2" s="711">
        <f ca="1">TODAY()</f>
        <v>44159</v>
      </c>
      <c r="C2" s="712"/>
      <c r="D2" s="712"/>
      <c r="E2" s="712"/>
      <c r="F2" s="712"/>
      <c r="G2" s="713"/>
    </row>
    <row r="3" spans="1:7" ht="13.5" thickTop="1"/>
    <row r="4" spans="1:7">
      <c r="B4" s="710" t="s">
        <v>1782</v>
      </c>
      <c r="C4" s="710"/>
      <c r="D4" s="710"/>
      <c r="E4" s="710"/>
      <c r="F4" s="710"/>
      <c r="G4" s="710"/>
    </row>
    <row r="5" spans="1:7">
      <c r="B5" s="710"/>
      <c r="C5" s="710"/>
      <c r="D5" s="710"/>
      <c r="E5" s="710"/>
      <c r="F5" s="710"/>
      <c r="G5" s="710"/>
    </row>
    <row r="6" spans="1:7" ht="13.5" thickBot="1">
      <c r="A6" s="21"/>
      <c r="B6" s="21"/>
      <c r="C6" s="21"/>
      <c r="D6" s="21"/>
      <c r="E6" s="21"/>
      <c r="F6" s="21"/>
      <c r="G6" s="21"/>
    </row>
    <row r="7" spans="1:7" ht="14.25" thickTop="1" thickBot="1">
      <c r="A7" s="21"/>
      <c r="B7" s="708" t="s">
        <v>2097</v>
      </c>
      <c r="C7" s="709"/>
      <c r="D7" s="709"/>
      <c r="E7" s="46" t="s">
        <v>2193</v>
      </c>
      <c r="F7" s="46"/>
      <c r="G7" s="27" t="str">
        <f ca="1">IF(WEEKDAY(B2,2)=2,"HOJE","TERÇA-FEIRA")</f>
        <v>HOJE</v>
      </c>
    </row>
    <row r="8" spans="1:7" ht="14.25" thickTop="1" thickBot="1">
      <c r="A8" s="21"/>
      <c r="B8" s="13" t="s">
        <v>812</v>
      </c>
      <c r="C8" s="13" t="s">
        <v>250</v>
      </c>
      <c r="D8" s="13" t="s">
        <v>435</v>
      </c>
      <c r="E8" s="13" t="s">
        <v>1178</v>
      </c>
      <c r="F8" s="13" t="s">
        <v>1802</v>
      </c>
      <c r="G8" s="13" t="s">
        <v>370</v>
      </c>
    </row>
    <row r="9" spans="1:7" ht="14.25" thickTop="1" thickBot="1">
      <c r="A9" s="21"/>
      <c r="B9" s="14" t="e">
        <f>VLOOKUP(G9,'GAL-CUB'!$A:$A,2,FALSE)</f>
        <v>#N/A</v>
      </c>
      <c r="C9" s="14" t="e">
        <f>VLOOKUP(G9,'GAL-CUB'!$A:$B,3,FALSE)</f>
        <v>#N/A</v>
      </c>
      <c r="D9" s="14" t="e">
        <f>VLOOKUP(G9,'GAL-CUB'!$A:$G,8,FALSE)</f>
        <v>#N/A</v>
      </c>
      <c r="E9" s="14" t="str">
        <f>IFERROR(VLOOKUP(G9,'GAL-CUB'!$A:$D,4,FALSE),IFERROR(VLOOKUP(G9,ESCOLTAS!$A:$F,6,FALSE),VLOOKUP(G9,SAÍDAS!$A:$B,2,FALSE)))</f>
        <v>CRAPG</v>
      </c>
      <c r="F9" s="14">
        <v>1</v>
      </c>
      <c r="G9" s="15" t="s">
        <v>567</v>
      </c>
    </row>
    <row r="10" spans="1:7" ht="14.25" thickTop="1" thickBot="1">
      <c r="A10" s="21"/>
      <c r="B10" s="14" t="e">
        <f>VLOOKUP(G10,'GAL-CUB'!$A:$A,2,FALSE)</f>
        <v>#N/A</v>
      </c>
      <c r="C10" s="14" t="e">
        <f>VLOOKUP(G10,'GAL-CUB'!$A:$B,3,FALSE)</f>
        <v>#N/A</v>
      </c>
      <c r="D10" s="14" t="e">
        <f>VLOOKUP(G10,'GAL-CUB'!$A:$G,8,FALSE)</f>
        <v>#N/A</v>
      </c>
      <c r="E10" s="14" t="e">
        <f>IFERROR(VLOOKUP(G10,'GAL-CUB'!$A:$D,4,FALSE),IFERROR(VLOOKUP(G10,ESCOLTAS!$A:$F,6,FALSE),VLOOKUP(G10,SAÍDAS!$A:$B,2,FALSE)))</f>
        <v>#N/A</v>
      </c>
      <c r="F10" s="14">
        <v>2</v>
      </c>
      <c r="G10" s="16" t="str">
        <f>SEGUNDA!G25</f>
        <v>ANDERSON JOSE DOS SANTOS (Nego Sete)</v>
      </c>
    </row>
    <row r="11" spans="1:7" ht="14.25" thickTop="1" thickBot="1">
      <c r="A11" s="21"/>
      <c r="B11" s="14" t="e">
        <f>VLOOKUP(G11,'GAL-CUB'!$A:$A,2,FALSE)</f>
        <v>#N/A</v>
      </c>
      <c r="C11" s="14" t="e">
        <f>VLOOKUP(G11,'GAL-CUB'!$A:$B,3,FALSE)</f>
        <v>#N/A</v>
      </c>
      <c r="D11" s="14" t="e">
        <f>VLOOKUP(G11,'GAL-CUB'!$A:$G,8,FALSE)</f>
        <v>#N/A</v>
      </c>
      <c r="E11" s="14" t="str">
        <f>IFERROR(VLOOKUP(G11,'GAL-CUB'!$A:$D,4,FALSE),IFERROR(VLOOKUP(G11,ESCOLTAS!$A:$F,6,FALSE),VLOOKUP(G11,SAÍDAS!$A:$B,2,FALSE)))</f>
        <v>Bonde CTBA</v>
      </c>
      <c r="F11" s="14">
        <v>3</v>
      </c>
      <c r="G11" s="98" t="s">
        <v>2095</v>
      </c>
    </row>
    <row r="12" spans="1:7" ht="14.25" thickTop="1" thickBot="1">
      <c r="A12" s="21"/>
      <c r="B12" s="14" t="e">
        <f>VLOOKUP(G12,'GAL-CUB'!$A:$A,2,FALSE)</f>
        <v>#N/A</v>
      </c>
      <c r="C12" s="14" t="e">
        <f>VLOOKUP(G12,'GAL-CUB'!$A:$B,3,FALSE)</f>
        <v>#N/A</v>
      </c>
      <c r="D12" s="14" t="e">
        <f>VLOOKUP(G12,'GAL-CUB'!$A:$G,8,FALSE)</f>
        <v>#N/A</v>
      </c>
      <c r="E12" s="102" t="e">
        <f>IFERROR(VLOOKUP(G12,'GAL-CUB'!$A:$D,4,FALSE),IFERROR(VLOOKUP(G12,ESCOLTAS!$A:$F,6,FALSE),VLOOKUP(G12,SAÍDAS!$A:$B,2,FALSE)))</f>
        <v>#N/A</v>
      </c>
      <c r="F12" s="14">
        <v>4</v>
      </c>
      <c r="G12" s="108" t="s">
        <v>1664</v>
      </c>
    </row>
    <row r="13" spans="1:7" ht="14.25" thickTop="1" thickBot="1">
      <c r="A13" s="21"/>
      <c r="B13" s="14" t="e">
        <f>VLOOKUP(G13,'GAL-CUB'!$A:$A,2,FALSE)</f>
        <v>#N/A</v>
      </c>
      <c r="C13" s="14" t="e">
        <f>VLOOKUP(G13,'GAL-CUB'!$A:$B,3,FALSE)</f>
        <v>#N/A</v>
      </c>
      <c r="D13" s="14" t="e">
        <f>VLOOKUP(G13,'GAL-CUB'!$A:$G,8,FALSE)</f>
        <v>#N/A</v>
      </c>
      <c r="E13" s="14" t="str">
        <f>IFERROR(VLOOKUP(G13,'GAL-CUB'!$A:$D,4,FALSE),IFERROR(VLOOKUP(G13,ESCOLTAS!$A:$F,6,FALSE),VLOOKUP(G13,SAÍDAS!$A:$B,2,FALSE)))</f>
        <v>CRAPG</v>
      </c>
      <c r="F13" s="14">
        <v>5</v>
      </c>
      <c r="G13" s="16" t="s">
        <v>1722</v>
      </c>
    </row>
    <row r="14" spans="1:7" ht="14.25" thickTop="1" thickBot="1">
      <c r="A14" s="21"/>
      <c r="B14" s="14" t="e">
        <f>VLOOKUP(G14,'GAL-CUB'!$A:$A,2,FALSE)</f>
        <v>#N/A</v>
      </c>
      <c r="C14" s="14" t="e">
        <f>VLOOKUP(G14,'GAL-CUB'!$A:$B,3,FALSE)</f>
        <v>#N/A</v>
      </c>
      <c r="D14" s="14" t="e">
        <f>VLOOKUP(G14,'GAL-CUB'!$A:$G,8,FALSE)</f>
        <v>#N/A</v>
      </c>
      <c r="E14" s="14" t="str">
        <f>IFERROR(VLOOKUP(G14,'GAL-CUB'!$A:$D,4,FALSE),IFERROR(VLOOKUP(G14,ESCOLTAS!$A:$F,6,FALSE),VLOOKUP(G14,SAÍDAS!$A:$B,2,FALSE)))</f>
        <v>L.C.</v>
      </c>
      <c r="F14" s="14">
        <v>6</v>
      </c>
      <c r="G14" s="108" t="s">
        <v>525</v>
      </c>
    </row>
    <row r="15" spans="1:7" ht="14.25" thickTop="1" thickBot="1">
      <c r="A15" s="21"/>
      <c r="B15" s="14" t="e">
        <f>VLOOKUP(G15,'GAL-CUB'!$A:$A,2,FALSE)</f>
        <v>#N/A</v>
      </c>
      <c r="C15" s="14" t="e">
        <f>VLOOKUP(G15,'GAL-CUB'!$A:$B,3,FALSE)</f>
        <v>#N/A</v>
      </c>
      <c r="D15" s="14" t="e">
        <f>VLOOKUP(G15,'GAL-CUB'!$A:$G,8,FALSE)</f>
        <v>#N/A</v>
      </c>
      <c r="E15" s="14" t="e">
        <f>IFERROR(VLOOKUP(G15,'GAL-CUB'!$A:$D,4,FALSE),IFERROR(VLOOKUP(G15,ESCOLTAS!$A:$F,6,FALSE),VLOOKUP(G15,SAÍDAS!$A:$B,2,FALSE)))</f>
        <v>#N/A</v>
      </c>
      <c r="F15" s="14">
        <v>7</v>
      </c>
      <c r="G15" s="15" t="s">
        <v>2068</v>
      </c>
    </row>
    <row r="16" spans="1:7" ht="14.25" thickTop="1" thickBot="1">
      <c r="A16" s="21"/>
      <c r="B16" s="14" t="e">
        <f>VLOOKUP(G16,'GAL-CUB'!$A:$A,2,FALSE)</f>
        <v>#N/A</v>
      </c>
      <c r="C16" s="14" t="e">
        <f>VLOOKUP(G16,'GAL-CUB'!$A:$B,3,FALSE)</f>
        <v>#N/A</v>
      </c>
      <c r="D16" s="14" t="e">
        <f>VLOOKUP(G16,'GAL-CUB'!$A:$G,8,FALSE)</f>
        <v>#N/A</v>
      </c>
      <c r="E16" s="14" t="e">
        <f>IFERROR(VLOOKUP(G16,'GAL-CUB'!$A:$D,4,FALSE),IFERROR(VLOOKUP(G16,ESCOLTAS!$A:$F,6,FALSE),VLOOKUP(G16,SAÍDAS!$A:$B,2,FALSE)))</f>
        <v>#N/A</v>
      </c>
      <c r="F16" s="14">
        <v>8</v>
      </c>
      <c r="G16" s="16" t="s">
        <v>2076</v>
      </c>
    </row>
    <row r="17" spans="1:10" ht="14.25" thickTop="1" thickBot="1">
      <c r="A17" s="21"/>
      <c r="B17" s="14" t="e">
        <f>VLOOKUP(G17,'GAL-CUB'!$A:$A,2,FALSE)</f>
        <v>#N/A</v>
      </c>
      <c r="C17" s="14" t="e">
        <f>VLOOKUP(G17,'GAL-CUB'!$A:$B,3,FALSE)</f>
        <v>#N/A</v>
      </c>
      <c r="D17" s="14" t="e">
        <f>VLOOKUP(G17,'GAL-CUB'!$A:$G,8,FALSE)</f>
        <v>#N/A</v>
      </c>
      <c r="E17" s="14" t="str">
        <f>IFERROR(VLOOKUP(G17,'GAL-CUB'!$A:$D,4,FALSE),IFERROR(VLOOKUP(G17,ESCOLTAS!$A:$F,6,FALSE),VLOOKUP(G17,SAÍDAS!$A:$B,2,FALSE)))</f>
        <v>CRAPG</v>
      </c>
      <c r="F17" s="14">
        <v>9</v>
      </c>
      <c r="G17" s="18" t="s">
        <v>405</v>
      </c>
    </row>
    <row r="18" spans="1:10" ht="14.25" thickTop="1" thickBot="1">
      <c r="A18" s="21"/>
      <c r="B18" s="14" t="e">
        <f>VLOOKUP(G18,'GAL-CUB'!$A:$A,2,FALSE)</f>
        <v>#N/A</v>
      </c>
      <c r="C18" s="14" t="e">
        <f>VLOOKUP(G18,'GAL-CUB'!$A:$B,3,FALSE)</f>
        <v>#N/A</v>
      </c>
      <c r="D18" s="14" t="e">
        <f>VLOOKUP(G18,'GAL-CUB'!$A:$G,8,FALSE)</f>
        <v>#N/A</v>
      </c>
      <c r="E18" s="14" t="str">
        <f>IFERROR(VLOOKUP(G18,'GAL-CUB'!$A:$D,4,FALSE),IFERROR(VLOOKUP(G18,ESCOLTAS!$A:$F,6,FALSE),VLOOKUP(G18,SAÍDAS!$A:$B,2,FALSE)))</f>
        <v>CRAPG</v>
      </c>
      <c r="F18" s="14">
        <v>10</v>
      </c>
      <c r="G18" s="15" t="s">
        <v>2058</v>
      </c>
    </row>
    <row r="19" spans="1:10" ht="14.25" thickTop="1" thickBot="1">
      <c r="A19" s="21"/>
      <c r="B19" s="14" t="e">
        <f>VLOOKUP(G19,'GAL-CUB'!$A:$A,2,FALSE)</f>
        <v>#N/A</v>
      </c>
      <c r="C19" s="14" t="e">
        <f>VLOOKUP(G19,'GAL-CUB'!$A:$B,3,FALSE)</f>
        <v>#N/A</v>
      </c>
      <c r="D19" s="14" t="e">
        <f>VLOOKUP(G19,'GAL-CUB'!$A:$G,8,FALSE)</f>
        <v>#N/A</v>
      </c>
      <c r="E19" s="14" t="str">
        <f>IFERROR(VLOOKUP(G19,'GAL-CUB'!$A:$D,4,FALSE),IFERROR(VLOOKUP(G19,ESCOLTAS!$A:$F,6,FALSE),VLOOKUP(G19,SAÍDAS!$A:$B,2,FALSE)))</f>
        <v>CRAPG</v>
      </c>
      <c r="F19" s="14">
        <v>11</v>
      </c>
      <c r="G19" s="108" t="s">
        <v>1823</v>
      </c>
      <c r="I19" s="57"/>
      <c r="J19" s="90"/>
    </row>
    <row r="20" spans="1:10" ht="14.25" thickTop="1" thickBot="1">
      <c r="A20" s="21"/>
      <c r="B20" s="14" t="e">
        <f>VLOOKUP(G20,'GAL-CUB'!$A:$A,2,FALSE)</f>
        <v>#N/A</v>
      </c>
      <c r="C20" s="14" t="e">
        <f>VLOOKUP(G20,'GAL-CUB'!$A:$B,3,FALSE)</f>
        <v>#N/A</v>
      </c>
      <c r="D20" s="14" t="e">
        <f>VLOOKUP(G20,'GAL-CUB'!$A:$G,8,FALSE)</f>
        <v>#N/A</v>
      </c>
      <c r="E20" s="14" t="e">
        <f>IFERROR(VLOOKUP(G20,'GAL-CUB'!$A:$D,4,FALSE),IFERROR(VLOOKUP(G20,ESCOLTAS!$A:$F,6,FALSE),VLOOKUP(G20,SAÍDAS!$A:$B,2,FALSE)))</f>
        <v>#N/A</v>
      </c>
      <c r="F20" s="14">
        <v>12</v>
      </c>
      <c r="G20" s="16" t="s">
        <v>1734</v>
      </c>
    </row>
    <row r="21" spans="1:10" ht="14.25" thickTop="1" thickBot="1"/>
    <row r="22" spans="1:10" ht="14.25" thickTop="1" thickBot="1">
      <c r="B22" s="708" t="str">
        <f>SEGUNDA!B37</f>
        <v>SOLANGE</v>
      </c>
      <c r="C22" s="709"/>
      <c r="D22" s="709"/>
      <c r="E22" s="46"/>
      <c r="F22" s="46"/>
      <c r="G22" s="27" t="str">
        <f ca="1">IF(WEEKDAY(B2,2)=2,"HOJE","TERÇA-FEIRA")</f>
        <v>HOJE</v>
      </c>
    </row>
    <row r="23" spans="1:10" ht="14.25" thickTop="1" thickBot="1">
      <c r="B23" s="13" t="s">
        <v>812</v>
      </c>
      <c r="C23" s="13" t="s">
        <v>250</v>
      </c>
      <c r="D23" s="13" t="s">
        <v>435</v>
      </c>
      <c r="E23" s="13" t="s">
        <v>1178</v>
      </c>
      <c r="F23" s="13" t="s">
        <v>1802</v>
      </c>
      <c r="G23" s="13" t="s">
        <v>370</v>
      </c>
    </row>
    <row r="24" spans="1:10" ht="14.25" thickTop="1" thickBot="1">
      <c r="B24" s="14" t="e">
        <f>VLOOKUP(G24,'GAL-CUB'!$A:$A,2,FALSE)</f>
        <v>#N/A</v>
      </c>
      <c r="C24" s="14" t="e">
        <f>VLOOKUP(G24,'GAL-CUB'!$A:$B,3,FALSE)</f>
        <v>#N/A</v>
      </c>
      <c r="D24" s="14" t="e">
        <f>VLOOKUP(G24,'GAL-CUB'!$A:$G,8,FALSE)</f>
        <v>#N/A</v>
      </c>
      <c r="E24" s="14" t="e">
        <f>IFERROR(VLOOKUP(G24,'GAL-CUB'!$A:$D,4,FALSE),IFERROR(VLOOKUP(G24,ESCOLTAS!$A:$F,6,FALSE),VLOOKUP(G24,SAÍDAS!$A:$B,2,FALSE)))</f>
        <v>#N/A</v>
      </c>
      <c r="F24" s="14">
        <v>1</v>
      </c>
      <c r="G24" s="58" t="str">
        <f>SEGUNDA!G39</f>
        <v>JACKSON DOS SANTOS (Gordinho)</v>
      </c>
    </row>
    <row r="25" spans="1:10" ht="14.25" thickTop="1" thickBot="1">
      <c r="B25" s="14" t="e">
        <f>VLOOKUP(G25,'GAL-CUB'!$A:$A,2,FALSE)</f>
        <v>#N/A</v>
      </c>
      <c r="C25" s="14" t="e">
        <f>VLOOKUP(G25,'GAL-CUB'!$A:$B,3,FALSE)</f>
        <v>#N/A</v>
      </c>
      <c r="D25" s="14" t="e">
        <f>VLOOKUP(G25,'GAL-CUB'!$A:$G,8,FALSE)</f>
        <v>#N/A</v>
      </c>
      <c r="E25" s="14" t="e">
        <f>IFERROR(VLOOKUP(G25,'GAL-CUB'!$A:$D,4,FALSE),IFERROR(VLOOKUP(G25,ESCOLTAS!$A:$F,6,FALSE),VLOOKUP(G25,SAÍDAS!$A:$B,2,FALSE)))</f>
        <v>#N/A</v>
      </c>
      <c r="F25" s="14">
        <v>2</v>
      </c>
      <c r="G25" s="101" t="str">
        <f>SEGUNDA!G40</f>
        <v>DULCIDIO ALVAREZ RIBAS</v>
      </c>
    </row>
    <row r="26" spans="1:10" ht="14.25" thickTop="1" thickBot="1">
      <c r="B26" s="14" t="e">
        <f>VLOOKUP(G26,'GAL-CUB'!$A:$A,2,FALSE)</f>
        <v>#N/A</v>
      </c>
      <c r="C26" s="14" t="e">
        <f>VLOOKUP(G26,'GAL-CUB'!$A:$B,3,FALSE)</f>
        <v>#N/A</v>
      </c>
      <c r="D26" s="14" t="e">
        <f>VLOOKUP(G26,'GAL-CUB'!$A:$G,8,FALSE)</f>
        <v>#N/A</v>
      </c>
      <c r="E26" s="14" t="str">
        <f>IFERROR(VLOOKUP(G26,'GAL-CUB'!$A:$D,4,FALSE),IFERROR(VLOOKUP(G26,ESCOLTAS!$A:$F,6,FALSE),VLOOKUP(G26,SAÍDAS!$A:$B,2,FALSE)))</f>
        <v>CRAPG</v>
      </c>
      <c r="F26" s="14">
        <v>3</v>
      </c>
      <c r="G26" s="101">
        <f>SEGUNDA!G41</f>
        <v>0</v>
      </c>
    </row>
    <row r="27" spans="1:10" ht="14.25" thickTop="1" thickBot="1">
      <c r="B27" s="14" t="e">
        <f>VLOOKUP(G27,'GAL-CUB'!$A:$A,2,FALSE)</f>
        <v>#N/A</v>
      </c>
      <c r="C27" s="14" t="e">
        <f>VLOOKUP(G27,'GAL-CUB'!$A:$B,3,FALSE)</f>
        <v>#N/A</v>
      </c>
      <c r="D27" s="14" t="e">
        <f>VLOOKUP(G27,'GAL-CUB'!$A:$G,8,FALSE)</f>
        <v>#N/A</v>
      </c>
      <c r="E27" s="14" t="str">
        <f>IFERROR(VLOOKUP(G27,'GAL-CUB'!$A:$D,4,FALSE),IFERROR(VLOOKUP(G27,ESCOLTAS!$A:$F,6,FALSE),VLOOKUP(G27,SAÍDAS!$A:$B,2,FALSE)))</f>
        <v>CRAPG</v>
      </c>
      <c r="F27" s="14">
        <v>4</v>
      </c>
      <c r="G27" s="101">
        <f>SEGUNDA!G42</f>
        <v>0</v>
      </c>
    </row>
    <row r="28" spans="1:10" ht="14.25" thickTop="1" thickBot="1">
      <c r="B28" s="14" t="e">
        <f>VLOOKUP(G28,'GAL-CUB'!$A:$A,2,FALSE)</f>
        <v>#N/A</v>
      </c>
      <c r="C28" s="14" t="e">
        <f>VLOOKUP(G28,'GAL-CUB'!$A:$B,3,FALSE)</f>
        <v>#N/A</v>
      </c>
      <c r="D28" s="14" t="e">
        <f>VLOOKUP(G28,'GAL-CUB'!$A:$G,8,FALSE)</f>
        <v>#N/A</v>
      </c>
      <c r="E28" s="14" t="str">
        <f>IFERROR(VLOOKUP(G28,'GAL-CUB'!$A:$D,4,FALSE),IFERROR(VLOOKUP(G28,ESCOLTAS!$A:$F,6,FALSE),VLOOKUP(G28,SAÍDAS!$A:$B,2,FALSE)))</f>
        <v>CRAPG</v>
      </c>
      <c r="F28" s="14">
        <v>5</v>
      </c>
      <c r="G28" s="101">
        <f>SEGUNDA!G43</f>
        <v>0</v>
      </c>
    </row>
    <row r="29" spans="1:10" ht="14.25" thickTop="1" thickBot="1">
      <c r="B29" s="14" t="e">
        <f>VLOOKUP(G29,'GAL-CUB'!$A:$A,2,FALSE)</f>
        <v>#N/A</v>
      </c>
      <c r="C29" s="14" t="e">
        <f>VLOOKUP(G29,'GAL-CUB'!$A:$B,3,FALSE)</f>
        <v>#N/A</v>
      </c>
      <c r="D29" s="14" t="e">
        <f>VLOOKUP(G29,'GAL-CUB'!$A:$G,8,FALSE)</f>
        <v>#N/A</v>
      </c>
      <c r="E29" s="14" t="e">
        <f>IFERROR(VLOOKUP(G29,'GAL-CUB'!$A:$D,4,FALSE),IFERROR(VLOOKUP(G29,ESCOLTAS!$A:$F,6,FALSE),VLOOKUP(G29,SAÍDAS!$A:$B,2,FALSE)))</f>
        <v>#N/A</v>
      </c>
      <c r="F29" s="14">
        <v>6</v>
      </c>
      <c r="G29" s="101" t="str">
        <f>SEGUNDA!G44</f>
        <v>MAICON EMANUEL DE ASSUNCAO</v>
      </c>
    </row>
    <row r="30" spans="1:10" ht="14.25" thickTop="1" thickBot="1">
      <c r="B30" s="14" t="e">
        <f>VLOOKUP(G30,'GAL-CUB'!$A:$A,2,FALSE)</f>
        <v>#N/A</v>
      </c>
      <c r="C30" s="14" t="e">
        <f>VLOOKUP(G30,'GAL-CUB'!$A:$B,3,FALSE)</f>
        <v>#N/A</v>
      </c>
      <c r="D30" s="14" t="e">
        <f>VLOOKUP(G30,'GAL-CUB'!$A:$G,8,FALSE)</f>
        <v>#N/A</v>
      </c>
      <c r="E30" s="14" t="e">
        <f>IFERROR(VLOOKUP(G30,'GAL-CUB'!$A:$D,4,FALSE),IFERROR(VLOOKUP(G30,ESCOLTAS!$A:$F,6,FALSE),VLOOKUP(G30,SAÍDAS!$A:$B,2,FALSE)))</f>
        <v>#N/A</v>
      </c>
      <c r="F30" s="14">
        <v>7</v>
      </c>
      <c r="G30" s="101" t="str">
        <f>SEGUNDA!G45</f>
        <v>MARCIO DUBIELA</v>
      </c>
    </row>
    <row r="31" spans="1:10" ht="14.25" thickTop="1" thickBot="1">
      <c r="B31" s="14" t="e">
        <f>VLOOKUP(G31,'GAL-CUB'!$A:$A,2,FALSE)</f>
        <v>#N/A</v>
      </c>
      <c r="C31" s="14" t="e">
        <f>VLOOKUP(G31,'GAL-CUB'!$A:$B,3,FALSE)</f>
        <v>#N/A</v>
      </c>
      <c r="D31" s="14" t="e">
        <f>VLOOKUP(G31,'GAL-CUB'!$A:$G,8,FALSE)</f>
        <v>#N/A</v>
      </c>
      <c r="E31" s="14" t="e">
        <f>IFERROR(VLOOKUP(G31,'GAL-CUB'!$A:$D,4,FALSE),IFERROR(VLOOKUP(G31,ESCOLTAS!$A:$F,6,FALSE),VLOOKUP(G31,SAÍDAS!$A:$B,2,FALSE)))</f>
        <v>#N/A</v>
      </c>
      <c r="F31" s="14">
        <v>8</v>
      </c>
      <c r="G31" s="101" t="str">
        <f>SEGUNDA!G46</f>
        <v>MAURO DOS SANTOS (Índio)</v>
      </c>
    </row>
    <row r="32" spans="1:10" ht="14.25" thickTop="1" thickBot="1">
      <c r="B32" s="14" t="e">
        <f>VLOOKUP(G32,'GAL-CUB'!$A:$A,2,FALSE)</f>
        <v>#N/A</v>
      </c>
      <c r="C32" s="14" t="e">
        <f>VLOOKUP(G32,'GAL-CUB'!$A:$B,3,FALSE)</f>
        <v>#N/A</v>
      </c>
      <c r="D32" s="14" t="e">
        <f>VLOOKUP(G32,'GAL-CUB'!$A:$G,8,FALSE)</f>
        <v>#N/A</v>
      </c>
      <c r="E32" s="14" t="e">
        <f>IFERROR(VLOOKUP(G32,'GAL-CUB'!$A:$D,4,FALSE),IFERROR(VLOOKUP(G32,ESCOLTAS!$A:$F,6,FALSE),VLOOKUP(G32,SAÍDAS!$A:$B,2,FALSE)))</f>
        <v>#N/A</v>
      </c>
      <c r="F32" s="14">
        <v>9</v>
      </c>
      <c r="G32" s="101" t="str">
        <f>SEGUNDA!G47</f>
        <v>NATHAN JUNIOR ADOLFO DE OLIVEIRA (Junior / Tartaruga)</v>
      </c>
    </row>
    <row r="33" spans="2:7" ht="14.25" thickTop="1" thickBot="1">
      <c r="B33" s="14" t="e">
        <f>VLOOKUP(G33,'GAL-CUB'!$A:$A,2,FALSE)</f>
        <v>#N/A</v>
      </c>
      <c r="C33" s="14" t="e">
        <f>VLOOKUP(G33,'GAL-CUB'!$A:$B,3,FALSE)</f>
        <v>#N/A</v>
      </c>
      <c r="D33" s="14" t="e">
        <f>VLOOKUP(G33,'GAL-CUB'!$A:$G,8,FALSE)</f>
        <v>#N/A</v>
      </c>
      <c r="E33" s="14" t="e">
        <f>IFERROR(VLOOKUP(G33,'GAL-CUB'!$A:$D,4,FALSE),IFERROR(VLOOKUP(G33,ESCOLTAS!$A:$F,6,FALSE),VLOOKUP(G33,SAÍDAS!$A:$B,2,FALSE)))</f>
        <v>#N/A</v>
      </c>
      <c r="F33" s="14">
        <v>10</v>
      </c>
      <c r="G33" s="101" t="str">
        <f>SEGUNDA!G48</f>
        <v>NILTON CESAR FERREIRA PEDROSO</v>
      </c>
    </row>
    <row r="34" spans="2:7" ht="14.25" thickTop="1" thickBot="1">
      <c r="B34" s="14" t="e">
        <f>VLOOKUP(G34,'GAL-CUB'!$A:$A,2,FALSE)</f>
        <v>#N/A</v>
      </c>
      <c r="C34" s="14" t="e">
        <f>VLOOKUP(G34,'GAL-CUB'!$A:$B,3,FALSE)</f>
        <v>#N/A</v>
      </c>
      <c r="D34" s="14" t="e">
        <f>VLOOKUP(G34,'GAL-CUB'!$A:$G,8,FALSE)</f>
        <v>#N/A</v>
      </c>
      <c r="E34" s="14" t="str">
        <f>IFERROR(VLOOKUP(G34,'GAL-CUB'!$A:$D,4,FALSE),IFERROR(VLOOKUP(G34,ESCOLTAS!$A:$F,6,FALSE),VLOOKUP(G34,SAÍDAS!$A:$B,2,FALSE)))</f>
        <v>CRAPG</v>
      </c>
      <c r="F34" s="14">
        <v>11</v>
      </c>
      <c r="G34" s="101" t="str">
        <f>SEGUNDA!G49</f>
        <v>PATRICK BUENO DE OLIVEIRA</v>
      </c>
    </row>
    <row r="35" spans="2:7" ht="14.25" thickTop="1" thickBot="1">
      <c r="B35" s="14" t="e">
        <f>VLOOKUP(G35,'GAL-CUB'!$A:$A,2,FALSE)</f>
        <v>#N/A</v>
      </c>
      <c r="C35" s="14" t="e">
        <f>VLOOKUP(G35,'GAL-CUB'!$A:$B,3,FALSE)</f>
        <v>#N/A</v>
      </c>
      <c r="D35" s="14" t="e">
        <f>VLOOKUP(G35,'GAL-CUB'!$A:$G,8,FALSE)</f>
        <v>#N/A</v>
      </c>
      <c r="E35" s="14" t="str">
        <f>IFERROR(VLOOKUP(G35,'GAL-CUB'!$A:$D,4,FALSE),IFERROR(VLOOKUP(G35,ESCOLTAS!$A:$F,6,FALSE),VLOOKUP(G35,SAÍDAS!$A:$B,2,FALSE)))</f>
        <v>CRAPG</v>
      </c>
      <c r="F35" s="14">
        <v>12</v>
      </c>
      <c r="G35" s="101" t="str">
        <f>SEGUNDA!G50</f>
        <v>PAULO POLLI</v>
      </c>
    </row>
    <row r="36" spans="2:7" ht="14.25" thickTop="1" thickBot="1"/>
    <row r="37" spans="2:7" ht="14.25" thickTop="1" thickBot="1">
      <c r="B37" s="708" t="s">
        <v>1777</v>
      </c>
      <c r="C37" s="709"/>
      <c r="D37" s="709"/>
      <c r="E37" s="46" t="s">
        <v>2193</v>
      </c>
      <c r="F37" s="46"/>
      <c r="G37" s="27" t="str">
        <f ca="1">IF(WEEKDAY(B2,2)=2,"HOJE","TERÇA-FEIRA")</f>
        <v>HOJE</v>
      </c>
    </row>
    <row r="38" spans="2:7" ht="14.25" thickTop="1" thickBot="1">
      <c r="B38" s="13" t="s">
        <v>812</v>
      </c>
      <c r="C38" s="13" t="s">
        <v>250</v>
      </c>
      <c r="D38" s="13" t="s">
        <v>435</v>
      </c>
      <c r="E38" s="13" t="s">
        <v>1178</v>
      </c>
      <c r="F38" s="13" t="s">
        <v>1802</v>
      </c>
      <c r="G38" s="13" t="s">
        <v>370</v>
      </c>
    </row>
    <row r="39" spans="2:7" ht="14.25" thickTop="1" thickBot="1">
      <c r="B39" s="14" t="e">
        <f>VLOOKUP(G39,'GAL-CUB'!$A:$A,2,FALSE)</f>
        <v>#N/A</v>
      </c>
      <c r="C39" s="14" t="e">
        <f>VLOOKUP(G39,'GAL-CUB'!$A:$B,3,FALSE)</f>
        <v>#N/A</v>
      </c>
      <c r="D39" s="14" t="e">
        <f>VLOOKUP(G39,'GAL-CUB'!$A:$G,8,FALSE)</f>
        <v>#N/A</v>
      </c>
      <c r="E39" s="102" t="str">
        <f>IFERROR(VLOOKUP(G39,'GAL-CUB'!$A:$D,4,FALSE),IFERROR(VLOOKUP(G39,ESCOLTAS!$A:$F,6,FALSE),VLOOKUP(G39,SAÍDAS!$A:$B,2,FALSE)))</f>
        <v>CRAPG</v>
      </c>
      <c r="F39" s="102">
        <v>1</v>
      </c>
      <c r="G39" s="101"/>
    </row>
    <row r="40" spans="2:7" ht="14.25" thickTop="1" thickBot="1">
      <c r="B40" s="14" t="e">
        <f>VLOOKUP(G40,'GAL-CUB'!$A:$A,2,FALSE)</f>
        <v>#N/A</v>
      </c>
      <c r="C40" s="14" t="e">
        <f>VLOOKUP(G40,'GAL-CUB'!$A:$B,3,FALSE)</f>
        <v>#N/A</v>
      </c>
      <c r="D40" s="14" t="e">
        <f>VLOOKUP(G40,'GAL-CUB'!$A:$G,8,FALSE)</f>
        <v>#N/A</v>
      </c>
      <c r="E40" s="14" t="str">
        <f>IFERROR(VLOOKUP(G40,'GAL-CUB'!$A:$D,4,FALSE),IFERROR(VLOOKUP(G40,ESCOLTAS!$A:$F,6,FALSE),VLOOKUP(G40,SAÍDAS!$A:$B,2,FALSE)))</f>
        <v>CRAPG</v>
      </c>
      <c r="F40" s="14">
        <v>2</v>
      </c>
      <c r="G40" s="101"/>
    </row>
    <row r="41" spans="2:7" ht="14.25" thickTop="1" thickBot="1">
      <c r="B41" s="14" t="e">
        <f>VLOOKUP(G41,'GAL-CUB'!$A:$A,2,FALSE)</f>
        <v>#N/A</v>
      </c>
      <c r="C41" s="14" t="e">
        <f>VLOOKUP(G41,'GAL-CUB'!$A:$B,3,FALSE)</f>
        <v>#N/A</v>
      </c>
      <c r="D41" s="14" t="e">
        <f>VLOOKUP(G41,'GAL-CUB'!$A:$G,8,FALSE)</f>
        <v>#N/A</v>
      </c>
      <c r="E41" s="14" t="str">
        <f>IFERROR(VLOOKUP(G41,'GAL-CUB'!$A:$D,4,FALSE),IFERROR(VLOOKUP(G41,ESCOLTAS!$A:$F,6,FALSE),VLOOKUP(G41,SAÍDAS!$A:$B,2,FALSE)))</f>
        <v>UP</v>
      </c>
      <c r="F41" s="14">
        <v>3</v>
      </c>
      <c r="G41" s="104" t="s">
        <v>1745</v>
      </c>
    </row>
    <row r="42" spans="2:7" ht="14.25" thickTop="1" thickBot="1">
      <c r="B42" s="14" t="e">
        <f>VLOOKUP(G42,'GAL-CUB'!$A:$A,2,FALSE)</f>
        <v>#N/A</v>
      </c>
      <c r="C42" s="14" t="e">
        <f>VLOOKUP(G42,'GAL-CUB'!$A:$B,3,FALSE)</f>
        <v>#N/A</v>
      </c>
      <c r="D42" s="14" t="e">
        <f>VLOOKUP(G42,'GAL-CUB'!$A:$G,8,FALSE)</f>
        <v>#N/A</v>
      </c>
      <c r="E42" s="14" t="e">
        <f>IFERROR(VLOOKUP(G42,'GAL-CUB'!$A:$D,4,FALSE),IFERROR(VLOOKUP(G42,ESCOLTAS!$A:$F,6,FALSE),VLOOKUP(G42,SAÍDAS!$A:$B,2,FALSE)))</f>
        <v>#N/A</v>
      </c>
      <c r="F42" s="102">
        <v>4</v>
      </c>
      <c r="G42" s="129" t="s">
        <v>2066</v>
      </c>
    </row>
    <row r="43" spans="2:7" ht="14.25" thickTop="1" thickBot="1">
      <c r="B43" s="14" t="e">
        <f>VLOOKUP(G43,'GAL-CUB'!$A:$A,2,FALSE)</f>
        <v>#N/A</v>
      </c>
      <c r="C43" s="14" t="e">
        <f>VLOOKUP(G43,'GAL-CUB'!$A:$B,3,FALSE)</f>
        <v>#N/A</v>
      </c>
      <c r="D43" s="14" t="e">
        <f>VLOOKUP(G43,'GAL-CUB'!$A:$G,8,FALSE)</f>
        <v>#N/A</v>
      </c>
      <c r="E43" s="14" t="str">
        <f>IFERROR(VLOOKUP(G43,'GAL-CUB'!$A:$D,4,FALSE),IFERROR(VLOOKUP(G43,ESCOLTAS!$A:$F,6,FALSE),VLOOKUP(G43,SAÍDAS!$A:$B,2,FALSE)))</f>
        <v>CRAPG</v>
      </c>
      <c r="F43" s="14">
        <v>5</v>
      </c>
      <c r="G43" s="15"/>
    </row>
    <row r="44" spans="2:7" ht="14.25" thickTop="1" thickBot="1">
      <c r="B44" s="14" t="e">
        <f>VLOOKUP(G44,'GAL-CUB'!$A:$A,2,FALSE)</f>
        <v>#N/A</v>
      </c>
      <c r="C44" s="14" t="e">
        <f>VLOOKUP(G44,'GAL-CUB'!$A:$B,3,FALSE)</f>
        <v>#N/A</v>
      </c>
      <c r="D44" s="14" t="e">
        <f>VLOOKUP(G44,'GAL-CUB'!$A:$G,8,FALSE)</f>
        <v>#N/A</v>
      </c>
      <c r="E44" s="14" t="str">
        <f>IFERROR(VLOOKUP(G44,'GAL-CUB'!$A:$D,4,FALSE),IFERROR(VLOOKUP(G44,ESCOLTAS!$A:$F,6,FALSE),VLOOKUP(G44,SAÍDAS!$A:$B,2,FALSE)))</f>
        <v>CRAPG</v>
      </c>
      <c r="F44" s="14">
        <v>6</v>
      </c>
      <c r="G44" s="87"/>
    </row>
    <row r="45" spans="2:7" ht="14.25" thickTop="1" thickBot="1">
      <c r="B45" s="14" t="e">
        <f>VLOOKUP(G45,'GAL-CUB'!$A:$A,2,FALSE)</f>
        <v>#N/A</v>
      </c>
      <c r="C45" s="14" t="e">
        <f>VLOOKUP(G45,'GAL-CUB'!$A:$B,3,FALSE)</f>
        <v>#N/A</v>
      </c>
      <c r="D45" s="14" t="e">
        <f>VLOOKUP(G45,'GAL-CUB'!$A:$G,8,FALSE)</f>
        <v>#N/A</v>
      </c>
      <c r="E45" s="14" t="str">
        <f>IFERROR(VLOOKUP(G45,'GAL-CUB'!$A:$D,4,FALSE),IFERROR(VLOOKUP(G45,ESCOLTAS!$A:$F,6,FALSE),VLOOKUP(G45,SAÍDAS!$A:$B,2,FALSE)))</f>
        <v>UP</v>
      </c>
      <c r="F45" s="102">
        <v>7</v>
      </c>
      <c r="G45" s="87" t="s">
        <v>1686</v>
      </c>
    </row>
    <row r="46" spans="2:7" ht="14.25" thickTop="1" thickBot="1">
      <c r="B46" s="14" t="e">
        <f>VLOOKUP(G46,'GAL-CUB'!$A:$A,2,FALSE)</f>
        <v>#N/A</v>
      </c>
      <c r="C46" s="14" t="e">
        <f>VLOOKUP(G46,'GAL-CUB'!$A:$B,3,FALSE)</f>
        <v>#N/A</v>
      </c>
      <c r="D46" s="14" t="e">
        <f>VLOOKUP(G46,'GAL-CUB'!$A:$G,8,FALSE)</f>
        <v>#N/A</v>
      </c>
      <c r="E46" s="14" t="str">
        <f>IFERROR(VLOOKUP(G46,'GAL-CUB'!$A:$D,4,FALSE),IFERROR(VLOOKUP(G46,ESCOLTAS!$A:$F,6,FALSE),VLOOKUP(G46,SAÍDAS!$A:$B,2,FALSE)))</f>
        <v>CRAPG</v>
      </c>
      <c r="F46" s="14">
        <v>8</v>
      </c>
      <c r="G46" s="101"/>
    </row>
    <row r="47" spans="2:7" ht="14.25" thickTop="1" thickBot="1">
      <c r="B47" s="14" t="e">
        <f>VLOOKUP(G47,'GAL-CUB'!$A:$A,2,FALSE)</f>
        <v>#N/A</v>
      </c>
      <c r="C47" s="14" t="e">
        <f>VLOOKUP(G47,'GAL-CUB'!$A:$B,3,FALSE)</f>
        <v>#N/A</v>
      </c>
      <c r="D47" s="14" t="e">
        <f>VLOOKUP(G47,'GAL-CUB'!$A:$G,8,FALSE)</f>
        <v>#N/A</v>
      </c>
      <c r="E47" s="14" t="e">
        <f>IFERROR(VLOOKUP(G47,'GAL-CUB'!$A:$D,4,FALSE),IFERROR(VLOOKUP(G47,ESCOLTAS!$A:$F,6,FALSE),VLOOKUP(G47,SAÍDAS!$A:$B,2,FALSE)))</f>
        <v>#N/A</v>
      </c>
      <c r="F47" s="14">
        <v>9</v>
      </c>
      <c r="G47" s="15" t="s">
        <v>2006</v>
      </c>
    </row>
    <row r="48" spans="2:7" ht="14.25" thickTop="1" thickBot="1">
      <c r="B48" s="14" t="e">
        <f>VLOOKUP(G48,'GAL-CUB'!$A:$A,2,FALSE)</f>
        <v>#N/A</v>
      </c>
      <c r="C48" s="14" t="e">
        <f>VLOOKUP(G48,'GAL-CUB'!$A:$B,3,FALSE)</f>
        <v>#N/A</v>
      </c>
      <c r="D48" s="14" t="e">
        <f>VLOOKUP(G48,'GAL-CUB'!$A:$G,8,FALSE)</f>
        <v>#N/A</v>
      </c>
      <c r="E48" s="14" t="str">
        <f>IFERROR(VLOOKUP(G48,'GAL-CUB'!$A:$D,4,FALSE),IFERROR(VLOOKUP(G48,ESCOLTAS!$A:$F,6,FALSE),VLOOKUP(G48,SAÍDAS!$A:$B,2,FALSE)))</f>
        <v>LC</v>
      </c>
      <c r="F48" s="102">
        <v>10</v>
      </c>
      <c r="G48" s="141" t="s">
        <v>2075</v>
      </c>
    </row>
    <row r="49" spans="2:7" ht="14.25" thickTop="1" thickBot="1">
      <c r="B49" s="14" t="e">
        <f>VLOOKUP(G49,'GAL-CUB'!$A:$A,2,FALSE)</f>
        <v>#N/A</v>
      </c>
      <c r="C49" s="14" t="e">
        <f>VLOOKUP(G49,'GAL-CUB'!$A:$B,3,FALSE)</f>
        <v>#N/A</v>
      </c>
      <c r="D49" s="14" t="e">
        <f>VLOOKUP(G49,'GAL-CUB'!$A:$G,8,FALSE)</f>
        <v>#N/A</v>
      </c>
      <c r="E49" s="14" t="e">
        <f>IFERROR(VLOOKUP(G49,'GAL-CUB'!$A:$D,4,FALSE),IFERROR(VLOOKUP(G49,ESCOLTAS!$A:$F,6,FALSE),VLOOKUP(G49,SAÍDAS!$A:$B,2,FALSE)))</f>
        <v>#N/A</v>
      </c>
      <c r="F49" s="14">
        <v>11</v>
      </c>
      <c r="G49" s="142" t="s">
        <v>2059</v>
      </c>
    </row>
    <row r="50" spans="2:7" ht="14.25" thickTop="1" thickBot="1">
      <c r="B50" s="14" t="e">
        <f>VLOOKUP(G50,'GAL-CUB'!$A:$A,2,FALSE)</f>
        <v>#N/A</v>
      </c>
      <c r="C50" s="14" t="e">
        <f>VLOOKUP(G50,'GAL-CUB'!$A:$B,3,FALSE)</f>
        <v>#N/A</v>
      </c>
      <c r="D50" s="14" t="e">
        <f>VLOOKUP(G50,'GAL-CUB'!$A:$G,8,FALSE)</f>
        <v>#N/A</v>
      </c>
      <c r="E50" s="14" t="e">
        <f>IFERROR(VLOOKUP(G50,'GAL-CUB'!$A:$D,4,FALSE),IFERROR(VLOOKUP(G50,ESCOLTAS!$A:$F,6,FALSE),VLOOKUP(G50,SAÍDAS!$A:$B,2,FALSE)))</f>
        <v>#N/A</v>
      </c>
      <c r="F50" s="14">
        <v>12</v>
      </c>
      <c r="G50" s="15" t="s">
        <v>1864</v>
      </c>
    </row>
    <row r="51" spans="2:7" ht="14.25" thickTop="1" thickBot="1"/>
    <row r="52" spans="2:7" ht="14.25" thickTop="1" thickBot="1">
      <c r="B52" s="708" t="s">
        <v>1786</v>
      </c>
      <c r="C52" s="709"/>
      <c r="D52" s="709"/>
      <c r="E52" s="46"/>
      <c r="F52" s="46"/>
      <c r="G52" s="27" t="str">
        <f ca="1">IF(WEEKDAY(B2,2)=2,"HOJE","TERÇA-FEIRA")</f>
        <v>HOJE</v>
      </c>
    </row>
    <row r="53" spans="2:7" ht="14.25" thickTop="1" thickBot="1">
      <c r="B53" s="13" t="s">
        <v>812</v>
      </c>
      <c r="C53" s="13" t="s">
        <v>250</v>
      </c>
      <c r="D53" s="13" t="s">
        <v>435</v>
      </c>
      <c r="E53" s="13" t="s">
        <v>1178</v>
      </c>
      <c r="F53" s="13" t="s">
        <v>1802</v>
      </c>
      <c r="G53" s="13" t="s">
        <v>370</v>
      </c>
    </row>
    <row r="54" spans="2:7" ht="14.25" thickTop="1" thickBot="1">
      <c r="B54" s="14" t="e">
        <f>VLOOKUP(G54,'GAL-CUB'!$A:$A,2,FALSE)</f>
        <v>#N/A</v>
      </c>
      <c r="C54" s="14" t="e">
        <f>VLOOKUP(G54,'GAL-CUB'!$A:$B,3,FALSE)</f>
        <v>#N/A</v>
      </c>
      <c r="D54" s="14" t="e">
        <f>VLOOKUP(G54,'GAL-CUB'!$A:$G,8,FALSE)</f>
        <v>#N/A</v>
      </c>
      <c r="E54" s="14" t="str">
        <f>IFERROR(VLOOKUP(G54,'GAL-CUB'!$A:$D,4,FALSE),IFERROR(VLOOKUP(G54,ESCOLTAS!$A:$F,6,FALSE),VLOOKUP(G54,SAÍDAS!$A:$B,2,FALSE)))</f>
        <v>CRAPG</v>
      </c>
      <c r="F54" s="14">
        <v>1</v>
      </c>
      <c r="G54" s="101" t="s">
        <v>1590</v>
      </c>
    </row>
    <row r="55" spans="2:7" ht="14.25" thickTop="1" thickBot="1">
      <c r="B55" s="14" t="e">
        <f>VLOOKUP(G55,'GAL-CUB'!$A:$A,2,FALSE)</f>
        <v>#N/A</v>
      </c>
      <c r="C55" s="14" t="e">
        <f>VLOOKUP(G55,'GAL-CUB'!$A:$B,3,FALSE)</f>
        <v>#N/A</v>
      </c>
      <c r="D55" s="14" t="e">
        <f>VLOOKUP(G55,'GAL-CUB'!$A:$G,8,FALSE)</f>
        <v>#N/A</v>
      </c>
      <c r="E55" s="14" t="str">
        <f>IFERROR(VLOOKUP(G55,'GAL-CUB'!$A:$D,4,FALSE),IFERROR(VLOOKUP(G55,ESCOLTAS!$A:$F,6,FALSE),VLOOKUP(G55,SAÍDAS!$A:$B,2,FALSE)))</f>
        <v>CRAPG</v>
      </c>
      <c r="F55" s="14">
        <v>2</v>
      </c>
      <c r="G55" s="15" t="s">
        <v>1862</v>
      </c>
    </row>
    <row r="56" spans="2:7" ht="14.25" thickTop="1" thickBot="1">
      <c r="B56" s="14" t="e">
        <f>VLOOKUP(G56,'GAL-CUB'!$A:$A,2,FALSE)</f>
        <v>#N/A</v>
      </c>
      <c r="C56" s="14" t="e">
        <f>VLOOKUP(G56,'GAL-CUB'!$A:$B,3,FALSE)</f>
        <v>#N/A</v>
      </c>
      <c r="D56" s="14" t="e">
        <f>VLOOKUP(G56,'GAL-CUB'!$A:$G,8,FALSE)</f>
        <v>#N/A</v>
      </c>
      <c r="E56" s="14" t="e">
        <f>IFERROR(VLOOKUP(G56,'GAL-CUB'!$A:$D,4,FALSE),IFERROR(VLOOKUP(G56,ESCOLTAS!$A:$F,6,FALSE),VLOOKUP(G56,SAÍDAS!$A:$B,2,FALSE)))</f>
        <v>#N/A</v>
      </c>
      <c r="F56" s="14">
        <v>3</v>
      </c>
      <c r="G56" s="77" t="s">
        <v>1805</v>
      </c>
    </row>
    <row r="57" spans="2:7" ht="14.25" thickTop="1" thickBot="1">
      <c r="B57" s="14" t="e">
        <f>VLOOKUP(G57,'GAL-CUB'!$A:$A,2,FALSE)</f>
        <v>#N/A</v>
      </c>
      <c r="C57" s="14" t="e">
        <f>VLOOKUP(G57,'GAL-CUB'!$A:$B,3,FALSE)</f>
        <v>#N/A</v>
      </c>
      <c r="D57" s="14" t="e">
        <f>VLOOKUP(G57,'GAL-CUB'!$A:$G,8,FALSE)</f>
        <v>#N/A</v>
      </c>
      <c r="E57" s="14" t="str">
        <f>IFERROR(VLOOKUP(G57,'GAL-CUB'!$A:$D,4,FALSE),IFERROR(VLOOKUP(G57,ESCOLTAS!$A:$F,6,FALSE),VLOOKUP(G57,SAÍDAS!$A:$B,2,FALSE)))</f>
        <v>TORNOZELEIRA</v>
      </c>
      <c r="F57" s="14">
        <v>4</v>
      </c>
      <c r="G57" s="15" t="s">
        <v>1842</v>
      </c>
    </row>
    <row r="58" spans="2:7" ht="14.25" thickTop="1" thickBot="1">
      <c r="B58" s="14" t="e">
        <f>VLOOKUP(G58,'GAL-CUB'!$A:$A,2,FALSE)</f>
        <v>#N/A</v>
      </c>
      <c r="C58" s="14" t="e">
        <f>VLOOKUP(G58,'GAL-CUB'!$A:$B,3,FALSE)</f>
        <v>#N/A</v>
      </c>
      <c r="D58" s="14" t="e">
        <f>VLOOKUP(G58,'GAL-CUB'!$A:$G,8,FALSE)</f>
        <v>#N/A</v>
      </c>
      <c r="E58" s="14" t="str">
        <f>IFERROR(VLOOKUP(G58,'GAL-CUB'!$A:$D,4,FALSE),IFERROR(VLOOKUP(G58,ESCOLTAS!$A:$F,6,FALSE),VLOOKUP(G58,SAÍDAS!$A:$B,2,FALSE)))</f>
        <v>CRAPG</v>
      </c>
      <c r="F58" s="14">
        <v>5</v>
      </c>
      <c r="G58" s="15" t="s">
        <v>1497</v>
      </c>
    </row>
    <row r="59" spans="2:7" ht="14.25" thickTop="1" thickBot="1">
      <c r="B59" s="14" t="e">
        <f>VLOOKUP(G59,'GAL-CUB'!$A:$A,2,FALSE)</f>
        <v>#N/A</v>
      </c>
      <c r="C59" s="14" t="e">
        <f>VLOOKUP(G59,'GAL-CUB'!$A:$B,3,FALSE)</f>
        <v>#N/A</v>
      </c>
      <c r="D59" s="14" t="e">
        <f>VLOOKUP(G59,'GAL-CUB'!$A:$G,8,FALSE)</f>
        <v>#N/A</v>
      </c>
      <c r="E59" s="14" t="str">
        <f>IFERROR(VLOOKUP(G59,'GAL-CUB'!$A:$D,4,FALSE),IFERROR(VLOOKUP(G59,ESCOLTAS!$A:$F,6,FALSE),VLOOKUP(G59,SAÍDAS!$A:$B,2,FALSE)))</f>
        <v>CRAPG</v>
      </c>
      <c r="F59" s="14">
        <v>6</v>
      </c>
      <c r="G59" s="105" t="s">
        <v>1884</v>
      </c>
    </row>
    <row r="60" spans="2:7" ht="14.25" thickTop="1" thickBot="1">
      <c r="B60" s="14" t="e">
        <f>VLOOKUP(G60,'GAL-CUB'!$A:$A,2,FALSE)</f>
        <v>#N/A</v>
      </c>
      <c r="C60" s="14" t="e">
        <f>VLOOKUP(G60,'GAL-CUB'!$A:$B,3,FALSE)</f>
        <v>#N/A</v>
      </c>
      <c r="D60" s="14" t="e">
        <f>VLOOKUP(G60,'GAL-CUB'!$A:$G,8,FALSE)</f>
        <v>#N/A</v>
      </c>
      <c r="E60" s="14" t="str">
        <f>IFERROR(VLOOKUP(G60,'GAL-CUB'!$A:$D,4,FALSE),IFERROR(VLOOKUP(G60,ESCOLTAS!$A:$F,6,FALSE),VLOOKUP(G60,SAÍDAS!$A:$B,2,FALSE)))</f>
        <v>CRAPG</v>
      </c>
      <c r="F60" s="14">
        <v>7</v>
      </c>
      <c r="G60" s="105" t="s">
        <v>1599</v>
      </c>
    </row>
    <row r="61" spans="2:7" ht="14.25" thickTop="1" thickBot="1">
      <c r="B61" s="14" t="e">
        <f>VLOOKUP(G61,'GAL-CUB'!$A:$A,2,FALSE)</f>
        <v>#N/A</v>
      </c>
      <c r="C61" s="14" t="e">
        <f>VLOOKUP(G61,'GAL-CUB'!$A:$B,3,FALSE)</f>
        <v>#N/A</v>
      </c>
      <c r="D61" s="14" t="e">
        <f>VLOOKUP(G61,'GAL-CUB'!$A:$G,8,FALSE)</f>
        <v>#N/A</v>
      </c>
      <c r="E61" s="14" t="e">
        <f>IFERROR(VLOOKUP(G61,'GAL-CUB'!$A:$D,4,FALSE),IFERROR(VLOOKUP(G61,ESCOLTAS!$A:$F,6,FALSE),VLOOKUP(G61,SAÍDAS!$A:$B,2,FALSE)))</f>
        <v>#N/A</v>
      </c>
      <c r="F61" s="14">
        <v>8</v>
      </c>
      <c r="G61" s="15" t="s">
        <v>1485</v>
      </c>
    </row>
    <row r="62" spans="2:7" ht="14.25" thickTop="1" thickBot="1">
      <c r="B62" s="14" t="e">
        <f>VLOOKUP(G62,'GAL-CUB'!$A:$A,2,FALSE)</f>
        <v>#N/A</v>
      </c>
      <c r="C62" s="14" t="e">
        <f>VLOOKUP(G62,'GAL-CUB'!$A:$B,3,FALSE)</f>
        <v>#N/A</v>
      </c>
      <c r="D62" s="14" t="e">
        <f>VLOOKUP(G62,'GAL-CUB'!$A:$G,8,FALSE)</f>
        <v>#N/A</v>
      </c>
      <c r="E62" s="14" t="e">
        <f>IFERROR(VLOOKUP(G62,'GAL-CUB'!$A:$D,4,FALSE),IFERROR(VLOOKUP(G62,ESCOLTAS!$A:$F,6,FALSE),VLOOKUP(G62,SAÍDAS!$A:$B,2,FALSE)))</f>
        <v>#N/A</v>
      </c>
      <c r="F62" s="14">
        <v>9</v>
      </c>
      <c r="G62" s="16" t="s">
        <v>1895</v>
      </c>
    </row>
    <row r="63" spans="2:7" ht="14.25" thickTop="1" thickBot="1">
      <c r="B63" s="14" t="e">
        <f>VLOOKUP(G63,'GAL-CUB'!$A:$A,2,FALSE)</f>
        <v>#N/A</v>
      </c>
      <c r="C63" s="14" t="e">
        <f>VLOOKUP(G63,'GAL-CUB'!$A:$B,3,FALSE)</f>
        <v>#N/A</v>
      </c>
      <c r="D63" s="14" t="e">
        <f>VLOOKUP(G63,'GAL-CUB'!$A:$G,8,FALSE)</f>
        <v>#N/A</v>
      </c>
      <c r="E63" s="14" t="e">
        <f>IFERROR(VLOOKUP(G63,'GAL-CUB'!$A:$D,4,FALSE),IFERROR(VLOOKUP(G63,ESCOLTAS!$A:$F,6,FALSE),VLOOKUP(G63,SAÍDAS!$A:$B,2,FALSE)))</f>
        <v>#N/A</v>
      </c>
      <c r="F63" s="14">
        <v>10</v>
      </c>
      <c r="G63" s="105" t="s">
        <v>2001</v>
      </c>
    </row>
    <row r="64" spans="2:7" ht="14.25" thickTop="1" thickBot="1">
      <c r="B64" s="14" t="e">
        <f>VLOOKUP(G64,'GAL-CUB'!$A:$A,2,FALSE)</f>
        <v>#N/A</v>
      </c>
      <c r="C64" s="14" t="e">
        <f>VLOOKUP(G64,'GAL-CUB'!$A:$B,3,FALSE)</f>
        <v>#N/A</v>
      </c>
      <c r="D64" s="14" t="e">
        <f>VLOOKUP(G64,'GAL-CUB'!$A:$G,8,FALSE)</f>
        <v>#N/A</v>
      </c>
      <c r="E64" s="14" t="str">
        <f>IFERROR(VLOOKUP(G64,'GAL-CUB'!$A:$D,4,FALSE),IFERROR(VLOOKUP(G64,ESCOLTAS!$A:$F,6,FALSE),VLOOKUP(G64,SAÍDAS!$A:$B,2,FALSE)))</f>
        <v>CRAPG</v>
      </c>
      <c r="F64" s="14">
        <v>11</v>
      </c>
      <c r="G64" s="15" t="s">
        <v>1233</v>
      </c>
    </row>
    <row r="65" spans="2:7" ht="14.25" thickTop="1" thickBot="1">
      <c r="B65" s="14" t="e">
        <f>VLOOKUP(G65,'GAL-CUB'!$A:$A,2,FALSE)</f>
        <v>#N/A</v>
      </c>
      <c r="C65" s="14" t="e">
        <f>VLOOKUP(G65,'GAL-CUB'!$A:$B,3,FALSE)</f>
        <v>#N/A</v>
      </c>
      <c r="D65" s="14" t="e">
        <f>VLOOKUP(G65,'GAL-CUB'!$A:$G,8,FALSE)</f>
        <v>#N/A</v>
      </c>
      <c r="E65" s="14" t="e">
        <f>IFERROR(VLOOKUP(G65,'GAL-CUB'!$A:$D,4,FALSE),IFERROR(VLOOKUP(G65,ESCOLTAS!$A:$F,6,FALSE),VLOOKUP(G65,SAÍDAS!$A:$B,2,FALSE)))</f>
        <v>#N/A</v>
      </c>
      <c r="F65" s="14">
        <v>12</v>
      </c>
      <c r="G65" s="15" t="s">
        <v>1870</v>
      </c>
    </row>
    <row r="66" spans="2:7" ht="14.25" thickTop="1" thickBot="1">
      <c r="B66" s="84"/>
      <c r="C66" s="84"/>
      <c r="D66" s="84"/>
      <c r="E66" s="84"/>
      <c r="F66" s="84"/>
      <c r="G66" s="85"/>
    </row>
    <row r="67" spans="2:7" ht="14.25" thickTop="1" thickBot="1">
      <c r="B67" s="708" t="s">
        <v>1791</v>
      </c>
      <c r="C67" s="709"/>
      <c r="D67" s="709"/>
      <c r="E67" s="46" t="s">
        <v>1778</v>
      </c>
      <c r="F67" s="46"/>
      <c r="G67" s="27" t="e">
        <f>IF(WEEKDAY(B17,2)=2,"HOJE","TERÇA-FEIRA")</f>
        <v>#N/A</v>
      </c>
    </row>
    <row r="68" spans="2:7" ht="14.25" thickTop="1" thickBot="1">
      <c r="B68" s="13" t="s">
        <v>812</v>
      </c>
      <c r="C68" s="13" t="s">
        <v>250</v>
      </c>
      <c r="D68" s="13" t="s">
        <v>435</v>
      </c>
      <c r="E68" s="13" t="s">
        <v>1178</v>
      </c>
      <c r="F68" s="13" t="s">
        <v>1802</v>
      </c>
      <c r="G68" s="13" t="s">
        <v>370</v>
      </c>
    </row>
    <row r="69" spans="2:7" ht="14.25" thickTop="1" thickBot="1">
      <c r="B69" s="14" t="e">
        <f>VLOOKUP(G69,'GAL-CUB'!$A:$A,2,FALSE)</f>
        <v>#N/A</v>
      </c>
      <c r="C69" s="14" t="e">
        <f>VLOOKUP(G69,'GAL-CUB'!$A:$B,3,FALSE)</f>
        <v>#N/A</v>
      </c>
      <c r="D69" s="14" t="e">
        <f>VLOOKUP(G69,'GAL-CUB'!$A:$G,8,FALSE)</f>
        <v>#N/A</v>
      </c>
      <c r="E69" s="14" t="e">
        <f>IFERROR(VLOOKUP(G69,'GAL-CUB'!$A:$D,4,FALSE),IFERROR(VLOOKUP(G69,ESCOLTAS!$A:$F,6,FALSE),VLOOKUP(G69,SAÍDAS!$A:$B,2,FALSE)))</f>
        <v>#N/A</v>
      </c>
      <c r="F69" s="14">
        <v>1</v>
      </c>
      <c r="G69" s="15" t="s">
        <v>375</v>
      </c>
    </row>
    <row r="70" spans="2:7" ht="14.25" thickTop="1" thickBot="1">
      <c r="B70" s="14" t="e">
        <f>VLOOKUP(G70,'GAL-CUB'!$A:$A,2,FALSE)</f>
        <v>#N/A</v>
      </c>
      <c r="C70" s="14" t="e">
        <f>VLOOKUP(G70,'GAL-CUB'!$A:$B,3,FALSE)</f>
        <v>#N/A</v>
      </c>
      <c r="D70" s="14" t="e">
        <f>VLOOKUP(G70,'GAL-CUB'!$A:$G,8,FALSE)</f>
        <v>#N/A</v>
      </c>
      <c r="E70" s="14" t="e">
        <f>IFERROR(VLOOKUP(G70,'GAL-CUB'!$A:$D,4,FALSE),IFERROR(VLOOKUP(G70,ESCOLTAS!$A:$F,6,FALSE),VLOOKUP(G70,SAÍDAS!$A:$B,2,FALSE)))</f>
        <v>#N/A</v>
      </c>
      <c r="F70" s="14">
        <v>2</v>
      </c>
      <c r="G70" s="15" t="s">
        <v>823</v>
      </c>
    </row>
    <row r="71" spans="2:7" ht="14.25" thickTop="1" thickBot="1">
      <c r="B71" s="14" t="e">
        <f>VLOOKUP(G71,'GAL-CUB'!$A:$A,2,FALSE)</f>
        <v>#N/A</v>
      </c>
      <c r="C71" s="14" t="e">
        <f>VLOOKUP(G71,'GAL-CUB'!$A:$B,3,FALSE)</f>
        <v>#N/A</v>
      </c>
      <c r="D71" s="14" t="e">
        <f>VLOOKUP(G71,'GAL-CUB'!$A:$G,8,FALSE)</f>
        <v>#N/A</v>
      </c>
      <c r="E71" s="14" t="str">
        <f>IFERROR(VLOOKUP(G71,'GAL-CUB'!$A:$D,4,FALSE),IFERROR(VLOOKUP(G71,ESCOLTAS!$A:$F,6,FALSE),VLOOKUP(G71,SAÍDAS!$A:$B,2,FALSE)))</f>
        <v>CRAPG</v>
      </c>
      <c r="F71" s="14">
        <v>3</v>
      </c>
      <c r="G71" s="59" t="s">
        <v>1834</v>
      </c>
    </row>
    <row r="72" spans="2:7" ht="14.25" thickTop="1" thickBot="1">
      <c r="B72" s="14" t="e">
        <f>VLOOKUP(G72,'GAL-CUB'!$A:$A,2,FALSE)</f>
        <v>#N/A</v>
      </c>
      <c r="C72" s="14" t="e">
        <f>VLOOKUP(G72,'GAL-CUB'!$A:$B,3,FALSE)</f>
        <v>#N/A</v>
      </c>
      <c r="D72" s="14" t="e">
        <f>VLOOKUP(G72,'GAL-CUB'!$A:$G,8,FALSE)</f>
        <v>#N/A</v>
      </c>
      <c r="E72" s="14" t="e">
        <f>IFERROR(VLOOKUP(G72,'GAL-CUB'!$A:$D,4,FALSE),IFERROR(VLOOKUP(G72,ESCOLTAS!$A:$F,6,FALSE),VLOOKUP(G72,SAÍDAS!$A:$B,2,FALSE)))</f>
        <v>#N/A</v>
      </c>
      <c r="F72" s="14">
        <v>4</v>
      </c>
      <c r="G72" s="101" t="s">
        <v>2003</v>
      </c>
    </row>
    <row r="73" spans="2:7" ht="14.25" thickTop="1" thickBot="1">
      <c r="B73" s="14" t="e">
        <f>VLOOKUP(G73,'GAL-CUB'!$A:$A,2,FALSE)</f>
        <v>#N/A</v>
      </c>
      <c r="C73" s="14" t="e">
        <f>VLOOKUP(G73,'GAL-CUB'!$A:$B,3,FALSE)</f>
        <v>#N/A</v>
      </c>
      <c r="D73" s="14" t="e">
        <f>VLOOKUP(G73,'GAL-CUB'!$A:$G,8,FALSE)</f>
        <v>#N/A</v>
      </c>
      <c r="E73" s="14" t="e">
        <f>IFERROR(VLOOKUP(G73,'GAL-CUB'!$A:$D,4,FALSE),IFERROR(VLOOKUP(G73,ESCOLTAS!$A:$F,6,FALSE),VLOOKUP(G73,SAÍDAS!$A:$B,2,FALSE)))</f>
        <v>#N/A</v>
      </c>
      <c r="F73" s="14">
        <v>5</v>
      </c>
      <c r="G73" s="15" t="s">
        <v>269</v>
      </c>
    </row>
    <row r="74" spans="2:7" ht="14.25" thickTop="1" thickBot="1">
      <c r="B74" s="14" t="e">
        <f>VLOOKUP(G74,'GAL-CUB'!$A:$A,2,FALSE)</f>
        <v>#N/A</v>
      </c>
      <c r="C74" s="14" t="e">
        <f>VLOOKUP(G74,'GAL-CUB'!$A:$B,3,FALSE)</f>
        <v>#N/A</v>
      </c>
      <c r="D74" s="14" t="e">
        <f>VLOOKUP(G74,'GAL-CUB'!$A:$G,8,FALSE)</f>
        <v>#N/A</v>
      </c>
      <c r="E74" s="14" t="str">
        <f>IFERROR(VLOOKUP(G74,'GAL-CUB'!$A:$D,4,FALSE),IFERROR(VLOOKUP(G74,ESCOLTAS!$A:$F,6,FALSE),VLOOKUP(G74,SAÍDAS!$A:$B,2,FALSE)))</f>
        <v>TORNOZELEIRA</v>
      </c>
      <c r="F74" s="14">
        <v>6</v>
      </c>
      <c r="G74" s="16" t="s">
        <v>1627</v>
      </c>
    </row>
    <row r="75" spans="2:7" ht="14.25" thickTop="1" thickBot="1">
      <c r="B75" s="14" t="e">
        <f>VLOOKUP(G75,'GAL-CUB'!$A:$A,2,FALSE)</f>
        <v>#N/A</v>
      </c>
      <c r="C75" s="14" t="e">
        <f>VLOOKUP(G75,'GAL-CUB'!$A:$B,3,FALSE)</f>
        <v>#N/A</v>
      </c>
      <c r="D75" s="14" t="e">
        <f>VLOOKUP(G75,'GAL-CUB'!$A:$G,8,FALSE)</f>
        <v>#N/A</v>
      </c>
      <c r="E75" s="14" t="e">
        <f>IFERROR(VLOOKUP(G75,'GAL-CUB'!$A:$D,4,FALSE),IFERROR(VLOOKUP(G75,ESCOLTAS!$A:$F,6,FALSE),VLOOKUP(G75,SAÍDAS!$A:$B,2,FALSE)))</f>
        <v>#N/A</v>
      </c>
      <c r="F75" s="14">
        <v>7</v>
      </c>
      <c r="G75" s="15" t="s">
        <v>1414</v>
      </c>
    </row>
    <row r="76" spans="2:7" ht="14.25" thickTop="1" thickBot="1">
      <c r="B76" s="14" t="e">
        <f>VLOOKUP(G76,'GAL-CUB'!$A:$A,2,FALSE)</f>
        <v>#N/A</v>
      </c>
      <c r="C76" s="14" t="e">
        <f>VLOOKUP(G76,'GAL-CUB'!$A:$B,3,FALSE)</f>
        <v>#N/A</v>
      </c>
      <c r="D76" s="14" t="e">
        <f>VLOOKUP(G76,'GAL-CUB'!$A:$G,8,FALSE)</f>
        <v>#N/A</v>
      </c>
      <c r="E76" s="14" t="str">
        <f>IFERROR(VLOOKUP(G76,'GAL-CUB'!$A:$D,4,FALSE),IFERROR(VLOOKUP(G76,ESCOLTAS!$A:$F,6,FALSE),VLOOKUP(G76,SAÍDAS!$A:$B,2,FALSE)))</f>
        <v>CCP</v>
      </c>
      <c r="F76" s="14">
        <v>8</v>
      </c>
      <c r="G76" s="15" t="s">
        <v>1827</v>
      </c>
    </row>
    <row r="77" spans="2:7" ht="14.25" thickTop="1" thickBot="1">
      <c r="B77" s="14" t="e">
        <f>VLOOKUP(G77,'GAL-CUB'!$A:$A,2,FALSE)</f>
        <v>#N/A</v>
      </c>
      <c r="C77" s="14" t="e">
        <f>VLOOKUP(G77,'GAL-CUB'!$A:$B,3,FALSE)</f>
        <v>#N/A</v>
      </c>
      <c r="D77" s="14" t="e">
        <f>VLOOKUP(G77,'GAL-CUB'!$A:$G,8,FALSE)</f>
        <v>#N/A</v>
      </c>
      <c r="E77" s="14" t="e">
        <f>IFERROR(VLOOKUP(G77,'GAL-CUB'!$A:$D,4,FALSE),IFERROR(VLOOKUP(G77,ESCOLTAS!$A:$F,6,FALSE),VLOOKUP(G77,SAÍDAS!$A:$B,2,FALSE)))</f>
        <v>#N/A</v>
      </c>
      <c r="F77" s="14">
        <v>9</v>
      </c>
      <c r="G77" s="106" t="s">
        <v>1768</v>
      </c>
    </row>
    <row r="78" spans="2:7" ht="14.25" thickTop="1" thickBot="1">
      <c r="B78" s="14" t="e">
        <f>VLOOKUP(G78,'GAL-CUB'!$A:$A,2,FALSE)</f>
        <v>#N/A</v>
      </c>
      <c r="C78" s="14" t="e">
        <f>VLOOKUP(G78,'GAL-CUB'!$A:$B,3,FALSE)</f>
        <v>#N/A</v>
      </c>
      <c r="D78" s="14" t="e">
        <f>VLOOKUP(G78,'GAL-CUB'!$A:$G,8,FALSE)</f>
        <v>#N/A</v>
      </c>
      <c r="E78" s="14" t="e">
        <f>IFERROR(VLOOKUP(G78,'GAL-CUB'!$A:$D,4,FALSE),IFERROR(VLOOKUP(G78,ESCOLTAS!$A:$F,6,FALSE),VLOOKUP(G78,SAÍDAS!$A:$B,2,FALSE)))</f>
        <v>#N/A</v>
      </c>
      <c r="F78" s="14">
        <v>10</v>
      </c>
      <c r="G78" s="100" t="s">
        <v>1956</v>
      </c>
    </row>
    <row r="79" spans="2:7" ht="14.25" thickTop="1" thickBot="1">
      <c r="B79" s="14" t="e">
        <f>VLOOKUP(G79,'GAL-CUB'!$A:$A,2,FALSE)</f>
        <v>#N/A</v>
      </c>
      <c r="C79" s="14" t="e">
        <f>VLOOKUP(G79,'GAL-CUB'!$A:$B,3,FALSE)</f>
        <v>#N/A</v>
      </c>
      <c r="D79" s="14" t="e">
        <f>VLOOKUP(G79,'GAL-CUB'!$A:$G,8,FALSE)</f>
        <v>#N/A</v>
      </c>
      <c r="E79" s="14" t="e">
        <f>IFERROR(VLOOKUP(G79,'GAL-CUB'!$A:$D,4,FALSE),IFERROR(VLOOKUP(G79,ESCOLTAS!$A:$F,6,FALSE),VLOOKUP(G79,SAÍDAS!$A:$B,2,FALSE)))</f>
        <v>#N/A</v>
      </c>
      <c r="F79" s="14">
        <v>11</v>
      </c>
      <c r="G79" s="15" t="s">
        <v>1857</v>
      </c>
    </row>
    <row r="80" spans="2:7" ht="14.25" thickTop="1" thickBot="1">
      <c r="B80" s="14" t="e">
        <f>VLOOKUP(G80,'GAL-CUB'!$A:$A,2,FALSE)</f>
        <v>#N/A</v>
      </c>
      <c r="C80" s="14" t="e">
        <f>VLOOKUP(G80,'GAL-CUB'!$A:$B,3,FALSE)</f>
        <v>#N/A</v>
      </c>
      <c r="D80" s="14" t="e">
        <f>VLOOKUP(G80,'GAL-CUB'!$A:$G,8,FALSE)</f>
        <v>#N/A</v>
      </c>
      <c r="E80" s="14" t="e">
        <f>IFERROR(VLOOKUP(G80,'GAL-CUB'!$A:$D,4,FALSE),IFERROR(VLOOKUP(G80,ESCOLTAS!$A:$F,6,FALSE),VLOOKUP(G80,SAÍDAS!$A:$B,2,FALSE)))</f>
        <v>#N/A</v>
      </c>
      <c r="F80" s="14">
        <v>12</v>
      </c>
      <c r="G80" s="15" t="s">
        <v>1718</v>
      </c>
    </row>
    <row r="81" spans="2:7" ht="14.25" thickTop="1" thickBot="1">
      <c r="B81" s="84"/>
      <c r="C81" s="84"/>
      <c r="D81" s="84"/>
      <c r="E81" s="84"/>
      <c r="F81" s="84"/>
      <c r="G81" s="85"/>
    </row>
    <row r="82" spans="2:7" ht="14.25" thickTop="1" thickBot="1">
      <c r="B82" s="708" t="s">
        <v>1791</v>
      </c>
      <c r="C82" s="709"/>
      <c r="D82" s="709"/>
      <c r="E82" s="46" t="s">
        <v>1788</v>
      </c>
      <c r="F82" s="46"/>
      <c r="G82" s="27" t="e">
        <f>IF(WEEKDAY(B32,2)=2,"HOJE","TERÇA-FEIRA")</f>
        <v>#N/A</v>
      </c>
    </row>
    <row r="83" spans="2:7" ht="14.25" thickTop="1" thickBot="1">
      <c r="B83" s="13" t="s">
        <v>812</v>
      </c>
      <c r="C83" s="13" t="s">
        <v>250</v>
      </c>
      <c r="D83" s="13" t="s">
        <v>435</v>
      </c>
      <c r="E83" s="13" t="s">
        <v>1178</v>
      </c>
      <c r="F83" s="13" t="s">
        <v>1802</v>
      </c>
      <c r="G83" s="13" t="s">
        <v>370</v>
      </c>
    </row>
    <row r="84" spans="2:7" ht="14.25" thickTop="1" thickBot="1">
      <c r="B84" s="14" t="e">
        <f>VLOOKUP(G84,'GAL-CUB'!$A:$A,2,FALSE)</f>
        <v>#N/A</v>
      </c>
      <c r="C84" s="14" t="e">
        <f>VLOOKUP(G84,'GAL-CUB'!$A:$B,3,FALSE)</f>
        <v>#N/A</v>
      </c>
      <c r="D84" s="14" t="e">
        <f>VLOOKUP(G84,'GAL-CUB'!$A:$G,8,FALSE)</f>
        <v>#N/A</v>
      </c>
      <c r="E84" s="14" t="e">
        <f>IFERROR(VLOOKUP(G84,'GAL-CUB'!$A:$D,4,FALSE),IFERROR(VLOOKUP(G84,ESCOLTAS!$A:$F,6,FALSE),VLOOKUP(G84,SAÍDAS!$A:$B,2,FALSE)))</f>
        <v>#N/A</v>
      </c>
      <c r="F84" s="14">
        <v>1</v>
      </c>
      <c r="G84" s="16" t="s">
        <v>1942</v>
      </c>
    </row>
    <row r="85" spans="2:7" ht="14.25" thickTop="1" thickBot="1">
      <c r="B85" s="14" t="e">
        <f>VLOOKUP(G85,'GAL-CUB'!$A:$A,2,FALSE)</f>
        <v>#N/A</v>
      </c>
      <c r="C85" s="14" t="e">
        <f>VLOOKUP(G85,'GAL-CUB'!$A:$B,3,FALSE)</f>
        <v>#N/A</v>
      </c>
      <c r="D85" s="14" t="e">
        <f>VLOOKUP(G85,'GAL-CUB'!$A:$G,8,FALSE)</f>
        <v>#N/A</v>
      </c>
      <c r="E85" s="14" t="str">
        <f>IFERROR(VLOOKUP(G85,'GAL-CUB'!$A:$D,4,FALSE),IFERROR(VLOOKUP(G85,ESCOLTAS!$A:$F,6,FALSE),VLOOKUP(G85,SAÍDAS!$A:$B,2,FALSE)))</f>
        <v>CRAPG</v>
      </c>
      <c r="F85" s="14">
        <v>2</v>
      </c>
      <c r="G85" s="104" t="s">
        <v>1972</v>
      </c>
    </row>
    <row r="86" spans="2:7" ht="14.25" thickTop="1" thickBot="1">
      <c r="B86" s="14" t="e">
        <f>VLOOKUP(G86,'GAL-CUB'!$A:$A,2,FALSE)</f>
        <v>#N/A</v>
      </c>
      <c r="C86" s="14" t="e">
        <f>VLOOKUP(G86,'GAL-CUB'!$A:$B,3,FALSE)</f>
        <v>#N/A</v>
      </c>
      <c r="D86" s="14" t="e">
        <f>VLOOKUP(G86,'GAL-CUB'!$A:$G,8,FALSE)</f>
        <v>#N/A</v>
      </c>
      <c r="E86" s="14" t="e">
        <f>IFERROR(VLOOKUP(G86,'GAL-CUB'!$A:$D,4,FALSE),IFERROR(VLOOKUP(G86,ESCOLTAS!$A:$F,6,FALSE),VLOOKUP(G86,SAÍDAS!$A:$B,2,FALSE)))</f>
        <v>#N/A</v>
      </c>
      <c r="F86" s="14">
        <v>3</v>
      </c>
      <c r="G86" s="104" t="s">
        <v>1958</v>
      </c>
    </row>
    <row r="87" spans="2:7" ht="14.25" thickTop="1" thickBot="1">
      <c r="B87" s="14" t="e">
        <f>VLOOKUP(G87,'GAL-CUB'!$A:$A,2,FALSE)</f>
        <v>#N/A</v>
      </c>
      <c r="C87" s="14" t="e">
        <f>VLOOKUP(G87,'GAL-CUB'!$A:$B,3,FALSE)</f>
        <v>#N/A</v>
      </c>
      <c r="D87" s="14" t="e">
        <f>VLOOKUP(G87,'GAL-CUB'!$A:$G,8,FALSE)</f>
        <v>#N/A</v>
      </c>
      <c r="E87" s="14" t="e">
        <f>IFERROR(VLOOKUP(G87,'GAL-CUB'!$A:$D,4,FALSE),IFERROR(VLOOKUP(G87,ESCOLTAS!$A:$F,6,FALSE),VLOOKUP(G87,SAÍDAS!$A:$B,2,FALSE)))</f>
        <v>#N/A</v>
      </c>
      <c r="F87" s="14">
        <v>4</v>
      </c>
      <c r="G87" s="104" t="s">
        <v>1897</v>
      </c>
    </row>
    <row r="88" spans="2:7" ht="14.25" thickTop="1" thickBot="1">
      <c r="B88" s="14" t="e">
        <f>VLOOKUP(G88,'GAL-CUB'!$A:$A,2,FALSE)</f>
        <v>#N/A</v>
      </c>
      <c r="C88" s="14" t="e">
        <f>VLOOKUP(G88,'GAL-CUB'!$A:$B,3,FALSE)</f>
        <v>#N/A</v>
      </c>
      <c r="D88" s="14" t="e">
        <f>VLOOKUP(G88,'GAL-CUB'!$A:$G,8,FALSE)</f>
        <v>#N/A</v>
      </c>
      <c r="E88" s="14" t="str">
        <f>IFERROR(VLOOKUP(G88,'GAL-CUB'!$A:$D,4,FALSE),IFERROR(VLOOKUP(G88,ESCOLTAS!$A:$F,6,FALSE),VLOOKUP(G88,SAÍDAS!$A:$B,2,FALSE)))</f>
        <v>CRAPG</v>
      </c>
      <c r="F88" s="14">
        <v>5</v>
      </c>
      <c r="G88" s="15" t="s">
        <v>1357</v>
      </c>
    </row>
    <row r="89" spans="2:7" ht="14.25" thickTop="1" thickBot="1">
      <c r="B89" s="14" t="e">
        <f>VLOOKUP(G89,'GAL-CUB'!$A:$A,2,FALSE)</f>
        <v>#N/A</v>
      </c>
      <c r="C89" s="14" t="e">
        <f>VLOOKUP(G89,'GAL-CUB'!$A:$B,3,FALSE)</f>
        <v>#N/A</v>
      </c>
      <c r="D89" s="14" t="e">
        <f>VLOOKUP(G89,'GAL-CUB'!$A:$G,8,FALSE)</f>
        <v>#N/A</v>
      </c>
      <c r="E89" s="14" t="str">
        <f>IFERROR(VLOOKUP(G89,'GAL-CUB'!$A:$D,4,FALSE),IFERROR(VLOOKUP(G89,ESCOLTAS!$A:$F,6,FALSE),VLOOKUP(G89,SAÍDAS!$A:$B,2,FALSE)))</f>
        <v>CRAPG</v>
      </c>
      <c r="F89" s="14">
        <v>6</v>
      </c>
      <c r="G89" s="16" t="s">
        <v>770</v>
      </c>
    </row>
    <row r="90" spans="2:7" ht="14.25" thickTop="1" thickBot="1">
      <c r="B90" s="14" t="e">
        <f>VLOOKUP(G90,'GAL-CUB'!$A:$A,2,FALSE)</f>
        <v>#N/A</v>
      </c>
      <c r="C90" s="14" t="e">
        <f>VLOOKUP(G90,'GAL-CUB'!$A:$B,3,FALSE)</f>
        <v>#N/A</v>
      </c>
      <c r="D90" s="14" t="e">
        <f>VLOOKUP(G90,'GAL-CUB'!$A:$G,8,FALSE)</f>
        <v>#N/A</v>
      </c>
      <c r="E90" s="14" t="e">
        <f>IFERROR(VLOOKUP(G90,'GAL-CUB'!$A:$D,4,FALSE),IFERROR(VLOOKUP(G90,ESCOLTAS!$A:$F,6,FALSE),VLOOKUP(G90,SAÍDAS!$A:$B,2,FALSE)))</f>
        <v>#N/A</v>
      </c>
      <c r="F90" s="14">
        <v>7</v>
      </c>
      <c r="G90" s="16" t="s">
        <v>563</v>
      </c>
    </row>
    <row r="91" spans="2:7" ht="14.25" thickTop="1" thickBot="1">
      <c r="B91" s="14" t="e">
        <f>VLOOKUP(G91,'GAL-CUB'!$A:$A,2,FALSE)</f>
        <v>#N/A</v>
      </c>
      <c r="C91" s="14" t="e">
        <f>VLOOKUP(G91,'GAL-CUB'!$A:$B,3,FALSE)</f>
        <v>#N/A</v>
      </c>
      <c r="D91" s="14" t="e">
        <f>VLOOKUP(G91,'GAL-CUB'!$A:$G,8,FALSE)</f>
        <v>#N/A</v>
      </c>
      <c r="E91" s="14" t="str">
        <f>IFERROR(VLOOKUP(G91,'GAL-CUB'!$A:$D,4,FALSE),IFERROR(VLOOKUP(G91,ESCOLTAS!$A:$F,6,FALSE),VLOOKUP(G91,SAÍDAS!$A:$B,2,FALSE)))</f>
        <v>CRAPG</v>
      </c>
      <c r="F91" s="14">
        <v>8</v>
      </c>
      <c r="G91" s="101"/>
    </row>
    <row r="92" spans="2:7" ht="14.25" thickTop="1" thickBot="1">
      <c r="B92" s="14" t="e">
        <f>VLOOKUP(G92,'GAL-CUB'!$A:$A,2,FALSE)</f>
        <v>#N/A</v>
      </c>
      <c r="C92" s="14" t="e">
        <f>VLOOKUP(G92,'GAL-CUB'!$A:$B,3,FALSE)</f>
        <v>#N/A</v>
      </c>
      <c r="D92" s="14" t="e">
        <f>VLOOKUP(G92,'GAL-CUB'!$A:$G,8,FALSE)</f>
        <v>#N/A</v>
      </c>
      <c r="E92" s="14" t="str">
        <f>IFERROR(VLOOKUP(G92,'GAL-CUB'!$A:$D,4,FALSE),IFERROR(VLOOKUP(G92,ESCOLTAS!$A:$F,6,FALSE),VLOOKUP(G92,SAÍDAS!$A:$B,2,FALSE)))</f>
        <v>LC</v>
      </c>
      <c r="F92" s="14">
        <v>9</v>
      </c>
      <c r="G92" s="87" t="s">
        <v>1858</v>
      </c>
    </row>
    <row r="93" spans="2:7" ht="14.25" thickTop="1" thickBot="1">
      <c r="B93" s="14" t="e">
        <f>VLOOKUP(G93,'GAL-CUB'!$A:$A,2,FALSE)</f>
        <v>#N/A</v>
      </c>
      <c r="C93" s="14" t="e">
        <f>VLOOKUP(G93,'GAL-CUB'!$A:$B,3,FALSE)</f>
        <v>#N/A</v>
      </c>
      <c r="D93" s="14" t="e">
        <f>VLOOKUP(G93,'GAL-CUB'!$A:$G,8,FALSE)</f>
        <v>#N/A</v>
      </c>
      <c r="E93" s="14" t="e">
        <f>IFERROR(VLOOKUP(G93,'GAL-CUB'!$A:$D,4,FALSE),IFERROR(VLOOKUP(G93,ESCOLTAS!$A:$F,6,FALSE),VLOOKUP(G93,SAÍDAS!$A:$B,2,FALSE)))</f>
        <v>#N/A</v>
      </c>
      <c r="F93" s="14">
        <v>10</v>
      </c>
      <c r="G93" s="15" t="s">
        <v>2017</v>
      </c>
    </row>
    <row r="94" spans="2:7" ht="14.25" thickTop="1" thickBot="1">
      <c r="B94" s="14" t="e">
        <f>VLOOKUP(G94,'GAL-CUB'!$A:$A,2,FALSE)</f>
        <v>#N/A</v>
      </c>
      <c r="C94" s="14" t="e">
        <f>VLOOKUP(G94,'GAL-CUB'!$A:$B,3,FALSE)</f>
        <v>#N/A</v>
      </c>
      <c r="D94" s="14" t="e">
        <f>VLOOKUP(G94,'GAL-CUB'!$A:$G,8,FALSE)</f>
        <v>#N/A</v>
      </c>
      <c r="E94" s="14" t="e">
        <f>IFERROR(VLOOKUP(G94,'GAL-CUB'!$A:$D,4,FALSE),IFERROR(VLOOKUP(G94,ESCOLTAS!$A:$F,6,FALSE),VLOOKUP(G94,SAÍDAS!$A:$B,2,FALSE)))</f>
        <v>#N/A</v>
      </c>
      <c r="F94" s="14">
        <v>11</v>
      </c>
      <c r="G94" s="15" t="s">
        <v>1864</v>
      </c>
    </row>
    <row r="95" spans="2:7" ht="14.25" thickTop="1" thickBot="1">
      <c r="B95" s="14" t="e">
        <f>VLOOKUP(G95,'GAL-CUB'!$A:$A,2,FALSE)</f>
        <v>#N/A</v>
      </c>
      <c r="C95" s="14" t="e">
        <f>VLOOKUP(G95,'GAL-CUB'!$A:$B,3,FALSE)</f>
        <v>#N/A</v>
      </c>
      <c r="D95" s="14" t="e">
        <f>VLOOKUP(G95,'GAL-CUB'!$A:$G,8,FALSE)</f>
        <v>#N/A</v>
      </c>
      <c r="E95" s="14" t="str">
        <f>IFERROR(VLOOKUP(G95,'GAL-CUB'!$A:$D,4,FALSE),IFERROR(VLOOKUP(G95,ESCOLTAS!$A:$F,6,FALSE),VLOOKUP(G95,SAÍDAS!$A:$B,2,FALSE)))</f>
        <v>CRAPG</v>
      </c>
      <c r="F95" s="14">
        <v>12</v>
      </c>
      <c r="G95" s="15" t="s">
        <v>567</v>
      </c>
    </row>
    <row r="96" spans="2:7" ht="13.5" thickTop="1"/>
    <row r="97" spans="2:7">
      <c r="B97" s="710" t="s">
        <v>1781</v>
      </c>
      <c r="C97" s="710"/>
      <c r="D97" s="710"/>
      <c r="E97" s="710"/>
      <c r="F97" s="710"/>
      <c r="G97" s="710"/>
    </row>
    <row r="98" spans="2:7">
      <c r="B98" s="710"/>
      <c r="C98" s="710"/>
      <c r="D98" s="710"/>
      <c r="E98" s="710"/>
      <c r="F98" s="710"/>
      <c r="G98" s="710"/>
    </row>
    <row r="99" spans="2:7" ht="13.5" thickBot="1"/>
    <row r="100" spans="2:7" ht="14.25" thickTop="1" thickBot="1">
      <c r="B100" s="708" t="str">
        <f>SEGUNDA!B70</f>
        <v>EDUARDO</v>
      </c>
      <c r="C100" s="709"/>
      <c r="D100" s="709"/>
      <c r="E100" s="46"/>
      <c r="F100" s="46"/>
      <c r="G100" s="27" t="str">
        <f ca="1">IF(WEEKDAY(B2,2)=2,"HOJE","TERÇA-FEIRA")</f>
        <v>HOJE</v>
      </c>
    </row>
    <row r="101" spans="2:7" ht="14.25" thickTop="1" thickBot="1">
      <c r="B101" s="13" t="s">
        <v>812</v>
      </c>
      <c r="C101" s="13" t="s">
        <v>250</v>
      </c>
      <c r="D101" s="13" t="s">
        <v>435</v>
      </c>
      <c r="E101" s="13" t="s">
        <v>1178</v>
      </c>
      <c r="F101" s="13" t="s">
        <v>1802</v>
      </c>
      <c r="G101" s="13" t="s">
        <v>370</v>
      </c>
    </row>
    <row r="102" spans="2:7" ht="14.25" thickTop="1" thickBot="1">
      <c r="B102" s="14" t="e">
        <f>VLOOKUP(G102,'GAL-CUB'!$A:$A,2,FALSE)</f>
        <v>#N/A</v>
      </c>
      <c r="C102" s="14" t="e">
        <f>VLOOKUP(G102,'GAL-CUB'!$A:$B,3,FALSE)</f>
        <v>#N/A</v>
      </c>
      <c r="D102" s="14" t="e">
        <f>VLOOKUP(G102,'GAL-CUB'!$A:$G,8,FALSE)</f>
        <v>#N/A</v>
      </c>
      <c r="E102" s="14" t="str">
        <f>IFERROR(VLOOKUP(G102,'GAL-CUB'!$A:$D,4,FALSE),IFERROR(VLOOKUP(G102,ESCOLTAS!$A:$F,6,FALSE),VLOOKUP(G102,SAÍDAS!$A:$B,2,FALSE)))</f>
        <v>CRAPG</v>
      </c>
      <c r="F102" s="14">
        <v>1</v>
      </c>
      <c r="G102" s="15" t="str">
        <f>SEGUNDA!G72</f>
        <v>ANTONIO GUEDES RODRIGUES</v>
      </c>
    </row>
    <row r="103" spans="2:7" ht="14.25" thickTop="1" thickBot="1">
      <c r="B103" s="14" t="e">
        <f>VLOOKUP(G103,'GAL-CUB'!$A:$A,2,FALSE)</f>
        <v>#N/A</v>
      </c>
      <c r="C103" s="14" t="e">
        <f>VLOOKUP(G103,'GAL-CUB'!$A:$B,3,FALSE)</f>
        <v>#N/A</v>
      </c>
      <c r="D103" s="14" t="e">
        <f>VLOOKUP(G103,'GAL-CUB'!$A:$G,8,FALSE)</f>
        <v>#N/A</v>
      </c>
      <c r="E103" s="14" t="e">
        <f>IFERROR(VLOOKUP(G103,'GAL-CUB'!$A:$D,4,FALSE),IFERROR(VLOOKUP(G103,ESCOLTAS!$A:$F,6,FALSE),VLOOKUP(G103,SAÍDAS!$A:$B,2,FALSE)))</f>
        <v>#N/A</v>
      </c>
      <c r="F103" s="14">
        <v>2</v>
      </c>
      <c r="G103" s="15" t="str">
        <f>SEGUNDA!G73</f>
        <v>CLEVERSON GONÇALVES DA SILVA (Fantasma / Pequeno)</v>
      </c>
    </row>
    <row r="104" spans="2:7" ht="14.25" thickTop="1" thickBot="1">
      <c r="B104" s="14" t="e">
        <f>VLOOKUP(G104,'GAL-CUB'!$A:$A,2,FALSE)</f>
        <v>#N/A</v>
      </c>
      <c r="C104" s="14" t="e">
        <f>VLOOKUP(G104,'GAL-CUB'!$A:$B,3,FALSE)</f>
        <v>#N/A</v>
      </c>
      <c r="D104" s="14" t="e">
        <f>VLOOKUP(G104,'GAL-CUB'!$A:$G,8,FALSE)</f>
        <v>#N/A</v>
      </c>
      <c r="E104" s="14" t="s">
        <v>1226</v>
      </c>
      <c r="F104" s="14">
        <v>3</v>
      </c>
      <c r="G104" s="15" t="str">
        <f>SEGUNDA!G74</f>
        <v>CLODOALDO RIBEIRO</v>
      </c>
    </row>
    <row r="105" spans="2:7" ht="14.25" thickTop="1" thickBot="1">
      <c r="B105" s="14" t="e">
        <f>VLOOKUP(G105,'GAL-CUB'!$A:$A,2,FALSE)</f>
        <v>#N/A</v>
      </c>
      <c r="C105" s="14" t="e">
        <f>VLOOKUP(G105,'GAL-CUB'!$A:$B,3,FALSE)</f>
        <v>#N/A</v>
      </c>
      <c r="D105" s="14" t="e">
        <f>VLOOKUP(G105,'GAL-CUB'!$A:$G,8,FALSE)</f>
        <v>#N/A</v>
      </c>
      <c r="E105" s="14" t="e">
        <f>IFERROR(VLOOKUP(G105,'GAL-CUB'!$A:$D,4,FALSE),IFERROR(VLOOKUP(G105,ESCOLTAS!$A:$F,6,FALSE),VLOOKUP(G105,SAÍDAS!$A:$B,2,FALSE)))</f>
        <v>#N/A</v>
      </c>
      <c r="F105" s="14">
        <v>4</v>
      </c>
      <c r="G105" s="15" t="str">
        <f>SEGUNDA!G75</f>
        <v>EDSON LUIZ SCHUCK</v>
      </c>
    </row>
    <row r="106" spans="2:7" ht="14.25" thickTop="1" thickBot="1">
      <c r="B106" s="14" t="e">
        <f>VLOOKUP(G106,'GAL-CUB'!$A:$A,2,FALSE)</f>
        <v>#N/A</v>
      </c>
      <c r="C106" s="14" t="e">
        <f>VLOOKUP(G106,'GAL-CUB'!$A:$B,3,FALSE)</f>
        <v>#N/A</v>
      </c>
      <c r="D106" s="14" t="e">
        <f>VLOOKUP(G106,'GAL-CUB'!$A:$G,8,FALSE)</f>
        <v>#N/A</v>
      </c>
      <c r="E106" s="14" t="str">
        <f>IFERROR(VLOOKUP(G106,'GAL-CUB'!$A:$D,4,FALSE),IFERROR(VLOOKUP(G106,ESCOLTAS!$A:$F,6,FALSE),VLOOKUP(G106,SAÍDAS!$A:$B,2,FALSE)))</f>
        <v>Bonde CTBA</v>
      </c>
      <c r="F106" s="14">
        <v>5</v>
      </c>
      <c r="G106" s="15" t="str">
        <f>SEGUNDA!G76</f>
        <v>EMERSON CHACARSKI</v>
      </c>
    </row>
    <row r="107" spans="2:7" ht="14.25" thickTop="1" thickBot="1">
      <c r="B107" s="14" t="e">
        <f>VLOOKUP(G107,'GAL-CUB'!$A:$A,2,FALSE)</f>
        <v>#N/A</v>
      </c>
      <c r="C107" s="14" t="e">
        <f>VLOOKUP(G107,'GAL-CUB'!$A:$B,3,FALSE)</f>
        <v>#N/A</v>
      </c>
      <c r="D107" s="14" t="e">
        <f>VLOOKUP(G107,'GAL-CUB'!$A:$G,8,FALSE)</f>
        <v>#N/A</v>
      </c>
      <c r="E107" s="14" t="str">
        <f>IFERROR(VLOOKUP(G107,'GAL-CUB'!$A:$D,4,FALSE),IFERROR(VLOOKUP(G107,ESCOLTAS!$A:$F,6,FALSE),VLOOKUP(G107,SAÍDAS!$A:$B,2,FALSE)))</f>
        <v>CRAPG</v>
      </c>
      <c r="F107" s="14">
        <v>5</v>
      </c>
      <c r="G107" s="15" t="str">
        <f>SEGUNDA!G77</f>
        <v>JEAN CARLOS OLIVEIRA PINTO</v>
      </c>
    </row>
    <row r="108" spans="2:7" ht="14.25" thickTop="1" thickBot="1">
      <c r="B108" s="14" t="e">
        <f>VLOOKUP(G108,'GAL-CUB'!$A:$A,2,FALSE)</f>
        <v>#N/A</v>
      </c>
      <c r="C108" s="14" t="e">
        <f>VLOOKUP(G108,'GAL-CUB'!$A:$B,3,FALSE)</f>
        <v>#N/A</v>
      </c>
      <c r="D108" s="14" t="e">
        <f>VLOOKUP(G108,'GAL-CUB'!$A:$G,8,FALSE)</f>
        <v>#N/A</v>
      </c>
      <c r="E108" s="102" t="e">
        <f>IFERROR(VLOOKUP(G108,'GAL-CUB'!$A:$D,4,FALSE),IFERROR(VLOOKUP(G108,ESCOLTAS!$A:$F,6,FALSE),VLOOKUP(G108,SAÍDAS!$A:$B,2,FALSE)))</f>
        <v>#N/A</v>
      </c>
      <c r="F108" s="102">
        <v>6</v>
      </c>
      <c r="G108" s="15" t="str">
        <f>SEGUNDA!G78</f>
        <v>MAICON HENRIQUE CORREIA (Sabiá)</v>
      </c>
    </row>
    <row r="109" spans="2:7" ht="14.25" thickTop="1" thickBot="1">
      <c r="B109" s="14" t="e">
        <f>VLOOKUP(G109,'GAL-CUB'!$A:$A,2,FALSE)</f>
        <v>#N/A</v>
      </c>
      <c r="C109" s="14" t="e">
        <f>VLOOKUP(G109,'GAL-CUB'!$A:$B,3,FALSE)</f>
        <v>#N/A</v>
      </c>
      <c r="D109" s="14" t="e">
        <f>VLOOKUP(G109,'GAL-CUB'!$A:$G,8,FALSE)</f>
        <v>#N/A</v>
      </c>
      <c r="E109" s="14" t="str">
        <f>IFERROR(VLOOKUP(G109,'GAL-CUB'!$A:$D,4,FALSE),IFERROR(VLOOKUP(G109,ESCOLTAS!$A:$F,6,FALSE),VLOOKUP(G109,SAÍDAS!$A:$B,2,FALSE)))</f>
        <v>CRAPG</v>
      </c>
      <c r="F109" s="14">
        <v>7</v>
      </c>
      <c r="G109" s="15" t="str">
        <f>SEGUNDA!G79</f>
        <v>MARCOS WILLIAN SANTOS DA SILVA (Marquinhos)</v>
      </c>
    </row>
    <row r="110" spans="2:7" ht="14.25" thickTop="1" thickBot="1">
      <c r="B110" s="14" t="e">
        <f>VLOOKUP(G110,'GAL-CUB'!$A:$A,2,FALSE)</f>
        <v>#N/A</v>
      </c>
      <c r="C110" s="14" t="e">
        <f>VLOOKUP(G110,'GAL-CUB'!$A:$B,3,FALSE)</f>
        <v>#N/A</v>
      </c>
      <c r="D110" s="14" t="e">
        <f>VLOOKUP(G110,'GAL-CUB'!$A:$G,8,FALSE)</f>
        <v>#N/A</v>
      </c>
      <c r="E110" s="14" t="e">
        <f>IFERROR(VLOOKUP(G110,'GAL-CUB'!$A:$D,4,FALSE),IFERROR(VLOOKUP(G110,ESCOLTAS!$A:$F,6,FALSE),VLOOKUP(G110,SAÍDAS!$A:$B,2,FALSE)))</f>
        <v>#N/A</v>
      </c>
      <c r="F110" s="14">
        <v>8</v>
      </c>
      <c r="G110" s="15" t="str">
        <f>SEGUNDA!G80</f>
        <v>WILLIAN EDUARDO STARKE</v>
      </c>
    </row>
    <row r="111" spans="2:7" ht="14.25" thickTop="1" thickBot="1">
      <c r="B111" s="14" t="e">
        <f>VLOOKUP(G111,'GAL-CUB'!$A:$A,2,FALSE)</f>
        <v>#N/A</v>
      </c>
      <c r="C111" s="14" t="e">
        <f>VLOOKUP(G111,'GAL-CUB'!$A:$B,3,FALSE)</f>
        <v>#N/A</v>
      </c>
      <c r="D111" s="14" t="e">
        <f>VLOOKUP(G111,'GAL-CUB'!$A:$G,8,FALSE)</f>
        <v>#N/A</v>
      </c>
      <c r="E111" s="14" t="str">
        <f>IFERROR(VLOOKUP(G111,'GAL-CUB'!$A:$D,4,FALSE),IFERROR(VLOOKUP(G111,ESCOLTAS!$A:$F,6,FALSE),VLOOKUP(G111,SAÍDAS!$A:$B,2,FALSE)))</f>
        <v>CRAPG</v>
      </c>
      <c r="F111" s="14">
        <v>10</v>
      </c>
      <c r="G111" s="15" t="str">
        <f>SEGUNDA!G81</f>
        <v>ILTON MAYCON PEREIRA DOS SANTOS</v>
      </c>
    </row>
    <row r="112" spans="2:7" ht="14.25" thickTop="1" thickBot="1">
      <c r="B112" s="14" t="e">
        <f>VLOOKUP(G112,'GAL-CUB'!$A:$A,2,FALSE)</f>
        <v>#N/A</v>
      </c>
      <c r="C112" s="14" t="e">
        <f>VLOOKUP(G112,'GAL-CUB'!$A:$B,3,FALSE)</f>
        <v>#N/A</v>
      </c>
      <c r="D112" s="14" t="e">
        <f>VLOOKUP(G112,'GAL-CUB'!$A:$G,8,FALSE)</f>
        <v>#N/A</v>
      </c>
      <c r="E112" s="14" t="str">
        <f>IFERROR(VLOOKUP(G112,'GAL-CUB'!$A:$D,4,FALSE),IFERROR(VLOOKUP(G112,ESCOLTAS!$A:$F,6,FALSE),VLOOKUP(G112,SAÍDAS!$A:$B,2,FALSE)))</f>
        <v>CRAPG</v>
      </c>
      <c r="F112" s="14">
        <v>11</v>
      </c>
      <c r="G112" s="15" t="str">
        <f>SEGUNDA!G82</f>
        <v>RODRIGO CARVALHO SILVA REIS</v>
      </c>
    </row>
    <row r="113" spans="2:7" ht="14.25" thickTop="1" thickBot="1">
      <c r="B113" s="14" t="e">
        <f>VLOOKUP(G113,'GAL-CUB'!$A:$A,2,FALSE)</f>
        <v>#N/A</v>
      </c>
      <c r="C113" s="14" t="e">
        <f>VLOOKUP(G113,'GAL-CUB'!$A:$B,3,FALSE)</f>
        <v>#N/A</v>
      </c>
      <c r="D113" s="14" t="e">
        <f>VLOOKUP(G113,'GAL-CUB'!$A:$G,8,FALSE)</f>
        <v>#N/A</v>
      </c>
      <c r="E113" s="14" t="str">
        <f>IFERROR(VLOOKUP(G113,'GAL-CUB'!$A:$D,4,FALSE),IFERROR(VLOOKUP(G113,ESCOLTAS!$A:$F,6,FALSE),VLOOKUP(G113,SAÍDAS!$A:$B,2,FALSE)))</f>
        <v>CRAPG</v>
      </c>
      <c r="F113" s="14">
        <v>12</v>
      </c>
      <c r="G113" s="15" t="str">
        <f>SEGUNDA!G83</f>
        <v>TIAGO PODAN</v>
      </c>
    </row>
    <row r="114" spans="2:7" ht="14.25" thickTop="1" thickBot="1"/>
    <row r="115" spans="2:7" ht="14.25" thickTop="1" thickBot="1">
      <c r="B115" s="708" t="str">
        <f>SEGUNDA!B85</f>
        <v>ROSALBA</v>
      </c>
      <c r="C115" s="709"/>
      <c r="D115" s="709"/>
      <c r="E115" s="46" t="str">
        <f>SEGUNDA!E85</f>
        <v>OK</v>
      </c>
      <c r="F115" s="46"/>
      <c r="G115" s="27" t="str">
        <f ca="1">IF(WEEKDAY(B2,2)=2,"HOJE","TERÇA-FEIRA")</f>
        <v>HOJE</v>
      </c>
    </row>
    <row r="116" spans="2:7" ht="14.25" thickTop="1" thickBot="1">
      <c r="B116" s="13" t="s">
        <v>812</v>
      </c>
      <c r="C116" s="13" t="s">
        <v>250</v>
      </c>
      <c r="D116" s="13" t="s">
        <v>435</v>
      </c>
      <c r="E116" s="13" t="s">
        <v>1178</v>
      </c>
      <c r="F116" s="13" t="s">
        <v>1802</v>
      </c>
      <c r="G116" s="13" t="s">
        <v>370</v>
      </c>
    </row>
    <row r="117" spans="2:7" ht="14.25" thickTop="1" thickBot="1">
      <c r="B117" s="14" t="e">
        <f>VLOOKUP(G117,'GAL-CUB'!$A:$A,2,FALSE)</f>
        <v>#N/A</v>
      </c>
      <c r="C117" s="14" t="e">
        <f>VLOOKUP(G117,'GAL-CUB'!$A:$B,3,FALSE)</f>
        <v>#N/A</v>
      </c>
      <c r="D117" s="14" t="e">
        <f>VLOOKUP(G117,'GAL-CUB'!$A:$G,8,FALSE)</f>
        <v>#N/A</v>
      </c>
      <c r="E117" s="14" t="str">
        <f>IFERROR(VLOOKUP(G117,'GAL-CUB'!$A:$D,4,FALSE),IFERROR(VLOOKUP(G117,ESCOLTAS!$A:$F,6,FALSE),VLOOKUP(G117,SAÍDAS!$A:$B,2,FALSE)))</f>
        <v>CRAPG</v>
      </c>
      <c r="F117" s="14">
        <v>1</v>
      </c>
      <c r="G117" s="15" t="str">
        <f>SEGUNDA!G87</f>
        <v>ADILSON TEIXEIRA</v>
      </c>
    </row>
    <row r="118" spans="2:7" ht="14.25" thickTop="1" thickBot="1">
      <c r="B118" s="14" t="e">
        <f>VLOOKUP(G118,'GAL-CUB'!$A:$A,2,FALSE)</f>
        <v>#N/A</v>
      </c>
      <c r="C118" s="14" t="e">
        <f>VLOOKUP(G118,'GAL-CUB'!$A:$B,3,FALSE)</f>
        <v>#N/A</v>
      </c>
      <c r="D118" s="14" t="e">
        <f>VLOOKUP(G118,'GAL-CUB'!$A:$G,8,FALSE)</f>
        <v>#N/A</v>
      </c>
      <c r="E118" s="14" t="str">
        <f>IFERROR(VLOOKUP(G118,'GAL-CUB'!$A:$D,4,FALSE),IFERROR(VLOOKUP(G118,ESCOLTAS!$A:$F,6,FALSE),VLOOKUP(G118,SAÍDAS!$A:$B,2,FALSE)))</f>
        <v>UP</v>
      </c>
      <c r="F118" s="14">
        <v>2</v>
      </c>
      <c r="G118" s="15" t="str">
        <f>SEGUNDA!G88</f>
        <v>AMADEU FRANCISCO RIBAS</v>
      </c>
    </row>
    <row r="119" spans="2:7" ht="14.25" thickTop="1" thickBot="1">
      <c r="B119" s="14" t="e">
        <f>VLOOKUP(G119,'GAL-CUB'!$A:$A,2,FALSE)</f>
        <v>#N/A</v>
      </c>
      <c r="C119" s="14" t="e">
        <f>VLOOKUP(G119,'GAL-CUB'!$A:$B,3,FALSE)</f>
        <v>#N/A</v>
      </c>
      <c r="D119" s="14" t="e">
        <f>VLOOKUP(G119,'GAL-CUB'!$A:$G,8,FALSE)</f>
        <v>#N/A</v>
      </c>
      <c r="E119" s="14" t="e">
        <f>IFERROR(VLOOKUP(G119,'GAL-CUB'!$A:$D,4,FALSE),IFERROR(VLOOKUP(G119,ESCOLTAS!$A:$F,6,FALSE),VLOOKUP(G119,SAÍDAS!$A:$B,2,FALSE)))</f>
        <v>#N/A</v>
      </c>
      <c r="F119" s="14">
        <v>3</v>
      </c>
      <c r="G119" s="15" t="str">
        <f>SEGUNDA!G89</f>
        <v xml:space="preserve">EDSON BATISTA DOS SANTOS </v>
      </c>
    </row>
    <row r="120" spans="2:7" ht="14.25" thickTop="1" thickBot="1">
      <c r="B120" s="14" t="e">
        <f>VLOOKUP(G120,'GAL-CUB'!$A:$A,2,FALSE)</f>
        <v>#N/A</v>
      </c>
      <c r="C120" s="14" t="e">
        <f>VLOOKUP(G120,'GAL-CUB'!$A:$B,3,FALSE)</f>
        <v>#N/A</v>
      </c>
      <c r="D120" s="14" t="e">
        <f>VLOOKUP(G120,'GAL-CUB'!$A:$G,8,FALSE)</f>
        <v>#N/A</v>
      </c>
      <c r="E120" s="14" t="str">
        <f>IFERROR(VLOOKUP(G120,'GAL-CUB'!$A:$D,4,FALSE),IFERROR(VLOOKUP(G120,ESCOLTAS!$A:$F,6,FALSE),VLOOKUP(G120,SAÍDAS!$A:$B,2,FALSE)))</f>
        <v>Bonde CTBA</v>
      </c>
      <c r="F120" s="14">
        <v>4</v>
      </c>
      <c r="G120" s="15" t="str">
        <f>SEGUNDA!G90</f>
        <v>EMERSON CHACARSKI</v>
      </c>
    </row>
    <row r="121" spans="2:7" ht="14.25" thickTop="1" thickBot="1">
      <c r="B121" s="14" t="e">
        <f>VLOOKUP(G121,'GAL-CUB'!$A:$A,2,FALSE)</f>
        <v>#N/A</v>
      </c>
      <c r="C121" s="14" t="e">
        <f>VLOOKUP(G121,'GAL-CUB'!$A:$B,3,FALSE)</f>
        <v>#N/A</v>
      </c>
      <c r="D121" s="14" t="e">
        <f>VLOOKUP(G121,'GAL-CUB'!$A:$G,8,FALSE)</f>
        <v>#N/A</v>
      </c>
      <c r="E121" s="14" t="e">
        <f>IFERROR(VLOOKUP(G121,'GAL-CUB'!$A:$D,4,FALSE),IFERROR(VLOOKUP(G121,ESCOLTAS!$A:$F,6,FALSE),VLOOKUP(G121,SAÍDAS!$A:$B,2,FALSE)))</f>
        <v>#N/A</v>
      </c>
      <c r="F121" s="14">
        <v>5</v>
      </c>
      <c r="G121" s="15" t="str">
        <f>SEGUNDA!G91</f>
        <v>EVERSON LUIS DE LIMA (Chuck)</v>
      </c>
    </row>
    <row r="122" spans="2:7" ht="14.25" thickTop="1" thickBot="1">
      <c r="B122" s="14" t="e">
        <f>VLOOKUP(G122,'GAL-CUB'!$A:$A,2,FALSE)</f>
        <v>#N/A</v>
      </c>
      <c r="C122" s="14" t="e">
        <f>VLOOKUP(G122,'GAL-CUB'!$A:$B,3,FALSE)</f>
        <v>#N/A</v>
      </c>
      <c r="D122" s="14" t="e">
        <f>VLOOKUP(G122,'GAL-CUB'!$A:$G,8,FALSE)</f>
        <v>#N/A</v>
      </c>
      <c r="E122" s="14" t="e">
        <f>IFERROR(VLOOKUP(G122,'GAL-CUB'!$A:$D,4,FALSE),IFERROR(VLOOKUP(G122,ESCOLTAS!$A:$F,6,FALSE),VLOOKUP(G122,SAÍDAS!$A:$B,2,FALSE)))</f>
        <v>#N/A</v>
      </c>
      <c r="F122" s="14">
        <v>6</v>
      </c>
      <c r="G122" s="15" t="str">
        <f>SEGUNDA!G92</f>
        <v>FLAVIO DE JESUS MAZEIKA VAZ</v>
      </c>
    </row>
    <row r="123" spans="2:7" ht="14.25" thickTop="1" thickBot="1">
      <c r="B123" s="14" t="e">
        <f>VLOOKUP(G123,'GAL-CUB'!$A:$A,2,FALSE)</f>
        <v>#N/A</v>
      </c>
      <c r="C123" s="14" t="e">
        <f>VLOOKUP(G123,'GAL-CUB'!$A:$B,3,FALSE)</f>
        <v>#N/A</v>
      </c>
      <c r="D123" s="14" t="e">
        <f>VLOOKUP(G123,'GAL-CUB'!$A:$G,8,FALSE)</f>
        <v>#N/A</v>
      </c>
      <c r="E123" s="14" t="str">
        <f>IFERROR(VLOOKUP(G123,'GAL-CUB'!$A:$D,4,FALSE),IFERROR(VLOOKUP(G123,ESCOLTAS!$A:$F,6,FALSE),VLOOKUP(G123,SAÍDAS!$A:$B,2,FALSE)))</f>
        <v>CRAPG</v>
      </c>
      <c r="F123" s="14">
        <v>7</v>
      </c>
      <c r="G123" s="15" t="str">
        <f>SEGUNDA!G93</f>
        <v>MAIKON RODRIGUES DE CARVALHO</v>
      </c>
    </row>
    <row r="124" spans="2:7" ht="14.25" thickTop="1" thickBot="1">
      <c r="B124" s="14" t="e">
        <f>VLOOKUP(G124,'GAL-CUB'!$A:$A,2,FALSE)</f>
        <v>#N/A</v>
      </c>
      <c r="C124" s="14" t="e">
        <f>VLOOKUP(G124,'GAL-CUB'!$A:$B,3,FALSE)</f>
        <v>#N/A</v>
      </c>
      <c r="D124" s="14" t="e">
        <f>VLOOKUP(G124,'GAL-CUB'!$A:$G,8,FALSE)</f>
        <v>#N/A</v>
      </c>
      <c r="E124" s="14" t="e">
        <f>IFERROR(VLOOKUP(G124,'GAL-CUB'!$A:$D,4,FALSE),IFERROR(VLOOKUP(G124,ESCOLTAS!$A:$F,6,FALSE),VLOOKUP(G124,SAÍDAS!$A:$B,2,FALSE)))</f>
        <v>#N/A</v>
      </c>
      <c r="F124" s="14">
        <v>8</v>
      </c>
      <c r="G124" s="15" t="str">
        <f>SEGUNDA!G94</f>
        <v>MAURO DOS SANTOS (Índio)</v>
      </c>
    </row>
    <row r="125" spans="2:7" ht="14.25" thickTop="1" thickBot="1">
      <c r="B125" s="14" t="e">
        <f>VLOOKUP(G125,'GAL-CUB'!$A:$A,2,FALSE)</f>
        <v>#N/A</v>
      </c>
      <c r="C125" s="14" t="e">
        <f>VLOOKUP(G125,'GAL-CUB'!$A:$B,3,FALSE)</f>
        <v>#N/A</v>
      </c>
      <c r="D125" s="14" t="e">
        <f>VLOOKUP(G125,'GAL-CUB'!$A:$G,8,FALSE)</f>
        <v>#N/A</v>
      </c>
      <c r="E125" s="14">
        <f>IFERROR(VLOOKUP(G125,'GAL-CUB'!$A:$D,4,FALSE),IFERROR(VLOOKUP(G125,ESCOLTAS!$A:$F,6,FALSE),VLOOKUP(G125,SAÍDAS!$A:$B,2,FALSE)))</f>
        <v>0</v>
      </c>
      <c r="F125" s="14">
        <v>9</v>
      </c>
      <c r="G125" s="15" t="str">
        <f>SEGUNDA!G95</f>
        <v>RAFAEL ALVES (Seco)</v>
      </c>
    </row>
    <row r="126" spans="2:7" ht="14.25" thickTop="1" thickBot="1">
      <c r="B126" s="14" t="e">
        <f>VLOOKUP(G126,'GAL-CUB'!$A:$A,2,FALSE)</f>
        <v>#N/A</v>
      </c>
      <c r="C126" s="14" t="e">
        <f>VLOOKUP(G126,'GAL-CUB'!$A:$B,3,FALSE)</f>
        <v>#N/A</v>
      </c>
      <c r="D126" s="14" t="e">
        <f>VLOOKUP(G126,'GAL-CUB'!$A:$G,8,FALSE)</f>
        <v>#N/A</v>
      </c>
      <c r="E126" s="14" t="str">
        <f>IFERROR(VLOOKUP(G126,'GAL-CUB'!$A:$D,4,FALSE),IFERROR(VLOOKUP(G126,ESCOLTAS!$A:$F,6,FALSE),VLOOKUP(G126,SAÍDAS!$A:$B,2,FALSE)))</f>
        <v>CRAPG</v>
      </c>
      <c r="F126" s="14">
        <v>10</v>
      </c>
      <c r="G126" s="15" t="str">
        <f>SEGUNDA!G96</f>
        <v>RIVALDO CHAVES</v>
      </c>
    </row>
    <row r="127" spans="2:7" ht="14.25" thickTop="1" thickBot="1">
      <c r="B127" s="14" t="e">
        <f>VLOOKUP(G127,'GAL-CUB'!$A:$A,2,FALSE)</f>
        <v>#N/A</v>
      </c>
      <c r="C127" s="14" t="e">
        <f>VLOOKUP(G127,'GAL-CUB'!$A:$B,3,FALSE)</f>
        <v>#N/A</v>
      </c>
      <c r="D127" s="14" t="e">
        <f>VLOOKUP(G127,'GAL-CUB'!$A:$G,8,FALSE)</f>
        <v>#N/A</v>
      </c>
      <c r="E127" s="14" t="e">
        <f>IFERROR(VLOOKUP(G127,'GAL-CUB'!$A:$D,4,FALSE),IFERROR(VLOOKUP(G127,ESCOLTAS!$A:$F,6,FALSE),VLOOKUP(G127,SAÍDAS!$A:$B,2,FALSE)))</f>
        <v>#N/A</v>
      </c>
      <c r="F127" s="14">
        <v>11</v>
      </c>
      <c r="G127" s="15" t="str">
        <f>SEGUNDA!G97</f>
        <v>NILTON CESAR FERREIRA PEDROSO</v>
      </c>
    </row>
    <row r="128" spans="2:7" ht="14.25" thickTop="1" thickBot="1">
      <c r="B128" s="14" t="e">
        <f>VLOOKUP(G128,'GAL-CUB'!$A:$A,2,FALSE)</f>
        <v>#N/A</v>
      </c>
      <c r="C128" s="14" t="e">
        <f>VLOOKUP(G128,'GAL-CUB'!$A:$B,3,FALSE)</f>
        <v>#N/A</v>
      </c>
      <c r="D128" s="14" t="e">
        <f>VLOOKUP(G128,'GAL-CUB'!$A:$G,8,FALSE)</f>
        <v>#N/A</v>
      </c>
      <c r="E128" s="14" t="e">
        <f>IFERROR(VLOOKUP(G128,'GAL-CUB'!$A:$D,4,FALSE),IFERROR(VLOOKUP(G128,ESCOLTAS!$A:$F,6,FALSE),VLOOKUP(G128,SAÍDAS!$A:$B,2,FALSE)))</f>
        <v>#N/A</v>
      </c>
      <c r="F128" s="14">
        <v>12</v>
      </c>
      <c r="G128" s="15" t="str">
        <f>SEGUNDA!G98</f>
        <v>WILLIAN JOSE MESSIAS SOARES</v>
      </c>
    </row>
    <row r="129" spans="2:7" ht="14.25" thickTop="1" thickBot="1"/>
    <row r="130" spans="2:7" ht="14.25" thickTop="1" thickBot="1">
      <c r="B130" s="708" t="s">
        <v>1786</v>
      </c>
      <c r="C130" s="709"/>
      <c r="D130" s="709"/>
      <c r="E130" s="46" t="s">
        <v>2193</v>
      </c>
      <c r="F130" s="46"/>
      <c r="G130" s="27" t="str">
        <f ca="1">IF(WEEKDAY(B2,2)=2,"HOJE","TERÇA-FEIRA")</f>
        <v>HOJE</v>
      </c>
    </row>
    <row r="131" spans="2:7" ht="14.25" thickTop="1" thickBot="1">
      <c r="B131" s="13" t="s">
        <v>812</v>
      </c>
      <c r="C131" s="13" t="s">
        <v>250</v>
      </c>
      <c r="D131" s="13" t="s">
        <v>435</v>
      </c>
      <c r="E131" s="13" t="s">
        <v>1178</v>
      </c>
      <c r="F131" s="13" t="s">
        <v>1802</v>
      </c>
      <c r="G131" s="13" t="s">
        <v>370</v>
      </c>
    </row>
    <row r="132" spans="2:7" ht="14.25" thickTop="1" thickBot="1">
      <c r="B132" s="14" t="e">
        <f>VLOOKUP(G132,'GAL-CUB'!$A:$A,2,FALSE)</f>
        <v>#N/A</v>
      </c>
      <c r="C132" s="14" t="e">
        <f>VLOOKUP(G132,'GAL-CUB'!$A:$B,3,FALSE)</f>
        <v>#N/A</v>
      </c>
      <c r="D132" s="14" t="e">
        <f>VLOOKUP(G132,'GAL-CUB'!$A:$G,8,FALSE)</f>
        <v>#N/A</v>
      </c>
      <c r="E132" s="102" t="str">
        <f>IFERROR(VLOOKUP(G132,'GAL-CUB'!$A:$D,4,FALSE),IFERROR(VLOOKUP(G132,ESCOLTAS!$A:$F,6,FALSE),VLOOKUP(G132,SAÍDAS!$A:$B,2,FALSE)))</f>
        <v>CRAPG</v>
      </c>
      <c r="F132" s="102">
        <v>1</v>
      </c>
      <c r="G132" s="122" t="s">
        <v>1590</v>
      </c>
    </row>
    <row r="133" spans="2:7" ht="14.25" thickTop="1" thickBot="1">
      <c r="B133" s="14" t="e">
        <f>VLOOKUP(G133,'GAL-CUB'!$A:$A,2,FALSE)</f>
        <v>#N/A</v>
      </c>
      <c r="C133" s="14" t="e">
        <f>VLOOKUP(G133,'GAL-CUB'!$A:$B,3,FALSE)</f>
        <v>#N/A</v>
      </c>
      <c r="D133" s="14" t="e">
        <f>VLOOKUP(G133,'GAL-CUB'!$A:$G,8,FALSE)</f>
        <v>#N/A</v>
      </c>
      <c r="E133" s="102" t="e">
        <f>IFERROR(VLOOKUP(G133,'GAL-CUB'!$A:$D,4,FALSE),IFERROR(VLOOKUP(G133,ESCOLTAS!$A:$F,6,FALSE),VLOOKUP(G133,SAÍDAS!$A:$B,2,FALSE)))</f>
        <v>#N/A</v>
      </c>
      <c r="F133" s="102">
        <v>2</v>
      </c>
      <c r="G133" s="108" t="s">
        <v>1881</v>
      </c>
    </row>
    <row r="134" spans="2:7" ht="14.25" thickTop="1" thickBot="1">
      <c r="B134" s="14" t="e">
        <f>VLOOKUP(G134,'GAL-CUB'!$A:$A,2,FALSE)</f>
        <v>#N/A</v>
      </c>
      <c r="C134" s="14" t="e">
        <f>VLOOKUP(G134,'GAL-CUB'!$A:$B,3,FALSE)</f>
        <v>#N/A</v>
      </c>
      <c r="D134" s="14" t="e">
        <f>VLOOKUP(G134,'GAL-CUB'!$A:$G,8,FALSE)</f>
        <v>#N/A</v>
      </c>
      <c r="E134" s="102" t="e">
        <f>IFERROR(VLOOKUP(G134,'GAL-CUB'!$A:$D,4,FALSE),IFERROR(VLOOKUP(G134,ESCOLTAS!$A:$F,6,FALSE),VLOOKUP(G134,SAÍDAS!$A:$B,2,FALSE)))</f>
        <v>#N/A</v>
      </c>
      <c r="F134" s="102">
        <v>3</v>
      </c>
      <c r="G134" s="121" t="s">
        <v>1954</v>
      </c>
    </row>
    <row r="135" spans="2:7" ht="14.25" thickTop="1" thickBot="1">
      <c r="B135" s="14" t="e">
        <f>VLOOKUP(G135,'GAL-CUB'!$A:$A,2,FALSE)</f>
        <v>#N/A</v>
      </c>
      <c r="C135" s="14" t="e">
        <f>VLOOKUP(G135,'GAL-CUB'!$A:$B,3,FALSE)</f>
        <v>#N/A</v>
      </c>
      <c r="D135" s="14" t="e">
        <f>VLOOKUP(G135,'GAL-CUB'!$A:$G,8,FALSE)</f>
        <v>#N/A</v>
      </c>
      <c r="E135" s="102" t="str">
        <f>IFERROR(VLOOKUP(G135,'GAL-CUB'!$A:$D,4,FALSE),IFERROR(VLOOKUP(G135,ESCOLTAS!$A:$F,6,FALSE),VLOOKUP(G135,SAÍDAS!$A:$B,2,FALSE)))</f>
        <v>CRAPG</v>
      </c>
      <c r="F135" s="102">
        <v>4</v>
      </c>
      <c r="G135" s="16" t="s">
        <v>1700</v>
      </c>
    </row>
    <row r="136" spans="2:7" ht="14.25" thickTop="1" thickBot="1">
      <c r="B136" s="14" t="e">
        <f>VLOOKUP(G136,'GAL-CUB'!$A:$A,2,FALSE)</f>
        <v>#N/A</v>
      </c>
      <c r="C136" s="14" t="e">
        <f>VLOOKUP(G136,'GAL-CUB'!$A:$B,3,FALSE)</f>
        <v>#N/A</v>
      </c>
      <c r="D136" s="14" t="e">
        <f>VLOOKUP(G136,'GAL-CUB'!$A:$G,8,FALSE)</f>
        <v>#N/A</v>
      </c>
      <c r="E136" s="102" t="str">
        <f>IFERROR(VLOOKUP(G136,'GAL-CUB'!$A:$D,4,FALSE),IFERROR(VLOOKUP(G136,ESCOLTAS!$A:$F,6,FALSE),VLOOKUP(G136,SAÍDAS!$A:$B,2,FALSE)))</f>
        <v>Bonde CTBA</v>
      </c>
      <c r="F136" s="102">
        <v>5</v>
      </c>
      <c r="G136" s="142" t="s">
        <v>606</v>
      </c>
    </row>
    <row r="137" spans="2:7" ht="14.25" thickTop="1" thickBot="1">
      <c r="B137" s="14" t="e">
        <f>VLOOKUP(G137,'GAL-CUB'!$A:$A,2,FALSE)</f>
        <v>#N/A</v>
      </c>
      <c r="C137" s="14" t="e">
        <f>VLOOKUP(G137,'GAL-CUB'!$A:$B,3,FALSE)</f>
        <v>#N/A</v>
      </c>
      <c r="D137" s="14" t="e">
        <f>VLOOKUP(G137,'GAL-CUB'!$A:$G,8,FALSE)</f>
        <v>#N/A</v>
      </c>
      <c r="E137" s="102" t="e">
        <f>IFERROR(VLOOKUP(G137,'GAL-CUB'!$A:$D,4,FALSE),IFERROR(VLOOKUP(G137,ESCOLTAS!$A:$F,6,FALSE),VLOOKUP(G137,SAÍDAS!$A:$B,2,FALSE)))</f>
        <v>#N/A</v>
      </c>
      <c r="F137" s="102">
        <v>6</v>
      </c>
      <c r="G137" s="15" t="s">
        <v>1668</v>
      </c>
    </row>
    <row r="138" spans="2:7" ht="14.25" thickTop="1" thickBot="1">
      <c r="B138" s="14" t="e">
        <f>VLOOKUP(G138,'GAL-CUB'!$A:$A,2,FALSE)</f>
        <v>#N/A</v>
      </c>
      <c r="C138" s="14" t="e">
        <f>VLOOKUP(G138,'GAL-CUB'!$A:$B,3,FALSE)</f>
        <v>#N/A</v>
      </c>
      <c r="D138" s="14" t="e">
        <f>VLOOKUP(G138,'GAL-CUB'!$A:$G,8,FALSE)</f>
        <v>#N/A</v>
      </c>
      <c r="E138" s="102" t="e">
        <f>IFERROR(VLOOKUP(G138,'GAL-CUB'!$A:$D,4,FALSE),IFERROR(VLOOKUP(G138,ESCOLTAS!$A:$F,6,FALSE),VLOOKUP(G138,SAÍDAS!$A:$B,2,FALSE)))</f>
        <v>#N/A</v>
      </c>
      <c r="F138" s="102">
        <v>7</v>
      </c>
      <c r="G138" s="15" t="s">
        <v>1849</v>
      </c>
    </row>
    <row r="139" spans="2:7" ht="14.25" thickTop="1" thickBot="1">
      <c r="B139" s="14" t="e">
        <f>VLOOKUP(G139,'GAL-CUB'!$A:$A,2,FALSE)</f>
        <v>#N/A</v>
      </c>
      <c r="C139" s="14" t="e">
        <f>VLOOKUP(G139,'GAL-CUB'!$A:$B,3,FALSE)</f>
        <v>#N/A</v>
      </c>
      <c r="D139" s="14" t="e">
        <f>VLOOKUP(G139,'GAL-CUB'!$A:$G,8,FALSE)</f>
        <v>#N/A</v>
      </c>
      <c r="E139" s="102" t="str">
        <f>IFERROR(VLOOKUP(G139,'GAL-CUB'!$A:$D,4,FALSE),IFERROR(VLOOKUP(G139,ESCOLTAS!$A:$F,6,FALSE),VLOOKUP(G139,SAÍDAS!$A:$B,2,FALSE)))</f>
        <v>CRAPG</v>
      </c>
      <c r="F139" s="102">
        <v>8</v>
      </c>
      <c r="G139" s="130" t="s">
        <v>1889</v>
      </c>
    </row>
    <row r="140" spans="2:7" ht="14.25" thickTop="1" thickBot="1">
      <c r="B140" s="14" t="e">
        <f>VLOOKUP(G140,'GAL-CUB'!$A:$A,2,FALSE)</f>
        <v>#N/A</v>
      </c>
      <c r="C140" s="14" t="e">
        <f>VLOOKUP(G140,'GAL-CUB'!$A:$B,3,FALSE)</f>
        <v>#N/A</v>
      </c>
      <c r="D140" s="14" t="e">
        <f>VLOOKUP(G140,'GAL-CUB'!$A:$G,8,FALSE)</f>
        <v>#N/A</v>
      </c>
      <c r="E140" s="102" t="str">
        <f>IFERROR(VLOOKUP(G140,'GAL-CUB'!$A:$D,4,FALSE),IFERROR(VLOOKUP(G140,ESCOLTAS!$A:$F,6,FALSE),VLOOKUP(G140,SAÍDAS!$A:$B,2,FALSE)))</f>
        <v>CRAPG</v>
      </c>
      <c r="F140" s="102">
        <v>9</v>
      </c>
      <c r="G140" s="130" t="s">
        <v>2079</v>
      </c>
    </row>
    <row r="141" spans="2:7" ht="14.25" thickTop="1" thickBot="1">
      <c r="B141" s="14" t="e">
        <f>VLOOKUP(G141,'GAL-CUB'!$A:$A,2,FALSE)</f>
        <v>#N/A</v>
      </c>
      <c r="C141" s="14" t="e">
        <f>VLOOKUP(G141,'GAL-CUB'!$A:$B,3,FALSE)</f>
        <v>#N/A</v>
      </c>
      <c r="D141" s="14" t="e">
        <f>VLOOKUP(G141,'GAL-CUB'!$A:$G,8,FALSE)</f>
        <v>#N/A</v>
      </c>
      <c r="E141" s="102" t="str">
        <f>IFERROR(VLOOKUP(G141,'GAL-CUB'!$A:$D,4,FALSE),IFERROR(VLOOKUP(G141,ESCOLTAS!$A:$F,6,FALSE),VLOOKUP(G141,SAÍDAS!$A:$B,2,FALSE)))</f>
        <v>CRAPG</v>
      </c>
      <c r="F141" s="102">
        <v>10</v>
      </c>
      <c r="G141" s="130" t="s">
        <v>1967</v>
      </c>
    </row>
    <row r="142" spans="2:7" ht="14.25" thickTop="1" thickBot="1">
      <c r="B142" s="14" t="e">
        <f>VLOOKUP(G142,'GAL-CUB'!$A:$A,2,FALSE)</f>
        <v>#N/A</v>
      </c>
      <c r="C142" s="14" t="e">
        <f>VLOOKUP(G142,'GAL-CUB'!$A:$B,3,FALSE)</f>
        <v>#N/A</v>
      </c>
      <c r="D142" s="14" t="e">
        <f>VLOOKUP(G142,'GAL-CUB'!$A:$G,8,FALSE)</f>
        <v>#N/A</v>
      </c>
      <c r="E142" s="102" t="str">
        <f>IFERROR(VLOOKUP(G142,'GAL-CUB'!$A:$D,4,FALSE),IFERROR(VLOOKUP(G142,ESCOLTAS!$A:$F,6,FALSE),VLOOKUP(G142,SAÍDAS!$A:$B,2,FALSE)))</f>
        <v>CRAPG</v>
      </c>
      <c r="F142" s="102">
        <v>11</v>
      </c>
      <c r="G142" s="59" t="s">
        <v>1427</v>
      </c>
    </row>
    <row r="143" spans="2:7" ht="14.25" thickTop="1" thickBot="1">
      <c r="B143" s="14" t="e">
        <f>VLOOKUP(G143,'GAL-CUB'!$A:$A,2,FALSE)</f>
        <v>#N/A</v>
      </c>
      <c r="C143" s="14" t="e">
        <f>VLOOKUP(G143,'GAL-CUB'!$A:$B,3,FALSE)</f>
        <v>#N/A</v>
      </c>
      <c r="D143" s="14" t="e">
        <f>VLOOKUP(G143,'GAL-CUB'!$A:$G,8,FALSE)</f>
        <v>#N/A</v>
      </c>
      <c r="E143" s="14" t="str">
        <f>IFERROR(VLOOKUP(G143,'GAL-CUB'!$A:$D,4,FALSE),IFERROR(VLOOKUP(G143,ESCOLTAS!$A:$F,6,FALSE),VLOOKUP(G143,SAÍDAS!$A:$B,2,FALSE)))</f>
        <v>CRAPG</v>
      </c>
      <c r="F143" s="102">
        <v>12</v>
      </c>
      <c r="G143" s="15" t="s">
        <v>1998</v>
      </c>
    </row>
    <row r="144" spans="2:7" ht="14.25" thickTop="1" thickBot="1"/>
    <row r="145" spans="2:7" ht="14.25" thickTop="1" thickBot="1">
      <c r="B145" s="708" t="s">
        <v>1784</v>
      </c>
      <c r="C145" s="709"/>
      <c r="D145" s="709"/>
      <c r="E145" s="46"/>
      <c r="F145" s="46"/>
      <c r="G145" s="27" t="str">
        <f ca="1">IF(WEEKDAY(B2,2)=2,"HOJE","TERÇA-FEIRA")</f>
        <v>HOJE</v>
      </c>
    </row>
    <row r="146" spans="2:7" ht="14.25" thickTop="1" thickBot="1">
      <c r="B146" s="13" t="s">
        <v>812</v>
      </c>
      <c r="C146" s="13" t="s">
        <v>250</v>
      </c>
      <c r="D146" s="13" t="s">
        <v>435</v>
      </c>
      <c r="E146" s="13" t="s">
        <v>1178</v>
      </c>
      <c r="F146" s="13" t="s">
        <v>1802</v>
      </c>
      <c r="G146" s="13" t="s">
        <v>370</v>
      </c>
    </row>
    <row r="147" spans="2:7" ht="14.25" thickTop="1" thickBot="1">
      <c r="B147" s="14" t="e">
        <f>VLOOKUP(G147,'GAL-CUB'!$A:$A,2,FALSE)</f>
        <v>#N/A</v>
      </c>
      <c r="C147" s="14" t="e">
        <f>VLOOKUP(G147,'GAL-CUB'!$A:$B,3,FALSE)</f>
        <v>#N/A</v>
      </c>
      <c r="D147" s="14" t="e">
        <f>VLOOKUP(G147,'GAL-CUB'!$A:$G,8,FALSE)</f>
        <v>#N/A</v>
      </c>
      <c r="E147" s="102" t="str">
        <f>IFERROR(VLOOKUP(G147,'GAL-CUB'!$A:$D,4,FALSE),IFERROR(VLOOKUP(G147,ESCOLTAS!$A:$F,6,FALSE),VLOOKUP(G147,SAÍDAS!$A:$B,2,FALSE)))</f>
        <v>CRAPG</v>
      </c>
      <c r="F147" s="102">
        <v>1</v>
      </c>
      <c r="G147" s="15" t="s">
        <v>569</v>
      </c>
    </row>
    <row r="148" spans="2:7" ht="14.25" thickTop="1" thickBot="1">
      <c r="B148" s="14" t="e">
        <f>VLOOKUP(G148,'GAL-CUB'!$A:$A,2,FALSE)</f>
        <v>#N/A</v>
      </c>
      <c r="C148" s="14" t="e">
        <f>VLOOKUP(G148,'GAL-CUB'!$A:$B,3,FALSE)</f>
        <v>#N/A</v>
      </c>
      <c r="D148" s="14" t="e">
        <f>VLOOKUP(G148,'GAL-CUB'!$A:$G,8,FALSE)</f>
        <v>#N/A</v>
      </c>
      <c r="E148" s="102" t="e">
        <f>IFERROR(VLOOKUP(G148,'GAL-CUB'!$A:$D,4,FALSE),IFERROR(VLOOKUP(G148,ESCOLTAS!$A:$F,6,FALSE),VLOOKUP(G148,SAÍDAS!$A:$B,2,FALSE)))</f>
        <v>#N/A</v>
      </c>
      <c r="F148" s="102">
        <v>2</v>
      </c>
      <c r="G148" s="15" t="s">
        <v>1470</v>
      </c>
    </row>
    <row r="149" spans="2:7" ht="14.25" thickTop="1" thickBot="1">
      <c r="B149" s="14" t="e">
        <f>VLOOKUP(G149,'GAL-CUB'!$A:$A,2,FALSE)</f>
        <v>#N/A</v>
      </c>
      <c r="C149" s="14" t="e">
        <f>VLOOKUP(G149,'GAL-CUB'!$A:$B,3,FALSE)</f>
        <v>#N/A</v>
      </c>
      <c r="D149" s="14" t="e">
        <f>VLOOKUP(G149,'GAL-CUB'!$A:$G,8,FALSE)</f>
        <v>#N/A</v>
      </c>
      <c r="E149" s="102" t="e">
        <f>IFERROR(VLOOKUP(G149,'GAL-CUB'!$A:$D,4,FALSE),IFERROR(VLOOKUP(G149,ESCOLTAS!$A:$F,6,FALSE),VLOOKUP(G149,SAÍDAS!$A:$B,2,FALSE)))</f>
        <v>#N/A</v>
      </c>
      <c r="F149" s="102">
        <v>3</v>
      </c>
      <c r="G149" s="16" t="s">
        <v>2004</v>
      </c>
    </row>
    <row r="150" spans="2:7" ht="14.25" thickTop="1" thickBot="1">
      <c r="B150" s="14" t="e">
        <f>VLOOKUP(G150,'GAL-CUB'!$A:$A,2,FALSE)</f>
        <v>#N/A</v>
      </c>
      <c r="C150" s="14" t="e">
        <f>VLOOKUP(G150,'GAL-CUB'!$A:$B,3,FALSE)</f>
        <v>#N/A</v>
      </c>
      <c r="D150" s="14" t="e">
        <f>VLOOKUP(G150,'GAL-CUB'!$A:$G,8,FALSE)</f>
        <v>#N/A</v>
      </c>
      <c r="E150" s="102" t="str">
        <f>IFERROR(VLOOKUP(G150,'GAL-CUB'!$A:$D,4,FALSE),IFERROR(VLOOKUP(G150,ESCOLTAS!$A:$F,6,FALSE),VLOOKUP(G150,SAÍDAS!$A:$B,2,FALSE)))</f>
        <v>CRAPG</v>
      </c>
      <c r="F150" s="102">
        <v>4</v>
      </c>
      <c r="G150" s="16" t="s">
        <v>1722</v>
      </c>
    </row>
    <row r="151" spans="2:7" ht="14.25" thickTop="1" thickBot="1">
      <c r="B151" s="14" t="e">
        <f>VLOOKUP(G151,'GAL-CUB'!$A:$A,2,FALSE)</f>
        <v>#N/A</v>
      </c>
      <c r="C151" s="14" t="e">
        <f>VLOOKUP(G151,'GAL-CUB'!$A:$B,3,FALSE)</f>
        <v>#N/A</v>
      </c>
      <c r="D151" s="14" t="e">
        <f>VLOOKUP(G151,'GAL-CUB'!$A:$G,8,FALSE)</f>
        <v>#N/A</v>
      </c>
      <c r="E151" s="102" t="str">
        <f>IFERROR(VLOOKUP(G151,'GAL-CUB'!$A:$D,4,FALSE),IFERROR(VLOOKUP(G151,ESCOLTAS!$A:$F,6,FALSE),VLOOKUP(G151,SAÍDAS!$A:$B,2,FALSE)))</f>
        <v>CRAPG</v>
      </c>
      <c r="F151" s="102">
        <v>5</v>
      </c>
      <c r="G151" s="16" t="s">
        <v>1224</v>
      </c>
    </row>
    <row r="152" spans="2:7" ht="14.25" thickTop="1" thickBot="1">
      <c r="B152" s="14" t="e">
        <f>VLOOKUP(G152,'GAL-CUB'!$A:$A,2,FALSE)</f>
        <v>#N/A</v>
      </c>
      <c r="C152" s="14" t="e">
        <f>VLOOKUP(G152,'GAL-CUB'!$A:$B,3,FALSE)</f>
        <v>#N/A</v>
      </c>
      <c r="D152" s="14" t="e">
        <f>VLOOKUP(G152,'GAL-CUB'!$A:$G,8,FALSE)</f>
        <v>#N/A</v>
      </c>
      <c r="E152" s="102" t="str">
        <f>IFERROR(VLOOKUP(G152,'GAL-CUB'!$A:$D,4,FALSE),IFERROR(VLOOKUP(G152,ESCOLTAS!$A:$F,6,FALSE),VLOOKUP(G152,SAÍDAS!$A:$B,2,FALSE)))</f>
        <v>CRAPG</v>
      </c>
      <c r="F152" s="102">
        <v>6</v>
      </c>
      <c r="G152" s="15" t="s">
        <v>811</v>
      </c>
    </row>
    <row r="153" spans="2:7" ht="14.25" thickTop="1" thickBot="1">
      <c r="B153" s="14" t="e">
        <f>VLOOKUP(G153,'GAL-CUB'!$A:$A,2,FALSE)</f>
        <v>#N/A</v>
      </c>
      <c r="C153" s="14" t="e">
        <f>VLOOKUP(G153,'GAL-CUB'!$A:$B,3,FALSE)</f>
        <v>#N/A</v>
      </c>
      <c r="D153" s="14" t="e">
        <f>VLOOKUP(G153,'GAL-CUB'!$A:$G,8,FALSE)</f>
        <v>#N/A</v>
      </c>
      <c r="E153" s="102" t="str">
        <f>IFERROR(VLOOKUP(G153,'GAL-CUB'!$A:$D,4,FALSE),IFERROR(VLOOKUP(G153,ESCOLTAS!$A:$F,6,FALSE),VLOOKUP(G153,SAÍDAS!$A:$B,2,FALSE)))</f>
        <v>CRAPG</v>
      </c>
      <c r="F153" s="102">
        <v>7</v>
      </c>
      <c r="G153" s="16" t="s">
        <v>1124</v>
      </c>
    </row>
    <row r="154" spans="2:7" ht="14.25" thickTop="1" thickBot="1">
      <c r="B154" s="14" t="e">
        <f>VLOOKUP(G154,'GAL-CUB'!$A:$A,2,FALSE)</f>
        <v>#N/A</v>
      </c>
      <c r="C154" s="14" t="e">
        <f>VLOOKUP(G154,'GAL-CUB'!$A:$B,3,FALSE)</f>
        <v>#N/A</v>
      </c>
      <c r="D154" s="14" t="e">
        <f>VLOOKUP(G154,'GAL-CUB'!$A:$G,8,FALSE)</f>
        <v>#N/A</v>
      </c>
      <c r="E154" s="14" t="e">
        <f>IFERROR(VLOOKUP(G154,'GAL-CUB'!$A:$D,4,FALSE),IFERROR(VLOOKUP(G154,ESCOLTAS!$A:$F,6,FALSE),VLOOKUP(G154,SAÍDAS!$A:$B,2,FALSE)))</f>
        <v>#N/A</v>
      </c>
      <c r="F154" s="102">
        <v>8</v>
      </c>
      <c r="G154" s="15" t="s">
        <v>1738</v>
      </c>
    </row>
    <row r="155" spans="2:7" ht="14.25" thickTop="1" thickBot="1">
      <c r="B155" s="14" t="e">
        <f>VLOOKUP(G155,'GAL-CUB'!$A:$A,2,FALSE)</f>
        <v>#N/A</v>
      </c>
      <c r="C155" s="14" t="e">
        <f>VLOOKUP(G155,'GAL-CUB'!$A:$B,3,FALSE)</f>
        <v>#N/A</v>
      </c>
      <c r="D155" s="14" t="e">
        <f>VLOOKUP(G155,'GAL-CUB'!$A:$G,8,FALSE)</f>
        <v>#N/A</v>
      </c>
      <c r="E155" s="102" t="e">
        <f>IFERROR(VLOOKUP(G155,'GAL-CUB'!$A:$D,4,FALSE),IFERROR(VLOOKUP(G155,ESCOLTAS!$A:$F,6,FALSE),VLOOKUP(G155,SAÍDAS!$A:$B,2,FALSE)))</f>
        <v>#N/A</v>
      </c>
      <c r="F155" s="102">
        <v>9</v>
      </c>
      <c r="G155" s="16" t="s">
        <v>1769</v>
      </c>
    </row>
    <row r="156" spans="2:7" ht="14.25" thickTop="1" thickBot="1">
      <c r="B156" s="14" t="e">
        <f>VLOOKUP(G156,'GAL-CUB'!$A:$A,2,FALSE)</f>
        <v>#N/A</v>
      </c>
      <c r="C156" s="14" t="e">
        <f>VLOOKUP(G156,'GAL-CUB'!$A:$B,3,FALSE)</f>
        <v>#N/A</v>
      </c>
      <c r="D156" s="14" t="e">
        <f>VLOOKUP(G156,'GAL-CUB'!$A:$G,8,FALSE)</f>
        <v>#N/A</v>
      </c>
      <c r="E156" s="102" t="e">
        <f>IFERROR(VLOOKUP(G156,'GAL-CUB'!$A:$D,4,FALSE),IFERROR(VLOOKUP(G156,ESCOLTAS!$A:$F,6,FALSE),VLOOKUP(G156,SAÍDAS!$A:$B,2,FALSE)))</f>
        <v>#N/A</v>
      </c>
      <c r="F156" s="102">
        <v>10</v>
      </c>
      <c r="G156" s="104" t="s">
        <v>2024</v>
      </c>
    </row>
    <row r="157" spans="2:7" ht="14.25" thickTop="1" thickBot="1">
      <c r="B157" s="14" t="e">
        <f>VLOOKUP(G157,'GAL-CUB'!$A:$A,2,FALSE)</f>
        <v>#N/A</v>
      </c>
      <c r="C157" s="14" t="e">
        <f>VLOOKUP(G157,'GAL-CUB'!$A:$B,3,FALSE)</f>
        <v>#N/A</v>
      </c>
      <c r="D157" s="14" t="e">
        <f>VLOOKUP(G157,'GAL-CUB'!$A:$G,8,FALSE)</f>
        <v>#N/A</v>
      </c>
      <c r="E157" s="102" t="e">
        <f>IFERROR(VLOOKUP(G157,'GAL-CUB'!$A:$D,4,FALSE),IFERROR(VLOOKUP(G157,ESCOLTAS!$A:$F,6,FALSE),VLOOKUP(G157,SAÍDAS!$A:$B,2,FALSE)))</f>
        <v>#N/A</v>
      </c>
      <c r="F157" s="102">
        <v>11</v>
      </c>
      <c r="G157" s="16" t="s">
        <v>2000</v>
      </c>
    </row>
    <row r="158" spans="2:7" ht="14.25" thickTop="1" thickBot="1">
      <c r="B158" s="14" t="e">
        <f>VLOOKUP(G158,'GAL-CUB'!$A:$A,2,FALSE)</f>
        <v>#N/A</v>
      </c>
      <c r="C158" s="14" t="e">
        <f>VLOOKUP(G158,'GAL-CUB'!$A:$B,3,FALSE)</f>
        <v>#N/A</v>
      </c>
      <c r="D158" s="14" t="e">
        <f>VLOOKUP(G158,'GAL-CUB'!$A:$G,8,FALSE)</f>
        <v>#N/A</v>
      </c>
      <c r="E158" s="102" t="str">
        <f>IFERROR(VLOOKUP(G158,'GAL-CUB'!$A:$D,4,FALSE),IFERROR(VLOOKUP(G158,ESCOLTAS!$A:$F,6,FALSE),VLOOKUP(G158,SAÍDAS!$A:$B,2,FALSE)))</f>
        <v>UP</v>
      </c>
      <c r="F158" s="102">
        <v>12</v>
      </c>
      <c r="G158" s="105" t="s">
        <v>1670</v>
      </c>
    </row>
    <row r="159" spans="2:7" ht="14.25" thickTop="1" thickBot="1"/>
    <row r="160" spans="2:7" ht="14.25" thickTop="1" thickBot="1">
      <c r="B160" s="708" t="s">
        <v>1787</v>
      </c>
      <c r="C160" s="709"/>
      <c r="D160" s="709"/>
      <c r="E160" s="46" t="s">
        <v>2193</v>
      </c>
      <c r="F160" s="46"/>
      <c r="G160" s="27" t="str">
        <f ca="1">IF(WEEKDAY(B2,2)=2,"HOJE","TERÇA-FEIRA")</f>
        <v>HOJE</v>
      </c>
    </row>
    <row r="161" spans="2:7" ht="14.25" thickTop="1" thickBot="1">
      <c r="B161" s="13" t="s">
        <v>812</v>
      </c>
      <c r="C161" s="13" t="s">
        <v>250</v>
      </c>
      <c r="D161" s="13" t="s">
        <v>435</v>
      </c>
      <c r="E161" s="13" t="s">
        <v>1178</v>
      </c>
      <c r="F161" s="13" t="s">
        <v>1802</v>
      </c>
      <c r="G161" s="13" t="s">
        <v>370</v>
      </c>
    </row>
    <row r="162" spans="2:7" ht="14.25" thickTop="1" thickBot="1">
      <c r="B162" s="14" t="e">
        <f>VLOOKUP(G162,'GAL-CUB'!$A:$A,2,FALSE)</f>
        <v>#N/A</v>
      </c>
      <c r="C162" s="14" t="e">
        <f>VLOOKUP(G162,'GAL-CUB'!$A:$B,3,FALSE)</f>
        <v>#N/A</v>
      </c>
      <c r="D162" s="14" t="e">
        <f>VLOOKUP(G162,'GAL-CUB'!$A:$G,8,FALSE)</f>
        <v>#N/A</v>
      </c>
      <c r="E162" s="102" t="e">
        <f>IFERROR(VLOOKUP(G162,'GAL-CUB'!$A:$D,4,FALSE),IFERROR(VLOOKUP(G162,ESCOLTAS!$A:$F,6,FALSE),VLOOKUP(G162,SAÍDAS!$A:$B,2,FALSE)))</f>
        <v>#N/A</v>
      </c>
      <c r="F162" s="102">
        <v>1</v>
      </c>
      <c r="G162" s="137" t="s">
        <v>2081</v>
      </c>
    </row>
    <row r="163" spans="2:7" ht="14.25" thickTop="1" thickBot="1">
      <c r="B163" s="14" t="e">
        <f>VLOOKUP(G163,'GAL-CUB'!$A:$A,2,FALSE)</f>
        <v>#N/A</v>
      </c>
      <c r="C163" s="14" t="e">
        <f>VLOOKUP(G163,'GAL-CUB'!$A:$B,3,FALSE)</f>
        <v>#N/A</v>
      </c>
      <c r="D163" s="14" t="e">
        <f>VLOOKUP(G163,'GAL-CUB'!$A:$G,8,FALSE)</f>
        <v>#N/A</v>
      </c>
      <c r="E163" s="102" t="str">
        <f>IFERROR(VLOOKUP(G163,'GAL-CUB'!$A:$D,4,FALSE),IFERROR(VLOOKUP(G163,ESCOLTAS!$A:$F,6,FALSE),VLOOKUP(G163,SAÍDAS!$A:$B,2,FALSE)))</f>
        <v>CRAPG</v>
      </c>
      <c r="F163" s="102">
        <v>2</v>
      </c>
      <c r="G163" s="141" t="s">
        <v>1944</v>
      </c>
    </row>
    <row r="164" spans="2:7" ht="14.25" thickTop="1" thickBot="1">
      <c r="B164" s="14" t="e">
        <f>VLOOKUP(G164,'GAL-CUB'!$A:$A,2,FALSE)</f>
        <v>#N/A</v>
      </c>
      <c r="C164" s="14" t="e">
        <f>VLOOKUP(G164,'GAL-CUB'!$A:$B,3,FALSE)</f>
        <v>#N/A</v>
      </c>
      <c r="D164" s="14" t="e">
        <f>VLOOKUP(G164,'GAL-CUB'!$A:$G,8,FALSE)</f>
        <v>#N/A</v>
      </c>
      <c r="E164" s="102" t="str">
        <f>IFERROR(VLOOKUP(G164,'GAL-CUB'!$A:$D,4,FALSE),IFERROR(VLOOKUP(G164,ESCOLTAS!$A:$F,6,FALSE),VLOOKUP(G164,SAÍDAS!$A:$B,2,FALSE)))</f>
        <v>CRAPG</v>
      </c>
      <c r="F164" s="102">
        <v>3</v>
      </c>
      <c r="G164" s="15"/>
    </row>
    <row r="165" spans="2:7" ht="14.25" thickTop="1" thickBot="1">
      <c r="B165" s="14" t="e">
        <f>VLOOKUP(G165,'GAL-CUB'!$A:$A,2,FALSE)</f>
        <v>#N/A</v>
      </c>
      <c r="C165" s="14" t="e">
        <f>VLOOKUP(G165,'GAL-CUB'!$A:$B,3,FALSE)</f>
        <v>#N/A</v>
      </c>
      <c r="D165" s="14" t="e">
        <f>VLOOKUP(G165,'GAL-CUB'!$A:$G,8,FALSE)</f>
        <v>#N/A</v>
      </c>
      <c r="E165" s="102" t="e">
        <f>IFERROR(VLOOKUP(G165,'GAL-CUB'!$A:$D,4,FALSE),IFERROR(VLOOKUP(G165,ESCOLTAS!$A:$F,6,FALSE),VLOOKUP(G165,SAÍDAS!$A:$B,2,FALSE)))</f>
        <v>#N/A</v>
      </c>
      <c r="F165" s="102">
        <v>4</v>
      </c>
      <c r="G165" s="59" t="s">
        <v>1695</v>
      </c>
    </row>
    <row r="166" spans="2:7" ht="14.25" thickTop="1" thickBot="1">
      <c r="B166" s="14" t="e">
        <f>VLOOKUP(G166,'GAL-CUB'!$A:$A,2,FALSE)</f>
        <v>#N/A</v>
      </c>
      <c r="C166" s="14" t="e">
        <f>VLOOKUP(G166,'GAL-CUB'!$A:$B,3,FALSE)</f>
        <v>#N/A</v>
      </c>
      <c r="D166" s="14" t="e">
        <f>VLOOKUP(G166,'GAL-CUB'!$A:$G,8,FALSE)</f>
        <v>#N/A</v>
      </c>
      <c r="E166" s="102" t="str">
        <f>IFERROR(VLOOKUP(G166,'GAL-CUB'!$A:$D,4,FALSE),IFERROR(VLOOKUP(G166,ESCOLTAS!$A:$F,6,FALSE),VLOOKUP(G166,SAÍDAS!$A:$B,2,FALSE)))</f>
        <v>CRAPG</v>
      </c>
      <c r="F166" s="102">
        <v>5</v>
      </c>
      <c r="G166" s="105"/>
    </row>
    <row r="167" spans="2:7" ht="14.25" thickTop="1" thickBot="1">
      <c r="B167" s="14" t="e">
        <f>VLOOKUP(G167,'GAL-CUB'!$A:$A,2,FALSE)</f>
        <v>#N/A</v>
      </c>
      <c r="C167" s="14" t="e">
        <f>VLOOKUP(G167,'GAL-CUB'!$A:$B,3,FALSE)</f>
        <v>#N/A</v>
      </c>
      <c r="D167" s="14" t="e">
        <f>VLOOKUP(G167,'GAL-CUB'!$A:$G,8,FALSE)</f>
        <v>#N/A</v>
      </c>
      <c r="E167" s="102" t="e">
        <f>IFERROR(VLOOKUP(G167,'GAL-CUB'!$A:$D,4,FALSE),IFERROR(VLOOKUP(G167,ESCOLTAS!$A:$F,6,FALSE),VLOOKUP(G167,SAÍDAS!$A:$B,2,FALSE)))</f>
        <v>#N/A</v>
      </c>
      <c r="F167" s="102">
        <v>6</v>
      </c>
      <c r="G167" s="108" t="s">
        <v>2025</v>
      </c>
    </row>
    <row r="168" spans="2:7" ht="14.25" thickTop="1" thickBot="1">
      <c r="B168" s="14" t="e">
        <f>VLOOKUP(G168,'GAL-CUB'!$A:$A,2,FALSE)</f>
        <v>#N/A</v>
      </c>
      <c r="C168" s="14" t="e">
        <f>VLOOKUP(G168,'GAL-CUB'!$A:$B,3,FALSE)</f>
        <v>#N/A</v>
      </c>
      <c r="D168" s="14" t="e">
        <f>VLOOKUP(G168,'GAL-CUB'!$A:$G,8,FALSE)</f>
        <v>#N/A</v>
      </c>
      <c r="E168" s="102" t="str">
        <f>IFERROR(VLOOKUP(G168,'GAL-CUB'!$A:$D,4,FALSE),IFERROR(VLOOKUP(G168,ESCOLTAS!$A:$F,6,FALSE),VLOOKUP(G168,SAÍDAS!$A:$B,2,FALSE)))</f>
        <v>LC</v>
      </c>
      <c r="F168" s="102">
        <v>7</v>
      </c>
      <c r="G168" s="130" t="s">
        <v>1996</v>
      </c>
    </row>
    <row r="169" spans="2:7" ht="14.25" thickTop="1" thickBot="1">
      <c r="B169" s="14" t="e">
        <f>VLOOKUP(G169,'GAL-CUB'!$A:$A,2,FALSE)</f>
        <v>#N/A</v>
      </c>
      <c r="C169" s="14" t="e">
        <f>VLOOKUP(G169,'GAL-CUB'!$A:$B,3,FALSE)</f>
        <v>#N/A</v>
      </c>
      <c r="D169" s="14" t="e">
        <f>VLOOKUP(G169,'GAL-CUB'!$A:$G,8,FALSE)</f>
        <v>#N/A</v>
      </c>
      <c r="E169" s="14" t="str">
        <f>IFERROR(VLOOKUP(G169,'GAL-CUB'!$A:$D,4,FALSE),IFERROR(VLOOKUP(G169,ESCOLTAS!$A:$F,6,FALSE),VLOOKUP(G169,SAÍDAS!$A:$B,2,FALSE)))</f>
        <v>CRAPG</v>
      </c>
      <c r="F169" s="102">
        <v>8</v>
      </c>
      <c r="G169" s="15"/>
    </row>
    <row r="170" spans="2:7" ht="14.25" thickTop="1" thickBot="1">
      <c r="B170" s="14" t="e">
        <f>VLOOKUP(G170,'GAL-CUB'!$A:$A,2,FALSE)</f>
        <v>#N/A</v>
      </c>
      <c r="C170" s="14" t="e">
        <f>VLOOKUP(G170,'GAL-CUB'!$A:$B,3,FALSE)</f>
        <v>#N/A</v>
      </c>
      <c r="D170" s="14" t="e">
        <f>VLOOKUP(G170,'GAL-CUB'!$A:$G,8,FALSE)</f>
        <v>#N/A</v>
      </c>
      <c r="E170" s="102" t="str">
        <f>IFERROR(VLOOKUP(G170,'GAL-CUB'!$A:$D,4,FALSE),IFERROR(VLOOKUP(G170,ESCOLTAS!$A:$F,6,FALSE),VLOOKUP(G170,SAÍDAS!$A:$B,2,FALSE)))</f>
        <v>CRAPG</v>
      </c>
      <c r="F170" s="102">
        <v>9</v>
      </c>
      <c r="G170" s="16"/>
    </row>
    <row r="171" spans="2:7" ht="14.25" thickTop="1" thickBot="1">
      <c r="B171" s="14" t="e">
        <f>VLOOKUP(G171,'GAL-CUB'!$A:$A,2,FALSE)</f>
        <v>#N/A</v>
      </c>
      <c r="C171" s="14" t="e">
        <f>VLOOKUP(G171,'GAL-CUB'!$A:$B,3,FALSE)</f>
        <v>#N/A</v>
      </c>
      <c r="D171" s="14" t="e">
        <f>VLOOKUP(G171,'GAL-CUB'!$A:$G,8,FALSE)</f>
        <v>#N/A</v>
      </c>
      <c r="E171" s="102" t="str">
        <f>IFERROR(VLOOKUP(G171,'GAL-CUB'!$A:$D,4,FALSE),IFERROR(VLOOKUP(G171,ESCOLTAS!$A:$F,6,FALSE),VLOOKUP(G171,SAÍDAS!$A:$B,2,FALSE)))</f>
        <v>TORNOZELEIRA</v>
      </c>
      <c r="F171" s="102">
        <v>10</v>
      </c>
      <c r="G171" s="16" t="s">
        <v>2005</v>
      </c>
    </row>
    <row r="172" spans="2:7" ht="14.25" thickTop="1" thickBot="1">
      <c r="B172" s="14" t="e">
        <f>VLOOKUP(G172,'GAL-CUB'!$A:$A,2,FALSE)</f>
        <v>#N/A</v>
      </c>
      <c r="C172" s="14" t="e">
        <f>VLOOKUP(G172,'GAL-CUB'!$A:$B,3,FALSE)</f>
        <v>#N/A</v>
      </c>
      <c r="D172" s="14" t="e">
        <f>VLOOKUP(G172,'GAL-CUB'!$A:$G,8,FALSE)</f>
        <v>#N/A</v>
      </c>
      <c r="E172" s="102" t="str">
        <f>IFERROR(VLOOKUP(G172,'GAL-CUB'!$A:$D,4,FALSE),IFERROR(VLOOKUP(G172,ESCOLTAS!$A:$F,6,FALSE),VLOOKUP(G172,SAÍDAS!$A:$B,2,FALSE)))</f>
        <v>CRAPG</v>
      </c>
      <c r="F172" s="102">
        <v>11</v>
      </c>
      <c r="G172" s="108" t="s">
        <v>1711</v>
      </c>
    </row>
    <row r="173" spans="2:7" ht="14.25" thickTop="1" thickBot="1">
      <c r="B173" s="14" t="e">
        <f>VLOOKUP(G173,'GAL-CUB'!$A:$A,2,FALSE)</f>
        <v>#N/A</v>
      </c>
      <c r="C173" s="14" t="e">
        <f>VLOOKUP(G173,'GAL-CUB'!$A:$B,3,FALSE)</f>
        <v>#N/A</v>
      </c>
      <c r="D173" s="14" t="e">
        <f>VLOOKUP(G173,'GAL-CUB'!$A:$G,8,FALSE)</f>
        <v>#N/A</v>
      </c>
      <c r="E173" s="102" t="str">
        <f>IFERROR(VLOOKUP(G173,'GAL-CUB'!$A:$D,4,FALSE),IFERROR(VLOOKUP(G173,ESCOLTAS!$A:$F,6,FALSE),VLOOKUP(G173,SAÍDAS!$A:$B,2,FALSE)))</f>
        <v>Bonde CTBA</v>
      </c>
      <c r="F173" s="102">
        <v>12</v>
      </c>
      <c r="G173" s="87" t="s">
        <v>1908</v>
      </c>
    </row>
    <row r="174" spans="2:7" ht="13.5" thickTop="1"/>
  </sheetData>
  <mergeCells count="14">
    <mergeCell ref="B160:D160"/>
    <mergeCell ref="B2:G2"/>
    <mergeCell ref="B4:G5"/>
    <mergeCell ref="B7:D7"/>
    <mergeCell ref="B130:D130"/>
    <mergeCell ref="B67:D67"/>
    <mergeCell ref="B82:D82"/>
    <mergeCell ref="B145:D145"/>
    <mergeCell ref="B22:D22"/>
    <mergeCell ref="B37:D37"/>
    <mergeCell ref="B52:D52"/>
    <mergeCell ref="B97:G98"/>
    <mergeCell ref="B100:D100"/>
    <mergeCell ref="B115:D115"/>
  </mergeCells>
  <phoneticPr fontId="23" type="noConversion"/>
  <conditionalFormatting sqref="G96:G116 G82:G83 G129:G131 G144:G146 I153:I65536 G159:G161 G174:G65536 G1:G8 H40:O45 I42:I151 I1:I40 G21:G23 G40 G36:G38 H1:H1048576 J1:IV1048576 G67:G68 G51:G53 A1:F1048576">
    <cfRule type="cellIs" dxfId="169" priority="212" stopIfTrue="1" operator="equal">
      <formula>"KADESH"</formula>
    </cfRule>
    <cfRule type="cellIs" dxfId="168" priority="213" stopIfTrue="1" operator="equal">
      <formula>"ALVARÁ"</formula>
    </cfRule>
    <cfRule type="cellIs" dxfId="167" priority="214" stopIfTrue="1" operator="equal">
      <formula>"CRAPG"</formula>
    </cfRule>
    <cfRule type="cellIs" dxfId="166" priority="215" stopIfTrue="1" operator="equal">
      <formula>0</formula>
    </cfRule>
    <cfRule type="cellIs" dxfId="165" priority="216" stopIfTrue="1" operator="equal">
      <formula>"CCP"</formula>
    </cfRule>
    <cfRule type="cellIs" dxfId="164" priority="217" stopIfTrue="1" operator="equal">
      <formula>"CD"</formula>
    </cfRule>
    <cfRule type="cellIs" dxfId="163" priority="218" stopIfTrue="1" operator="equal">
      <formula>"SANÇÃO"</formula>
    </cfRule>
  </conditionalFormatting>
  <conditionalFormatting sqref="D1:D1048576">
    <cfRule type="cellIs" dxfId="162" priority="92" stopIfTrue="1" operator="equal">
      <formula>"DES."</formula>
    </cfRule>
    <cfRule type="cellIs" dxfId="161" priority="131" stopIfTrue="1" operator="equal">
      <formula>"DES."</formula>
    </cfRule>
    <cfRule type="expression" dxfId="160" priority="205" stopIfTrue="1">
      <formula>"ÉERROS()"</formula>
    </cfRule>
  </conditionalFormatting>
  <conditionalFormatting sqref="G40">
    <cfRule type="cellIs" dxfId="159" priority="158" stopIfTrue="1" operator="equal">
      <formula>"KADESH"</formula>
    </cfRule>
  </conditionalFormatting>
  <conditionalFormatting sqref="G40">
    <cfRule type="cellIs" dxfId="158" priority="157" stopIfTrue="1" operator="equal">
      <formula>"HAGIOS"</formula>
    </cfRule>
  </conditionalFormatting>
  <conditionalFormatting sqref="G40">
    <cfRule type="duplicateValues" dxfId="157" priority="156" stopIfTrue="1"/>
  </conditionalFormatting>
  <conditionalFormatting sqref="E1:E1048576">
    <cfRule type="cellIs" dxfId="156" priority="155" stopIfTrue="1" operator="equal">
      <formula>"Tornozeleira"</formula>
    </cfRule>
  </conditionalFormatting>
  <conditionalFormatting sqref="G40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4:G75">
    <cfRule type="duplicateValues" dxfId="155" priority="404" stopIfTrue="1"/>
  </conditionalFormatting>
  <conditionalFormatting sqref="I133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ellIs" dxfId="154" priority="112" stopIfTrue="1" operator="equal">
      <formula>"KADESH"</formula>
    </cfRule>
    <cfRule type="cellIs" dxfId="153" priority="113" stopIfTrue="1" operator="equal">
      <formula>"ALVARÁ"</formula>
    </cfRule>
    <cfRule type="cellIs" dxfId="152" priority="114" stopIfTrue="1" operator="equal">
      <formula>"CRAPG"</formula>
    </cfRule>
    <cfRule type="cellIs" dxfId="151" priority="115" stopIfTrue="1" operator="equal">
      <formula>0</formula>
    </cfRule>
    <cfRule type="cellIs" dxfId="150" priority="116" stopIfTrue="1" operator="equal">
      <formula>"CCP"</formula>
    </cfRule>
    <cfRule type="cellIs" dxfId="149" priority="117" stopIfTrue="1" operator="equal">
      <formula>"CD"</formula>
    </cfRule>
    <cfRule type="cellIs" dxfId="148" priority="118" stopIfTrue="1" operator="equal">
      <formula>"SANÇÃO"</formula>
    </cfRule>
  </conditionalFormatting>
  <conditionalFormatting sqref="G137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52">
    <cfRule type="cellIs" dxfId="147" priority="94" stopIfTrue="1" operator="equal">
      <formula>"KADESH"</formula>
    </cfRule>
    <cfRule type="cellIs" dxfId="146" priority="95" stopIfTrue="1" operator="equal">
      <formula>"ALVARÁ"</formula>
    </cfRule>
    <cfRule type="cellIs" dxfId="145" priority="96" stopIfTrue="1" operator="equal">
      <formula>"CRAPG"</formula>
    </cfRule>
    <cfRule type="cellIs" dxfId="144" priority="97" stopIfTrue="1" operator="equal">
      <formula>0</formula>
    </cfRule>
    <cfRule type="cellIs" dxfId="143" priority="98" stopIfTrue="1" operator="equal">
      <formula>"CCP"</formula>
    </cfRule>
    <cfRule type="cellIs" dxfId="142" priority="99" stopIfTrue="1" operator="equal">
      <formula>"CD"</formula>
    </cfRule>
    <cfRule type="cellIs" dxfId="141" priority="100" stopIfTrue="1" operator="equal">
      <formula>"SANÇÃO"</formula>
    </cfRule>
  </conditionalFormatting>
  <conditionalFormatting sqref="G63">
    <cfRule type="duplicateValues" dxfId="140" priority="91" stopIfTrue="1"/>
  </conditionalFormatting>
  <conditionalFormatting sqref="G138">
    <cfRule type="cellIs" dxfId="139" priority="83" stopIfTrue="1" operator="equal">
      <formula>"KADESH"</formula>
    </cfRule>
    <cfRule type="cellIs" dxfId="138" priority="84" stopIfTrue="1" operator="equal">
      <formula>"ALVARÁ"</formula>
    </cfRule>
    <cfRule type="cellIs" dxfId="137" priority="85" stopIfTrue="1" operator="equal">
      <formula>"CRAPG"</formula>
    </cfRule>
    <cfRule type="cellIs" dxfId="136" priority="86" stopIfTrue="1" operator="equal">
      <formula>0</formula>
    </cfRule>
    <cfRule type="cellIs" dxfId="135" priority="87" stopIfTrue="1" operator="equal">
      <formula>"CCP"</formula>
    </cfRule>
    <cfRule type="cellIs" dxfId="134" priority="88" stopIfTrue="1" operator="equal">
      <formula>"CD"</formula>
    </cfRule>
    <cfRule type="cellIs" dxfId="133" priority="89" stopIfTrue="1" operator="equal">
      <formula>"SANÇÃO"</formula>
    </cfRule>
  </conditionalFormatting>
  <conditionalFormatting sqref="G138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ellIs" dxfId="132" priority="35" stopIfTrue="1" operator="equal">
      <formula>"KADESH"</formula>
    </cfRule>
    <cfRule type="cellIs" dxfId="131" priority="36" stopIfTrue="1" operator="equal">
      <formula>"ALVARÁ"</formula>
    </cfRule>
    <cfRule type="cellIs" dxfId="130" priority="37" stopIfTrue="1" operator="equal">
      <formula>"CRAPG"</formula>
    </cfRule>
    <cfRule type="cellIs" dxfId="129" priority="38" stopIfTrue="1" operator="equal">
      <formula>0</formula>
    </cfRule>
    <cfRule type="cellIs" dxfId="128" priority="39" stopIfTrue="1" operator="equal">
      <formula>"CCP"</formula>
    </cfRule>
    <cfRule type="cellIs" dxfId="127" priority="40" stopIfTrue="1" operator="equal">
      <formula>"CD"</formula>
    </cfRule>
    <cfRule type="cellIs" dxfId="126" priority="41" stopIfTrue="1" operator="equal">
      <formula>"SANÇÃO"</formula>
    </cfRule>
  </conditionalFormatting>
  <conditionalFormatting sqref="G133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ellIs" dxfId="125" priority="27" stopIfTrue="1" operator="equal">
      <formula>"KADESH"</formula>
    </cfRule>
    <cfRule type="cellIs" dxfId="124" priority="28" stopIfTrue="1" operator="equal">
      <formula>"ALVARÁ"</formula>
    </cfRule>
    <cfRule type="cellIs" dxfId="123" priority="29" stopIfTrue="1" operator="equal">
      <formula>"CRAPG"</formula>
    </cfRule>
    <cfRule type="cellIs" dxfId="122" priority="30" stopIfTrue="1" operator="equal">
      <formula>0</formula>
    </cfRule>
    <cfRule type="cellIs" dxfId="121" priority="31" stopIfTrue="1" operator="equal">
      <formula>"CCP"</formula>
    </cfRule>
    <cfRule type="cellIs" dxfId="120" priority="32" stopIfTrue="1" operator="equal">
      <formula>"CD"</formula>
    </cfRule>
    <cfRule type="cellIs" dxfId="119" priority="33" stopIfTrue="1" operator="equal">
      <formula>"SANÇÃO"</formula>
    </cfRule>
  </conditionalFormatting>
  <conditionalFormatting sqref="G13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ellIs" dxfId="118" priority="19" stopIfTrue="1" operator="equal">
      <formula>"KADESH"</formula>
    </cfRule>
    <cfRule type="cellIs" dxfId="117" priority="20" stopIfTrue="1" operator="equal">
      <formula>"ALVARÁ"</formula>
    </cfRule>
    <cfRule type="cellIs" dxfId="116" priority="21" stopIfTrue="1" operator="equal">
      <formula>"CRAPG"</formula>
    </cfRule>
    <cfRule type="cellIs" dxfId="115" priority="22" stopIfTrue="1" operator="equal">
      <formula>0</formula>
    </cfRule>
    <cfRule type="cellIs" dxfId="114" priority="23" stopIfTrue="1" operator="equal">
      <formula>"CCP"</formula>
    </cfRule>
    <cfRule type="cellIs" dxfId="113" priority="24" stopIfTrue="1" operator="equal">
      <formula>"CD"</formula>
    </cfRule>
    <cfRule type="cellIs" dxfId="112" priority="25" stopIfTrue="1" operator="equal">
      <formula>"SANÇÃO"</formula>
    </cfRule>
  </conditionalFormatting>
  <conditionalFormatting sqref="G137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ellIs" dxfId="111" priority="11" stopIfTrue="1" operator="equal">
      <formula>"KADESH"</formula>
    </cfRule>
    <cfRule type="cellIs" dxfId="110" priority="12" stopIfTrue="1" operator="equal">
      <formula>"ALVARÁ"</formula>
    </cfRule>
    <cfRule type="cellIs" dxfId="109" priority="13" stopIfTrue="1" operator="equal">
      <formula>"CRAPG"</formula>
    </cfRule>
    <cfRule type="cellIs" dxfId="108" priority="14" stopIfTrue="1" operator="equal">
      <formula>0</formula>
    </cfRule>
    <cfRule type="cellIs" dxfId="107" priority="15" stopIfTrue="1" operator="equal">
      <formula>"CCP"</formula>
    </cfRule>
    <cfRule type="cellIs" dxfId="106" priority="16" stopIfTrue="1" operator="equal">
      <formula>"CD"</formula>
    </cfRule>
    <cfRule type="cellIs" dxfId="105" priority="17" stopIfTrue="1" operator="equal">
      <formula>"SANÇÃO"</formula>
    </cfRule>
  </conditionalFormatting>
  <conditionalFormatting sqref="G13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I143"/>
  <sheetViews>
    <sheetView zoomScaleNormal="100" workbookViewId="0">
      <pane xSplit="1" ySplit="3" topLeftCell="B70" activePane="bottomRight" state="frozen"/>
      <selection activeCell="G76" sqref="G76"/>
      <selection pane="topRight" activeCell="G76" sqref="G76"/>
      <selection pane="bottomLeft" activeCell="G76" sqref="G76"/>
      <selection pane="bottomRight" activeCell="G76" sqref="G76"/>
    </sheetView>
  </sheetViews>
  <sheetFormatPr defaultRowHeight="12.75"/>
  <cols>
    <col min="2" max="2" width="16.42578125" bestFit="1" customWidth="1"/>
    <col min="5" max="5" width="13.28515625" bestFit="1" customWidth="1"/>
    <col min="6" max="6" width="2.7109375" bestFit="1" customWidth="1"/>
    <col min="7" max="7" width="47.7109375" bestFit="1" customWidth="1"/>
  </cols>
  <sheetData>
    <row r="1" spans="1:7" ht="13.5" thickBot="1"/>
    <row r="2" spans="1:7" ht="17.25" thickTop="1" thickBot="1">
      <c r="B2" s="711">
        <f ca="1">TODAY()</f>
        <v>44159</v>
      </c>
      <c r="C2" s="712"/>
      <c r="D2" s="712"/>
      <c r="E2" s="712"/>
      <c r="F2" s="712"/>
      <c r="G2" s="713"/>
    </row>
    <row r="3" spans="1:7" ht="13.5" thickTop="1"/>
    <row r="4" spans="1:7">
      <c r="B4" s="710" t="s">
        <v>1782</v>
      </c>
      <c r="C4" s="710"/>
      <c r="D4" s="710"/>
      <c r="E4" s="710"/>
      <c r="F4" s="710"/>
      <c r="G4" s="710"/>
    </row>
    <row r="5" spans="1:7">
      <c r="B5" s="710"/>
      <c r="C5" s="710"/>
      <c r="D5" s="710"/>
      <c r="E5" s="710"/>
      <c r="F5" s="710"/>
      <c r="G5" s="710"/>
    </row>
    <row r="6" spans="1:7" ht="13.5" thickBot="1">
      <c r="A6" s="21"/>
      <c r="B6" s="21"/>
      <c r="C6" s="21"/>
      <c r="D6" s="21"/>
      <c r="E6" s="21"/>
      <c r="F6" s="21"/>
      <c r="G6" s="21"/>
    </row>
    <row r="7" spans="1:7" ht="14.25" thickTop="1" thickBot="1">
      <c r="A7" s="21"/>
      <c r="B7" s="708" t="str">
        <f>SEGUNDA!B22</f>
        <v>LUZIA 1</v>
      </c>
      <c r="C7" s="709"/>
      <c r="D7" s="709"/>
      <c r="E7" s="46"/>
      <c r="F7" s="46"/>
      <c r="G7" s="27" t="str">
        <f ca="1">IF(WEEKDAY(B2,2)=3,"HOJE","QUARTA-FEIRA")</f>
        <v>QUARTA-FEIRA</v>
      </c>
    </row>
    <row r="8" spans="1:7" ht="14.25" thickTop="1" thickBot="1">
      <c r="A8" s="21"/>
      <c r="B8" s="13" t="s">
        <v>812</v>
      </c>
      <c r="C8" s="13" t="s">
        <v>250</v>
      </c>
      <c r="D8" s="13" t="s">
        <v>435</v>
      </c>
      <c r="E8" s="13" t="s">
        <v>1178</v>
      </c>
      <c r="F8" s="13" t="s">
        <v>1802</v>
      </c>
      <c r="G8" s="13" t="s">
        <v>370</v>
      </c>
    </row>
    <row r="9" spans="1:7" ht="14.25" thickTop="1" thickBot="1">
      <c r="A9" s="21"/>
      <c r="B9" s="14" t="e">
        <f>VLOOKUP(G9,'GAL-CUB'!$A:$A,2,FALSE)</f>
        <v>#N/A</v>
      </c>
      <c r="C9" s="14" t="e">
        <f>VLOOKUP(G9,'GAL-CUB'!$A:$B,3,FALSE)</f>
        <v>#N/A</v>
      </c>
      <c r="D9" s="14" t="e">
        <f>VLOOKUP(G9,'GAL-CUB'!$A:$H,9,FALSE)</f>
        <v>#N/A</v>
      </c>
      <c r="E9" s="50" t="e">
        <f>IFERROR(VLOOKUP(G9,'GAL-CUB'!$A:$D,4,FALSE),IFERROR(VLOOKUP(G9,ESCOLTAS!$A:$F,6,FALSE),VLOOKUP(G9,SAÍDAS!$A:$B,2,FALSE)))</f>
        <v>#N/A</v>
      </c>
      <c r="F9" s="102">
        <v>1</v>
      </c>
      <c r="G9" s="58" t="str">
        <f>SEGUNDA!G24</f>
        <v>ADRIANO FERREIRA BATISTA</v>
      </c>
    </row>
    <row r="10" spans="1:7" ht="14.25" thickTop="1" thickBot="1">
      <c r="A10" s="21"/>
      <c r="B10" s="14" t="e">
        <f>VLOOKUP(G10,'GAL-CUB'!$A:$A,2,FALSE)</f>
        <v>#N/A</v>
      </c>
      <c r="C10" s="14" t="e">
        <f>VLOOKUP(G10,'GAL-CUB'!$A:$B,3,FALSE)</f>
        <v>#N/A</v>
      </c>
      <c r="D10" s="14" t="e">
        <f>VLOOKUP(G10,'GAL-CUB'!$A:$H,9,FALSE)</f>
        <v>#N/A</v>
      </c>
      <c r="E10" s="50" t="e">
        <f>IFERROR(VLOOKUP(G10,'GAL-CUB'!$A:$D,4,FALSE),IFERROR(VLOOKUP(G10,ESCOLTAS!$A:$F,6,FALSE),VLOOKUP(G10,SAÍDAS!$A:$B,2,FALSE)))</f>
        <v>#N/A</v>
      </c>
      <c r="F10" s="14">
        <v>2</v>
      </c>
      <c r="G10" s="108" t="str">
        <f>SEGUNDA!G25</f>
        <v>ANDERSON JOSE DOS SANTOS (Nego Sete)</v>
      </c>
    </row>
    <row r="11" spans="1:7" ht="14.25" thickTop="1" thickBot="1">
      <c r="A11" s="21"/>
      <c r="B11" s="14" t="e">
        <f>VLOOKUP(G11,'GAL-CUB'!$A:$A,2,FALSE)</f>
        <v>#N/A</v>
      </c>
      <c r="C11" s="14" t="e">
        <f>VLOOKUP(G11,'GAL-CUB'!$A:$B,3,FALSE)</f>
        <v>#N/A</v>
      </c>
      <c r="D11" s="14" t="e">
        <f>VLOOKUP(G11,'GAL-CUB'!$A:$H,9,FALSE)</f>
        <v>#N/A</v>
      </c>
      <c r="E11" s="50" t="e">
        <f>IFERROR(VLOOKUP(G11,'GAL-CUB'!$A:$D,4,FALSE),IFERROR(VLOOKUP(G11,ESCOLTAS!$A:$F,6,FALSE),VLOOKUP(G11,SAÍDAS!$A:$B,2,FALSE)))</f>
        <v>#N/A</v>
      </c>
      <c r="F11" s="14">
        <v>3</v>
      </c>
      <c r="G11" s="108" t="str">
        <f>SEGUNDA!G26</f>
        <v>DANIEL NOGUEIRA (Radical)</v>
      </c>
    </row>
    <row r="12" spans="1:7" ht="14.25" thickTop="1" thickBot="1">
      <c r="A12" s="21"/>
      <c r="B12" s="14" t="e">
        <f>VLOOKUP(G12,'GAL-CUB'!$A:$A,2,FALSE)</f>
        <v>#N/A</v>
      </c>
      <c r="C12" s="14" t="e">
        <f>VLOOKUP(G12,'GAL-CUB'!$A:$B,3,FALSE)</f>
        <v>#N/A</v>
      </c>
      <c r="D12" s="14" t="e">
        <f>VLOOKUP(G12,'GAL-CUB'!$A:$H,9,FALSE)</f>
        <v>#N/A</v>
      </c>
      <c r="E12" s="50" t="str">
        <f>IFERROR(VLOOKUP(G12,'GAL-CUB'!$A:$D,4,FALSE),IFERROR(VLOOKUP(G12,ESCOLTAS!$A:$F,6,FALSE),VLOOKUP(G12,SAÍDAS!$A:$B,2,FALSE)))</f>
        <v>CRAPG</v>
      </c>
      <c r="F12" s="14">
        <v>4</v>
      </c>
      <c r="G12" s="108"/>
    </row>
    <row r="13" spans="1:7" ht="14.25" thickTop="1" thickBot="1">
      <c r="A13" s="21"/>
      <c r="B13" s="14" t="e">
        <f>VLOOKUP(G13,'GAL-CUB'!$A:$A,2,FALSE)</f>
        <v>#N/A</v>
      </c>
      <c r="C13" s="14" t="e">
        <f>VLOOKUP(G13,'GAL-CUB'!$A:$B,3,FALSE)</f>
        <v>#N/A</v>
      </c>
      <c r="D13" s="14" t="e">
        <f>VLOOKUP(G13,'GAL-CUB'!$A:$H,9,FALSE)</f>
        <v>#N/A</v>
      </c>
      <c r="E13" s="50" t="e">
        <f>IFERROR(VLOOKUP(G13,'GAL-CUB'!$A:$D,4,FALSE),IFERROR(VLOOKUP(G13,ESCOLTAS!$A:$F,6,FALSE),VLOOKUP(G13,SAÍDAS!$A:$B,2,FALSE)))</f>
        <v>#N/A</v>
      </c>
      <c r="F13" s="14">
        <v>5</v>
      </c>
      <c r="G13" s="108" t="str">
        <f>SEGUNDA!G28</f>
        <v>DIEGO MAURICIO MARTINS (Toicinho)</v>
      </c>
    </row>
    <row r="14" spans="1:7" ht="14.25" thickTop="1" thickBot="1">
      <c r="A14" s="21"/>
      <c r="B14" s="14" t="e">
        <f>VLOOKUP(G14,'GAL-CUB'!$A:$A,2,FALSE)</f>
        <v>#N/A</v>
      </c>
      <c r="C14" s="14" t="e">
        <f>VLOOKUP(G14,'GAL-CUB'!$A:$B,3,FALSE)</f>
        <v>#N/A</v>
      </c>
      <c r="D14" s="14" t="e">
        <f>VLOOKUP(G14,'GAL-CUB'!$A:$H,9,FALSE)</f>
        <v>#N/A</v>
      </c>
      <c r="E14" s="50" t="e">
        <f>IFERROR(VLOOKUP(G14,'GAL-CUB'!$A:$D,4,FALSE),IFERROR(VLOOKUP(G14,ESCOLTAS!$A:$F,6,FALSE),VLOOKUP(G14,SAÍDAS!$A:$B,2,FALSE)))</f>
        <v>#N/A</v>
      </c>
      <c r="F14" s="14">
        <v>6</v>
      </c>
      <c r="G14" s="108" t="str">
        <f>SEGUNDA!G29</f>
        <v>FERNANDO FELIX ESPIRITO SANTO (Litinho)</v>
      </c>
    </row>
    <row r="15" spans="1:7" ht="14.25" thickTop="1" thickBot="1">
      <c r="A15" s="21"/>
      <c r="B15" s="14" t="e">
        <f>VLOOKUP(G15,'GAL-CUB'!$A:$A,2,FALSE)</f>
        <v>#N/A</v>
      </c>
      <c r="C15" s="14" t="e">
        <f>VLOOKUP(G15,'GAL-CUB'!$A:$B,3,FALSE)</f>
        <v>#N/A</v>
      </c>
      <c r="D15" s="14" t="e">
        <f>VLOOKUP(G15,'GAL-CUB'!$A:$H,9,FALSE)</f>
        <v>#N/A</v>
      </c>
      <c r="E15" s="50" t="e">
        <f>IFERROR(VLOOKUP(G15,'GAL-CUB'!$A:$D,4,FALSE),IFERROR(VLOOKUP(G15,ESCOLTAS!$A:$F,6,FALSE),VLOOKUP(G15,SAÍDAS!$A:$B,2,FALSE)))</f>
        <v>#N/A</v>
      </c>
      <c r="F15" s="14">
        <v>7</v>
      </c>
      <c r="G15" s="108" t="str">
        <f>SEGUNDA!G30</f>
        <v>HEBERTON TEODORO (Eto'o)</v>
      </c>
    </row>
    <row r="16" spans="1:7" ht="14.25" thickTop="1" thickBot="1">
      <c r="A16" s="21"/>
      <c r="B16" s="14" t="e">
        <f>VLOOKUP(G16,'GAL-CUB'!$A:$A,2,FALSE)</f>
        <v>#N/A</v>
      </c>
      <c r="C16" s="14" t="e">
        <f>VLOOKUP(G16,'GAL-CUB'!$A:$B,3,FALSE)</f>
        <v>#N/A</v>
      </c>
      <c r="D16" s="14" t="e">
        <f>VLOOKUP(G16,'GAL-CUB'!$A:$H,9,FALSE)</f>
        <v>#N/A</v>
      </c>
      <c r="E16" s="50" t="str">
        <f>IFERROR(VLOOKUP(G16,'GAL-CUB'!$A:$D,4,FALSE),IFERROR(VLOOKUP(G16,ESCOLTAS!$A:$F,6,FALSE),VLOOKUP(G16,SAÍDAS!$A:$B,2,FALSE)))</f>
        <v>CRAPG</v>
      </c>
      <c r="F16" s="50">
        <v>8</v>
      </c>
      <c r="G16" s="108" t="str">
        <f>SEGUNDA!G31</f>
        <v>JOSE FRANCISCO NETO</v>
      </c>
    </row>
    <row r="17" spans="1:7" ht="14.25" thickTop="1" thickBot="1">
      <c r="A17" s="21"/>
      <c r="B17" s="14" t="e">
        <f>VLOOKUP(G17,'GAL-CUB'!$A:$A,2,FALSE)</f>
        <v>#N/A</v>
      </c>
      <c r="C17" s="14" t="e">
        <f>VLOOKUP(G17,'GAL-CUB'!$A:$B,3,FALSE)</f>
        <v>#N/A</v>
      </c>
      <c r="D17" s="14" t="e">
        <f>VLOOKUP(G17,'GAL-CUB'!$A:$H,9,FALSE)</f>
        <v>#N/A</v>
      </c>
      <c r="E17" s="50" t="e">
        <f>IFERROR(VLOOKUP(G17,'GAL-CUB'!$A:$D,4,FALSE),IFERROR(VLOOKUP(G17,ESCOLTAS!$A:$F,6,FALSE),VLOOKUP(G17,SAÍDAS!$A:$B,2,FALSE)))</f>
        <v>#N/A</v>
      </c>
      <c r="F17" s="50">
        <v>9</v>
      </c>
      <c r="G17" s="108" t="str">
        <f>SEGUNDA!G32</f>
        <v>SIDINEI MACIEL DE OLIVEIRA (Side)</v>
      </c>
    </row>
    <row r="18" spans="1:7" ht="14.25" thickTop="1" thickBot="1">
      <c r="A18" s="21"/>
      <c r="B18" s="14" t="e">
        <f>VLOOKUP(G18,'GAL-CUB'!$A:$A,2,FALSE)</f>
        <v>#N/A</v>
      </c>
      <c r="C18" s="14" t="e">
        <f>VLOOKUP(G18,'GAL-CUB'!$A:$B,3,FALSE)</f>
        <v>#N/A</v>
      </c>
      <c r="D18" s="14" t="e">
        <f>VLOOKUP(G18,'GAL-CUB'!$A:$H,9,FALSE)</f>
        <v>#N/A</v>
      </c>
      <c r="E18" s="50" t="e">
        <f>IFERROR(VLOOKUP(G18,'GAL-CUB'!$A:$D,4,FALSE),IFERROR(VLOOKUP(G18,ESCOLTAS!$A:$F,6,FALSE),VLOOKUP(G18,SAÍDAS!$A:$B,2,FALSE)))</f>
        <v>#N/A</v>
      </c>
      <c r="F18" s="14">
        <v>10</v>
      </c>
      <c r="G18" s="108" t="str">
        <f>SEGUNDA!G33</f>
        <v>WAGNER SCHITICOSKI (Tiquinho)</v>
      </c>
    </row>
    <row r="19" spans="1:7" ht="14.25" thickTop="1" thickBot="1">
      <c r="A19" s="21"/>
      <c r="B19" s="14" t="e">
        <f>VLOOKUP(G19,'GAL-CUB'!$A:$A,2,FALSE)</f>
        <v>#N/A</v>
      </c>
      <c r="C19" s="14" t="e">
        <f>VLOOKUP(G19,'GAL-CUB'!$A:$B,3,FALSE)</f>
        <v>#N/A</v>
      </c>
      <c r="D19" s="14" t="e">
        <f>VLOOKUP(G19,'GAL-CUB'!$A:$H,9,FALSE)</f>
        <v>#N/A</v>
      </c>
      <c r="E19" s="50" t="e">
        <f>IFERROR(VLOOKUP(G19,'GAL-CUB'!$A:$D,4,FALSE),IFERROR(VLOOKUP(G19,ESCOLTAS!$A:$F,6,FALSE),VLOOKUP(G19,SAÍDAS!$A:$B,2,FALSE)))</f>
        <v>#N/A</v>
      </c>
      <c r="F19" s="14">
        <v>11</v>
      </c>
      <c r="G19" s="108" t="str">
        <f>SEGUNDA!G34</f>
        <v>WELLINGTON DOS SANTOS  (Gauchinho)</v>
      </c>
    </row>
    <row r="20" spans="1:7" ht="14.25" thickTop="1" thickBot="1">
      <c r="A20" s="21"/>
      <c r="B20" s="14" t="e">
        <f>VLOOKUP(G20,'GAL-CUB'!$A:$A,2,FALSE)</f>
        <v>#N/A</v>
      </c>
      <c r="C20" s="14" t="e">
        <f>VLOOKUP(G20,'GAL-CUB'!$A:$B,3,FALSE)</f>
        <v>#N/A</v>
      </c>
      <c r="D20" s="14" t="e">
        <f>VLOOKUP(G20,'GAL-CUB'!$A:$H,9,FALSE)</f>
        <v>#N/A</v>
      </c>
      <c r="E20" s="50" t="str">
        <f>IFERROR(VLOOKUP(G20,'GAL-CUB'!$A:$D,4,FALSE),IFERROR(VLOOKUP(G20,ESCOLTAS!$A:$F,6,FALSE),VLOOKUP(G20,SAÍDAS!$A:$B,2,FALSE)))</f>
        <v>CRAPG</v>
      </c>
      <c r="F20" s="14">
        <v>12</v>
      </c>
      <c r="G20" s="108" t="str">
        <f>SEGUNDA!G35</f>
        <v>CELSO LUIZ DOS SANTOS</v>
      </c>
    </row>
    <row r="21" spans="1:7" ht="14.25" thickTop="1" thickBot="1"/>
    <row r="22" spans="1:7" ht="14.25" thickTop="1" thickBot="1">
      <c r="B22" s="708" t="str">
        <f>SEGUNDA!B37</f>
        <v>SOLANGE</v>
      </c>
      <c r="C22" s="709"/>
      <c r="D22" s="709"/>
      <c r="E22" s="46"/>
      <c r="F22" s="46"/>
      <c r="G22" s="27" t="str">
        <f ca="1">IF(WEEKDAY(B2,2)=3,"HOJE","QUARTA-FEIRA")</f>
        <v>QUARTA-FEIRA</v>
      </c>
    </row>
    <row r="23" spans="1:7" ht="14.25" thickTop="1" thickBot="1">
      <c r="B23" s="13" t="s">
        <v>812</v>
      </c>
      <c r="C23" s="13" t="s">
        <v>250</v>
      </c>
      <c r="D23" s="13" t="s">
        <v>435</v>
      </c>
      <c r="E23" s="13" t="s">
        <v>1178</v>
      </c>
      <c r="F23" s="13" t="s">
        <v>1802</v>
      </c>
      <c r="G23" s="13" t="s">
        <v>370</v>
      </c>
    </row>
    <row r="24" spans="1:7" ht="14.25" thickTop="1" thickBot="1">
      <c r="B24" s="14" t="e">
        <f>VLOOKUP(G24,'GAL-CUB'!$A:$A,2,FALSE)</f>
        <v>#N/A</v>
      </c>
      <c r="C24" s="14" t="e">
        <f>VLOOKUP(G24,'GAL-CUB'!$A:$B,3,FALSE)</f>
        <v>#N/A</v>
      </c>
      <c r="D24" s="14" t="e">
        <f>VLOOKUP(G24,'GAL-CUB'!$A:$H,9,FALSE)</f>
        <v>#N/A</v>
      </c>
      <c r="E24" s="14" t="e">
        <f>IFERROR(VLOOKUP(G24,'GAL-CUB'!$A:$D,4,FALSE),IFERROR(VLOOKUP(G24,ESCOLTAS!$A:$F,6,FALSE),VLOOKUP(G24,SAÍDAS!$A:$B,2,FALSE)))</f>
        <v>#N/A</v>
      </c>
      <c r="F24" s="14">
        <v>1</v>
      </c>
      <c r="G24" s="58" t="str">
        <f>SEGUNDA!G39</f>
        <v>JACKSON DOS SANTOS (Gordinho)</v>
      </c>
    </row>
    <row r="25" spans="1:7" ht="14.25" thickTop="1" thickBot="1">
      <c r="B25" s="14" t="e">
        <f>VLOOKUP(G25,'GAL-CUB'!$A:$A,2,FALSE)</f>
        <v>#N/A</v>
      </c>
      <c r="C25" s="14" t="e">
        <f>VLOOKUP(G25,'GAL-CUB'!$A:$B,3,FALSE)</f>
        <v>#N/A</v>
      </c>
      <c r="D25" s="14" t="e">
        <f>VLOOKUP(G25,'GAL-CUB'!$A:$H,9,FALSE)</f>
        <v>#N/A</v>
      </c>
      <c r="E25" s="14" t="e">
        <f>IFERROR(VLOOKUP(G25,'GAL-CUB'!$A:$D,4,FALSE),IFERROR(VLOOKUP(G25,ESCOLTAS!$A:$F,6,FALSE),VLOOKUP(G25,SAÍDAS!$A:$B,2,FALSE)))</f>
        <v>#N/A</v>
      </c>
      <c r="F25" s="14">
        <v>2</v>
      </c>
      <c r="G25" s="101" t="str">
        <f>SEGUNDA!G40</f>
        <v>DULCIDIO ALVAREZ RIBAS</v>
      </c>
    </row>
    <row r="26" spans="1:7" ht="14.25" thickTop="1" thickBot="1">
      <c r="B26" s="14" t="e">
        <f>VLOOKUP(G26,'GAL-CUB'!$A:$A,2,FALSE)</f>
        <v>#N/A</v>
      </c>
      <c r="C26" s="14" t="e">
        <f>VLOOKUP(G26,'GAL-CUB'!$A:$B,3,FALSE)</f>
        <v>#N/A</v>
      </c>
      <c r="D26" s="14" t="e">
        <f>VLOOKUP(G26,'GAL-CUB'!$A:$H,9,FALSE)</f>
        <v>#N/A</v>
      </c>
      <c r="E26" s="14" t="str">
        <f>IFERROR(VLOOKUP(G26,'GAL-CUB'!$A:$D,4,FALSE),IFERROR(VLOOKUP(G26,ESCOLTAS!$A:$F,6,FALSE),VLOOKUP(G26,SAÍDAS!$A:$B,2,FALSE)))</f>
        <v>CRAPG</v>
      </c>
      <c r="F26" s="14">
        <v>3</v>
      </c>
      <c r="G26" s="101">
        <f>SEGUNDA!G41</f>
        <v>0</v>
      </c>
    </row>
    <row r="27" spans="1:7" ht="14.25" thickTop="1" thickBot="1">
      <c r="B27" s="14" t="e">
        <f>VLOOKUP(G27,'GAL-CUB'!$A:$A,2,FALSE)</f>
        <v>#N/A</v>
      </c>
      <c r="C27" s="14" t="e">
        <f>VLOOKUP(G27,'GAL-CUB'!$A:$B,3,FALSE)</f>
        <v>#N/A</v>
      </c>
      <c r="D27" s="14" t="e">
        <f>VLOOKUP(G27,'GAL-CUB'!$A:$H,9,FALSE)</f>
        <v>#N/A</v>
      </c>
      <c r="E27" s="14" t="str">
        <f>IFERROR(VLOOKUP(G27,'GAL-CUB'!$A:$D,4,FALSE),IFERROR(VLOOKUP(G27,ESCOLTAS!$A:$F,6,FALSE),VLOOKUP(G27,SAÍDAS!$A:$B,2,FALSE)))</f>
        <v>CRAPG</v>
      </c>
      <c r="F27" s="14">
        <v>4</v>
      </c>
      <c r="G27" s="101">
        <f>SEGUNDA!G42</f>
        <v>0</v>
      </c>
    </row>
    <row r="28" spans="1:7" ht="14.25" thickTop="1" thickBot="1">
      <c r="B28" s="14" t="e">
        <f>VLOOKUP(G28,'GAL-CUB'!$A:$A,2,FALSE)</f>
        <v>#N/A</v>
      </c>
      <c r="C28" s="14" t="e">
        <f>VLOOKUP(G28,'GAL-CUB'!$A:$B,3,FALSE)</f>
        <v>#N/A</v>
      </c>
      <c r="D28" s="14" t="e">
        <f>VLOOKUP(G28,'GAL-CUB'!$A:$H,9,FALSE)</f>
        <v>#N/A</v>
      </c>
      <c r="E28" s="14" t="str">
        <f>IFERROR(VLOOKUP(G28,'GAL-CUB'!$A:$D,4,FALSE),IFERROR(VLOOKUP(G28,ESCOLTAS!$A:$F,6,FALSE),VLOOKUP(G28,SAÍDAS!$A:$B,2,FALSE)))</f>
        <v>CRAPG</v>
      </c>
      <c r="F28" s="14">
        <v>5</v>
      </c>
      <c r="G28" s="101">
        <f>SEGUNDA!G43</f>
        <v>0</v>
      </c>
    </row>
    <row r="29" spans="1:7" ht="14.25" thickTop="1" thickBot="1">
      <c r="B29" s="14" t="e">
        <f>VLOOKUP(G29,'GAL-CUB'!$A:$A,2,FALSE)</f>
        <v>#N/A</v>
      </c>
      <c r="C29" s="14" t="e">
        <f>VLOOKUP(G29,'GAL-CUB'!$A:$B,3,FALSE)</f>
        <v>#N/A</v>
      </c>
      <c r="D29" s="14" t="e">
        <f>VLOOKUP(G29,'GAL-CUB'!$A:$H,9,FALSE)</f>
        <v>#N/A</v>
      </c>
      <c r="E29" s="14" t="e">
        <f>IFERROR(VLOOKUP(G29,'GAL-CUB'!$A:$D,4,FALSE),IFERROR(VLOOKUP(G29,ESCOLTAS!$A:$F,6,FALSE),VLOOKUP(G29,SAÍDAS!$A:$B,2,FALSE)))</f>
        <v>#N/A</v>
      </c>
      <c r="F29" s="14">
        <v>6</v>
      </c>
      <c r="G29" s="101" t="str">
        <f>SEGUNDA!G44</f>
        <v>MAICON EMANUEL DE ASSUNCAO</v>
      </c>
    </row>
    <row r="30" spans="1:7" ht="14.25" thickTop="1" thickBot="1">
      <c r="B30" s="14" t="e">
        <f>VLOOKUP(G30,'GAL-CUB'!$A:$A,2,FALSE)</f>
        <v>#N/A</v>
      </c>
      <c r="C30" s="14" t="e">
        <f>VLOOKUP(G30,'GAL-CUB'!$A:$B,3,FALSE)</f>
        <v>#N/A</v>
      </c>
      <c r="D30" s="14" t="e">
        <f>VLOOKUP(G30,'GAL-CUB'!$A:$H,9,FALSE)</f>
        <v>#N/A</v>
      </c>
      <c r="E30" s="14" t="e">
        <f>IFERROR(VLOOKUP(G30,'GAL-CUB'!$A:$D,4,FALSE),IFERROR(VLOOKUP(G30,ESCOLTAS!$A:$F,6,FALSE),VLOOKUP(G30,SAÍDAS!$A:$B,2,FALSE)))</f>
        <v>#N/A</v>
      </c>
      <c r="F30" s="14">
        <v>7</v>
      </c>
      <c r="G30" s="101" t="str">
        <f>SEGUNDA!G45</f>
        <v>MARCIO DUBIELA</v>
      </c>
    </row>
    <row r="31" spans="1:7" ht="14.25" thickTop="1" thickBot="1">
      <c r="B31" s="14" t="e">
        <f>VLOOKUP(G31,'GAL-CUB'!$A:$A,2,FALSE)</f>
        <v>#N/A</v>
      </c>
      <c r="C31" s="14" t="e">
        <f>VLOOKUP(G31,'GAL-CUB'!$A:$B,3,FALSE)</f>
        <v>#N/A</v>
      </c>
      <c r="D31" s="14" t="e">
        <f>VLOOKUP(G31,'GAL-CUB'!$A:$H,9,FALSE)</f>
        <v>#N/A</v>
      </c>
      <c r="E31" s="14" t="e">
        <f>IFERROR(VLOOKUP(G31,'GAL-CUB'!$A:$D,4,FALSE),IFERROR(VLOOKUP(G31,ESCOLTAS!$A:$F,6,FALSE),VLOOKUP(G31,SAÍDAS!$A:$B,2,FALSE)))</f>
        <v>#N/A</v>
      </c>
      <c r="F31" s="14">
        <v>8</v>
      </c>
      <c r="G31" s="101" t="str">
        <f>SEGUNDA!G46</f>
        <v>MAURO DOS SANTOS (Índio)</v>
      </c>
    </row>
    <row r="32" spans="1:7" ht="14.25" thickTop="1" thickBot="1">
      <c r="B32" s="14" t="e">
        <f>VLOOKUP(G32,'GAL-CUB'!$A:$A,2,FALSE)</f>
        <v>#N/A</v>
      </c>
      <c r="C32" s="14" t="e">
        <f>VLOOKUP(G32,'GAL-CUB'!$A:$B,3,FALSE)</f>
        <v>#N/A</v>
      </c>
      <c r="D32" s="14" t="e">
        <f>VLOOKUP(G32,'GAL-CUB'!$A:$H,9,FALSE)</f>
        <v>#N/A</v>
      </c>
      <c r="E32" s="14" t="e">
        <f>IFERROR(VLOOKUP(G32,'GAL-CUB'!$A:$D,4,FALSE),IFERROR(VLOOKUP(G32,ESCOLTAS!$A:$F,6,FALSE),VLOOKUP(G32,SAÍDAS!$A:$B,2,FALSE)))</f>
        <v>#N/A</v>
      </c>
      <c r="F32" s="14">
        <v>9</v>
      </c>
      <c r="G32" s="101" t="str">
        <f>SEGUNDA!G47</f>
        <v>NATHAN JUNIOR ADOLFO DE OLIVEIRA (Junior / Tartaruga)</v>
      </c>
    </row>
    <row r="33" spans="2:7" ht="14.25" thickTop="1" thickBot="1">
      <c r="B33" s="14" t="e">
        <f>VLOOKUP(G33,'GAL-CUB'!$A:$A,2,FALSE)</f>
        <v>#N/A</v>
      </c>
      <c r="C33" s="14" t="e">
        <f>VLOOKUP(G33,'GAL-CUB'!$A:$B,3,FALSE)</f>
        <v>#N/A</v>
      </c>
      <c r="D33" s="14" t="e">
        <f>VLOOKUP(G33,'GAL-CUB'!$A:$H,9,FALSE)</f>
        <v>#N/A</v>
      </c>
      <c r="E33" s="14" t="e">
        <f>IFERROR(VLOOKUP(G33,'GAL-CUB'!$A:$D,4,FALSE),IFERROR(VLOOKUP(G33,ESCOLTAS!$A:$F,6,FALSE),VLOOKUP(G33,SAÍDAS!$A:$B,2,FALSE)))</f>
        <v>#N/A</v>
      </c>
      <c r="F33" s="14">
        <v>10</v>
      </c>
      <c r="G33" s="101" t="str">
        <f>SEGUNDA!G48</f>
        <v>NILTON CESAR FERREIRA PEDROSO</v>
      </c>
    </row>
    <row r="34" spans="2:7" ht="14.25" thickTop="1" thickBot="1">
      <c r="B34" s="14" t="e">
        <f>VLOOKUP(G34,'GAL-CUB'!$A:$A,2,FALSE)</f>
        <v>#N/A</v>
      </c>
      <c r="C34" s="14" t="e">
        <f>VLOOKUP(G34,'GAL-CUB'!$A:$B,3,FALSE)</f>
        <v>#N/A</v>
      </c>
      <c r="D34" s="14" t="e">
        <f>VLOOKUP(G34,'GAL-CUB'!$A:$H,9,FALSE)</f>
        <v>#N/A</v>
      </c>
      <c r="E34" s="14" t="str">
        <f>IFERROR(VLOOKUP(G34,'GAL-CUB'!$A:$D,4,FALSE),IFERROR(VLOOKUP(G34,ESCOLTAS!$A:$F,6,FALSE),VLOOKUP(G34,SAÍDAS!$A:$B,2,FALSE)))</f>
        <v>CRAPG</v>
      </c>
      <c r="F34" s="14">
        <v>11</v>
      </c>
      <c r="G34" s="101" t="str">
        <f>SEGUNDA!G49</f>
        <v>PATRICK BUENO DE OLIVEIRA</v>
      </c>
    </row>
    <row r="35" spans="2:7" ht="14.25" thickTop="1" thickBot="1">
      <c r="B35" s="14" t="e">
        <f>VLOOKUP(G35,'GAL-CUB'!$A:$A,2,FALSE)</f>
        <v>#N/A</v>
      </c>
      <c r="C35" s="14" t="e">
        <f>VLOOKUP(G35,'GAL-CUB'!$A:$B,3,FALSE)</f>
        <v>#N/A</v>
      </c>
      <c r="D35" s="14" t="e">
        <f>VLOOKUP(G35,'GAL-CUB'!$A:$H,9,FALSE)</f>
        <v>#N/A</v>
      </c>
      <c r="E35" s="14" t="str">
        <f>IFERROR(VLOOKUP(G35,'GAL-CUB'!$A:$D,4,FALSE),IFERROR(VLOOKUP(G35,ESCOLTAS!$A:$F,6,FALSE),VLOOKUP(G35,SAÍDAS!$A:$B,2,FALSE)))</f>
        <v>CRAPG</v>
      </c>
      <c r="F35" s="14">
        <v>12</v>
      </c>
      <c r="G35" s="101" t="str">
        <f>SEGUNDA!G50</f>
        <v>PAULO POLLI</v>
      </c>
    </row>
    <row r="36" spans="2:7" ht="14.25" thickTop="1" thickBot="1"/>
    <row r="37" spans="2:7" ht="14.25" thickTop="1" thickBot="1">
      <c r="B37" s="708" t="str">
        <f>TERÇA!B52</f>
        <v>MATILDE</v>
      </c>
      <c r="C37" s="709"/>
      <c r="D37" s="709"/>
      <c r="E37" s="46"/>
      <c r="F37" s="46"/>
      <c r="G37" s="27" t="str">
        <f ca="1">IF(WEEKDAY(B2,2)=3,"HOJE","QUARTA-FEIRA")</f>
        <v>QUARTA-FEIRA</v>
      </c>
    </row>
    <row r="38" spans="2:7" ht="14.25" thickTop="1" thickBot="1">
      <c r="B38" s="13" t="s">
        <v>812</v>
      </c>
      <c r="C38" s="13" t="s">
        <v>250</v>
      </c>
      <c r="D38" s="13" t="s">
        <v>435</v>
      </c>
      <c r="E38" s="13" t="s">
        <v>1178</v>
      </c>
      <c r="F38" s="13"/>
      <c r="G38" s="13" t="s">
        <v>370</v>
      </c>
    </row>
    <row r="39" spans="2:7" ht="14.25" thickTop="1" thickBot="1">
      <c r="B39" s="14" t="e">
        <f>VLOOKUP(G39,'GAL-CUB'!$A:$A,2,FALSE)</f>
        <v>#N/A</v>
      </c>
      <c r="C39" s="14" t="e">
        <f>VLOOKUP(G39,'GAL-CUB'!$A:$B,3,FALSE)</f>
        <v>#N/A</v>
      </c>
      <c r="D39" s="14" t="e">
        <f>VLOOKUP(G39,'GAL-CUB'!$A:$H,9,FALSE)</f>
        <v>#N/A</v>
      </c>
      <c r="E39" s="14" t="str">
        <f>IFERROR(VLOOKUP(G39,'GAL-CUB'!$A:$D,4,FALSE),IFERROR(VLOOKUP(G39,ESCOLTAS!$A:$F,6,FALSE),VLOOKUP(G39,SAÍDAS!$A:$B,2,FALSE)))</f>
        <v>CRAPG</v>
      </c>
      <c r="F39" s="14">
        <v>1</v>
      </c>
      <c r="G39" s="15" t="str">
        <f>TERÇA!G54</f>
        <v>ADAIR FERNANDES MACHADO</v>
      </c>
    </row>
    <row r="40" spans="2:7" ht="14.25" thickTop="1" thickBot="1">
      <c r="B40" s="14" t="e">
        <f>VLOOKUP(G40,'GAL-CUB'!$A:$A,2,FALSE)</f>
        <v>#N/A</v>
      </c>
      <c r="C40" s="14" t="e">
        <f>VLOOKUP(G40,'GAL-CUB'!$A:$B,3,FALSE)</f>
        <v>#N/A</v>
      </c>
      <c r="D40" s="14" t="e">
        <f>VLOOKUP(G40,'GAL-CUB'!$A:$H,9,FALSE)</f>
        <v>#N/A</v>
      </c>
      <c r="E40" s="14" t="str">
        <f>IFERROR(VLOOKUP(G40,'GAL-CUB'!$A:$D,4,FALSE),IFERROR(VLOOKUP(G40,ESCOLTAS!$A:$F,6,FALSE),VLOOKUP(G40,SAÍDAS!$A:$B,2,FALSE)))</f>
        <v>CRAPG</v>
      </c>
      <c r="F40" s="50">
        <v>2</v>
      </c>
      <c r="G40" s="15" t="str">
        <f>TERÇA!G55</f>
        <v>ADRIANO GONÇALVES DE MELO</v>
      </c>
    </row>
    <row r="41" spans="2:7" ht="14.25" thickTop="1" thickBot="1">
      <c r="B41" s="14" t="e">
        <f>VLOOKUP(G41,'GAL-CUB'!$A:$A,2,FALSE)</f>
        <v>#N/A</v>
      </c>
      <c r="C41" s="14" t="e">
        <f>VLOOKUP(G41,'GAL-CUB'!$A:$B,3,FALSE)</f>
        <v>#N/A</v>
      </c>
      <c r="D41" s="14" t="e">
        <f>VLOOKUP(G41,'GAL-CUB'!$A:$H,9,FALSE)</f>
        <v>#N/A</v>
      </c>
      <c r="E41" s="14" t="e">
        <f>IFERROR(VLOOKUP(G41,'GAL-CUB'!$A:$D,4,FALSE),IFERROR(VLOOKUP(G41,ESCOLTAS!$A:$F,6,FALSE),VLOOKUP(G41,SAÍDAS!$A:$B,2,FALSE)))</f>
        <v>#N/A</v>
      </c>
      <c r="F41" s="14">
        <v>3</v>
      </c>
      <c r="G41" s="15" t="str">
        <f>TERÇA!G56</f>
        <v>ALEXANDRE JUNIOR DE ALMEIDA</v>
      </c>
    </row>
    <row r="42" spans="2:7" ht="14.25" thickTop="1" thickBot="1">
      <c r="B42" s="14" t="e">
        <f>VLOOKUP(G42,'GAL-CUB'!$A:$A,2,FALSE)</f>
        <v>#N/A</v>
      </c>
      <c r="C42" s="14" t="e">
        <f>VLOOKUP(G42,'GAL-CUB'!$A:$B,3,FALSE)</f>
        <v>#N/A</v>
      </c>
      <c r="D42" s="14" t="e">
        <f>VLOOKUP(G42,'GAL-CUB'!$A:$H,9,FALSE)</f>
        <v>#N/A</v>
      </c>
      <c r="E42" s="14" t="str">
        <f>IFERROR(VLOOKUP(G42,'GAL-CUB'!$A:$D,4,FALSE),IFERROR(VLOOKUP(G42,ESCOLTAS!$A:$F,6,FALSE),VLOOKUP(G42,SAÍDAS!$A:$B,2,FALSE)))</f>
        <v>TORNOZELEIRA</v>
      </c>
      <c r="F42" s="14">
        <v>4</v>
      </c>
      <c r="G42" s="15" t="str">
        <f>TERÇA!G57</f>
        <v>DEIVIDI DE MELO</v>
      </c>
    </row>
    <row r="43" spans="2:7" ht="14.25" thickTop="1" thickBot="1">
      <c r="B43" s="14" t="e">
        <f>VLOOKUP(G43,'GAL-CUB'!$A:$A,2,FALSE)</f>
        <v>#N/A</v>
      </c>
      <c r="C43" s="14" t="e">
        <f>VLOOKUP(G43,'GAL-CUB'!$A:$B,3,FALSE)</f>
        <v>#N/A</v>
      </c>
      <c r="D43" s="14" t="e">
        <f>VLOOKUP(G43,'GAL-CUB'!$A:$H,9,FALSE)</f>
        <v>#N/A</v>
      </c>
      <c r="E43" s="14" t="str">
        <f>IFERROR(VLOOKUP(G43,'GAL-CUB'!$A:$D,4,FALSE),IFERROR(VLOOKUP(G43,ESCOLTAS!$A:$F,6,FALSE),VLOOKUP(G43,SAÍDAS!$A:$B,2,FALSE)))</f>
        <v>CRAPG</v>
      </c>
      <c r="F43" s="14">
        <v>5</v>
      </c>
      <c r="G43" s="15" t="str">
        <f>TERÇA!G58</f>
        <v>EDIVALDO DA SILVA</v>
      </c>
    </row>
    <row r="44" spans="2:7" ht="14.25" thickTop="1" thickBot="1">
      <c r="B44" s="14" t="e">
        <f>VLOOKUP(G44,'GAL-CUB'!$A:$A,2,FALSE)</f>
        <v>#N/A</v>
      </c>
      <c r="C44" s="14" t="e">
        <f>VLOOKUP(G44,'GAL-CUB'!$A:$B,3,FALSE)</f>
        <v>#N/A</v>
      </c>
      <c r="D44" s="14" t="e">
        <f>VLOOKUP(G44,'GAL-CUB'!$A:$H,9,FALSE)</f>
        <v>#N/A</v>
      </c>
      <c r="E44" s="14" t="str">
        <f>IFERROR(VLOOKUP(G44,'GAL-CUB'!$A:$D,4,FALSE),IFERROR(VLOOKUP(G44,ESCOLTAS!$A:$F,6,FALSE),VLOOKUP(G44,SAÍDAS!$A:$B,2,FALSE)))</f>
        <v>CRAPG</v>
      </c>
      <c r="F44" s="14">
        <v>6</v>
      </c>
      <c r="G44" s="15" t="str">
        <f>TERÇA!G59</f>
        <v>FABIO TORRES BANRUQUE</v>
      </c>
    </row>
    <row r="45" spans="2:7" ht="14.25" thickTop="1" thickBot="1">
      <c r="B45" s="14" t="e">
        <f>VLOOKUP(G45,'GAL-CUB'!$A:$A,2,FALSE)</f>
        <v>#N/A</v>
      </c>
      <c r="C45" s="14" t="e">
        <f>VLOOKUP(G45,'GAL-CUB'!$A:$B,3,FALSE)</f>
        <v>#N/A</v>
      </c>
      <c r="D45" s="14" t="e">
        <f>VLOOKUP(G45,'GAL-CUB'!$A:$H,9,FALSE)</f>
        <v>#N/A</v>
      </c>
      <c r="E45" s="14" t="str">
        <f>IFERROR(VLOOKUP(G45,'GAL-CUB'!$A:$D,4,FALSE),IFERROR(VLOOKUP(G45,ESCOLTAS!$A:$F,6,FALSE),VLOOKUP(G45,SAÍDAS!$A:$B,2,FALSE)))</f>
        <v>CRAPG</v>
      </c>
      <c r="F45" s="14">
        <v>7</v>
      </c>
      <c r="G45" s="15" t="str">
        <f>TERÇA!G60</f>
        <v>IRINEU APARECIDO HENQUE</v>
      </c>
    </row>
    <row r="46" spans="2:7" ht="14.25" thickTop="1" thickBot="1">
      <c r="B46" s="14" t="e">
        <f>VLOOKUP(G46,'GAL-CUB'!$A:$A,2,FALSE)</f>
        <v>#N/A</v>
      </c>
      <c r="C46" s="14" t="e">
        <f>VLOOKUP(G46,'GAL-CUB'!$A:$B,3,FALSE)</f>
        <v>#N/A</v>
      </c>
      <c r="D46" s="14" t="e">
        <f>VLOOKUP(G46,'GAL-CUB'!$A:$H,9,FALSE)</f>
        <v>#N/A</v>
      </c>
      <c r="E46" s="14" t="e">
        <f>IFERROR(VLOOKUP(G46,'GAL-CUB'!$A:$D,4,FALSE),IFERROR(VLOOKUP(G46,ESCOLTAS!$A:$F,6,FALSE),VLOOKUP(G46,SAÍDAS!$A:$B,2,FALSE)))</f>
        <v>#N/A</v>
      </c>
      <c r="F46" s="14">
        <v>8</v>
      </c>
      <c r="G46" s="15" t="str">
        <f>TERÇA!G61</f>
        <v>JOAO JAQUES MOREIRA</v>
      </c>
    </row>
    <row r="47" spans="2:7" ht="14.25" thickTop="1" thickBot="1">
      <c r="B47" s="14" t="e">
        <f>VLOOKUP(G47,'GAL-CUB'!$A:$A,2,FALSE)</f>
        <v>#N/A</v>
      </c>
      <c r="C47" s="14" t="e">
        <f>VLOOKUP(G47,'GAL-CUB'!$A:$B,3,FALSE)</f>
        <v>#N/A</v>
      </c>
      <c r="D47" s="14" t="e">
        <f>VLOOKUP(G47,'GAL-CUB'!$A:$H,9,FALSE)</f>
        <v>#N/A</v>
      </c>
      <c r="E47" s="14" t="e">
        <f>IFERROR(VLOOKUP(G47,'GAL-CUB'!$A:$D,4,FALSE),IFERROR(VLOOKUP(G47,ESCOLTAS!$A:$F,6,FALSE),VLOOKUP(G47,SAÍDAS!$A:$B,2,FALSE)))</f>
        <v>#N/A</v>
      </c>
      <c r="F47" s="14">
        <v>9</v>
      </c>
      <c r="G47" s="15" t="str">
        <f>TERÇA!G62</f>
        <v>JHONNY RIBEIRO DA LUZ</v>
      </c>
    </row>
    <row r="48" spans="2:7" ht="14.25" thickTop="1" thickBot="1">
      <c r="B48" s="14" t="e">
        <f>VLOOKUP(G48,'GAL-CUB'!$A:$A,2,FALSE)</f>
        <v>#N/A</v>
      </c>
      <c r="C48" s="14" t="e">
        <f>VLOOKUP(G48,'GAL-CUB'!$A:$B,3,FALSE)</f>
        <v>#N/A</v>
      </c>
      <c r="D48" s="14" t="e">
        <f>VLOOKUP(G48,'GAL-CUB'!$A:$H,9,FALSE)</f>
        <v>#N/A</v>
      </c>
      <c r="E48" s="14" t="e">
        <f>IFERROR(VLOOKUP(G48,'GAL-CUB'!$A:$D,4,FALSE),IFERROR(VLOOKUP(G48,ESCOLTAS!$A:$F,6,FALSE),VLOOKUP(G48,SAÍDAS!$A:$B,2,FALSE)))</f>
        <v>#N/A</v>
      </c>
      <c r="F48" s="14">
        <v>10</v>
      </c>
      <c r="G48" s="15" t="str">
        <f>TERÇA!G63</f>
        <v>LUIZ CARLOS DOS SANTOS (Secretário/Luizinho)</v>
      </c>
    </row>
    <row r="49" spans="2:7" ht="14.25" thickTop="1" thickBot="1">
      <c r="B49" s="14" t="e">
        <f>VLOOKUP(G49,'GAL-CUB'!$A:$A,2,FALSE)</f>
        <v>#N/A</v>
      </c>
      <c r="C49" s="14" t="e">
        <f>VLOOKUP(G49,'GAL-CUB'!$A:$B,3,FALSE)</f>
        <v>#N/A</v>
      </c>
      <c r="D49" s="14" t="e">
        <f>VLOOKUP(G49,'GAL-CUB'!$A:$H,9,FALSE)</f>
        <v>#N/A</v>
      </c>
      <c r="E49" s="14" t="str">
        <f>IFERROR(VLOOKUP(G49,'GAL-CUB'!$A:$D,4,FALSE),IFERROR(VLOOKUP(G49,ESCOLTAS!$A:$F,6,FALSE),VLOOKUP(G49,SAÍDAS!$A:$B,2,FALSE)))</f>
        <v>CRAPG</v>
      </c>
      <c r="F49" s="14">
        <v>11</v>
      </c>
      <c r="G49" s="15" t="str">
        <f>TERÇA!G64</f>
        <v>ROQUE VANDERLEI RIBEIRO</v>
      </c>
    </row>
    <row r="50" spans="2:7" ht="14.25" thickTop="1" thickBot="1">
      <c r="B50" s="14" t="e">
        <f>VLOOKUP(G50,'GAL-CUB'!$A:$A,2,FALSE)</f>
        <v>#N/A</v>
      </c>
      <c r="C50" s="14" t="e">
        <f>VLOOKUP(G50,'GAL-CUB'!$A:$B,3,FALSE)</f>
        <v>#N/A</v>
      </c>
      <c r="D50" s="14" t="e">
        <f>VLOOKUP(G50,'GAL-CUB'!$A:$H,9,FALSE)</f>
        <v>#N/A</v>
      </c>
      <c r="E50" s="14" t="e">
        <f>IFERROR(VLOOKUP(G50,'GAL-CUB'!$A:$D,4,FALSE),IFERROR(VLOOKUP(G50,ESCOLTAS!$A:$F,6,FALSE),VLOOKUP(G50,SAÍDAS!$A:$B,2,FALSE)))</f>
        <v>#N/A</v>
      </c>
      <c r="F50" s="14">
        <v>12</v>
      </c>
      <c r="G50" s="15" t="str">
        <f>TERÇA!G65</f>
        <v>ROSEMBERG CANDIDO (PREDADOR/ PRETO VEIO)</v>
      </c>
    </row>
    <row r="51" spans="2:7" ht="14.25" thickTop="1" thickBot="1"/>
    <row r="52" spans="2:7" ht="14.25" thickTop="1" thickBot="1">
      <c r="B52" s="708" t="s">
        <v>1791</v>
      </c>
      <c r="C52" s="709"/>
      <c r="D52" s="709"/>
      <c r="E52" s="46"/>
      <c r="F52" s="46"/>
      <c r="G52" s="27" t="str">
        <f ca="1">IF(WEEKDAY(B2,2)=3,"HOJE","QUARTA-FEIRA")</f>
        <v>QUARTA-FEIRA</v>
      </c>
    </row>
    <row r="53" spans="2:7" ht="14.25" thickTop="1" thickBot="1">
      <c r="B53" s="13" t="s">
        <v>812</v>
      </c>
      <c r="C53" s="13" t="s">
        <v>250</v>
      </c>
      <c r="D53" s="13" t="s">
        <v>435</v>
      </c>
      <c r="E53" s="13" t="s">
        <v>1178</v>
      </c>
      <c r="F53" s="13" t="s">
        <v>1802</v>
      </c>
      <c r="G53" s="13" t="s">
        <v>370</v>
      </c>
    </row>
    <row r="54" spans="2:7" ht="14.25" thickTop="1" thickBot="1">
      <c r="B54" s="14" t="e">
        <f>VLOOKUP(G54,'GAL-CUB'!$A:$A,2,FALSE)</f>
        <v>#N/A</v>
      </c>
      <c r="C54" s="14" t="e">
        <f>VLOOKUP(G54,'GAL-CUB'!$A:$B,3,FALSE)</f>
        <v>#N/A</v>
      </c>
      <c r="D54" s="14" t="e">
        <f>VLOOKUP(G54,'GAL-CUB'!$A:$H,9,FALSE)</f>
        <v>#N/A</v>
      </c>
      <c r="E54" s="14" t="str">
        <f>IFERROR(VLOOKUP(G54,'GAL-CUB'!$A:$D,4,FALSE),IFERROR(VLOOKUP(G54,ESCOLTAS!$A:$F,6,FALSE),VLOOKUP(G54,SAÍDAS!$A:$B,2,FALSE)))</f>
        <v>COLONIA</v>
      </c>
      <c r="F54" s="102">
        <v>4</v>
      </c>
      <c r="G54" s="101" t="s">
        <v>1719</v>
      </c>
    </row>
    <row r="55" spans="2:7" ht="14.25" thickTop="1" thickBot="1">
      <c r="B55" s="14" t="e">
        <f>VLOOKUP(G55,'GAL-CUB'!$A:$A,2,FALSE)</f>
        <v>#N/A</v>
      </c>
      <c r="C55" s="14" t="e">
        <f>VLOOKUP(G55,'GAL-CUB'!$A:$B,3,FALSE)</f>
        <v>#N/A</v>
      </c>
      <c r="D55" s="14" t="e">
        <f>VLOOKUP(G55,'GAL-CUB'!$A:$H,9,FALSE)</f>
        <v>#N/A</v>
      </c>
      <c r="E55" s="14" t="str">
        <f>IFERROR(VLOOKUP(G55,'GAL-CUB'!$A:$D,4,FALSE),IFERROR(VLOOKUP(G55,ESCOLTAS!$A:$F,6,FALSE),VLOOKUP(G55,SAÍDAS!$A:$B,2,FALSE)))</f>
        <v>UP</v>
      </c>
      <c r="F55" s="14">
        <v>3</v>
      </c>
      <c r="G55" s="15" t="s">
        <v>1669</v>
      </c>
    </row>
    <row r="56" spans="2:7" ht="14.25" thickTop="1" thickBot="1">
      <c r="B56" s="14" t="e">
        <f>VLOOKUP(G56,'GAL-CUB'!$A:$A,2,FALSE)</f>
        <v>#N/A</v>
      </c>
      <c r="C56" s="14" t="e">
        <f>VLOOKUP(G56,'GAL-CUB'!$A:$B,3,FALSE)</f>
        <v>#N/A</v>
      </c>
      <c r="D56" s="14" t="e">
        <f>VLOOKUP(G56,'GAL-CUB'!$A:$H,9,FALSE)</f>
        <v>#N/A</v>
      </c>
      <c r="E56" s="14" t="str">
        <f>IFERROR(VLOOKUP(G56,'GAL-CUB'!$A:$D,4,FALSE),IFERROR(VLOOKUP(G56,ESCOLTAS!$A:$F,6,FALSE),VLOOKUP(G56,SAÍDAS!$A:$B,2,FALSE)))</f>
        <v>UP</v>
      </c>
      <c r="F56" s="102">
        <v>8</v>
      </c>
      <c r="G56" s="15" t="s">
        <v>1689</v>
      </c>
    </row>
    <row r="57" spans="2:7" ht="14.25" thickTop="1" thickBot="1">
      <c r="B57" s="14" t="e">
        <f>VLOOKUP(G57,'GAL-CUB'!$A:$A,2,FALSE)</f>
        <v>#N/A</v>
      </c>
      <c r="C57" s="14" t="e">
        <f>VLOOKUP(G57,'GAL-CUB'!$A:$B,3,FALSE)</f>
        <v>#N/A</v>
      </c>
      <c r="D57" s="14" t="e">
        <f>VLOOKUP(G57,'GAL-CUB'!$A:$H,9,FALSE)</f>
        <v>#N/A</v>
      </c>
      <c r="E57" s="14" t="e">
        <f>IFERROR(VLOOKUP(G57,'GAL-CUB'!$A:$D,4,FALSE),IFERROR(VLOOKUP(G57,ESCOLTAS!$A:$F,6,FALSE),VLOOKUP(G57,SAÍDAS!$A:$B,2,FALSE)))</f>
        <v>#N/A</v>
      </c>
      <c r="F57" s="50">
        <v>2</v>
      </c>
      <c r="G57" s="15" t="s">
        <v>1631</v>
      </c>
    </row>
    <row r="58" spans="2:7" ht="14.25" thickTop="1" thickBot="1">
      <c r="B58" s="14" t="e">
        <f>VLOOKUP(G58,'GAL-CUB'!$A:$A,2,FALSE)</f>
        <v>#N/A</v>
      </c>
      <c r="C58" s="14" t="e">
        <f>VLOOKUP(G58,'GAL-CUB'!$A:$B,3,FALSE)</f>
        <v>#N/A</v>
      </c>
      <c r="D58" s="14" t="e">
        <f>VLOOKUP(G58,'GAL-CUB'!$A:$H,9,FALSE)</f>
        <v>#N/A</v>
      </c>
      <c r="E58" s="14" t="str">
        <f>IFERROR(VLOOKUP(G58,'GAL-CUB'!$A:$D,4,FALSE),IFERROR(VLOOKUP(G58,ESCOLTAS!$A:$F,6,FALSE),VLOOKUP(G58,SAÍDAS!$A:$B,2,FALSE)))</f>
        <v>CRAPG</v>
      </c>
      <c r="F58" s="102">
        <v>7</v>
      </c>
      <c r="G58" s="16" t="s">
        <v>1731</v>
      </c>
    </row>
    <row r="59" spans="2:7" ht="14.25" thickTop="1" thickBot="1">
      <c r="B59" s="14" t="e">
        <f>VLOOKUP(G59,'GAL-CUB'!$A:$A,2,FALSE)</f>
        <v>#N/A</v>
      </c>
      <c r="C59" s="14" t="e">
        <f>VLOOKUP(G59,'GAL-CUB'!$A:$B,3,FALSE)</f>
        <v>#N/A</v>
      </c>
      <c r="D59" s="14" t="e">
        <f>VLOOKUP(G59,'GAL-CUB'!$A:$H,9,FALSE)</f>
        <v>#N/A</v>
      </c>
      <c r="E59" s="14" t="e">
        <f>IFERROR(VLOOKUP(G59,'GAL-CUB'!$A:$D,4,FALSE),IFERROR(VLOOKUP(G59,ESCOLTAS!$A:$F,6,FALSE),VLOOKUP(G59,SAÍDAS!$A:$B,2,FALSE)))</f>
        <v>#N/A</v>
      </c>
      <c r="F59" s="14">
        <v>1</v>
      </c>
      <c r="G59" s="103" t="s">
        <v>1999</v>
      </c>
    </row>
    <row r="60" spans="2:7" ht="14.25" thickTop="1" thickBot="1">
      <c r="B60" s="14" t="e">
        <f>VLOOKUP(G60,'GAL-CUB'!$A:$A,2,FALSE)</f>
        <v>#N/A</v>
      </c>
      <c r="C60" s="14" t="e">
        <f>VLOOKUP(G60,'GAL-CUB'!$A:$B,3,FALSE)</f>
        <v>#N/A</v>
      </c>
      <c r="D60" s="14" t="e">
        <f>VLOOKUP(G60,'GAL-CUB'!$A:$H,9,FALSE)</f>
        <v>#N/A</v>
      </c>
      <c r="E60" s="14" t="str">
        <f>IFERROR(VLOOKUP(G60,'GAL-CUB'!$A:$D,4,FALSE),IFERROR(VLOOKUP(G60,ESCOLTAS!$A:$F,6,FALSE),VLOOKUP(G60,SAÍDAS!$A:$B,2,FALSE)))</f>
        <v>TORNOZELEIRA</v>
      </c>
      <c r="F60" s="14">
        <v>5</v>
      </c>
      <c r="G60" s="16" t="s">
        <v>1710</v>
      </c>
    </row>
    <row r="61" spans="2:7" ht="14.25" thickTop="1" thickBot="1">
      <c r="B61" s="14" t="e">
        <f>VLOOKUP(G61,'GAL-CUB'!$A:$A,2,FALSE)</f>
        <v>#N/A</v>
      </c>
      <c r="C61" s="14" t="e">
        <f>VLOOKUP(G61,'GAL-CUB'!$A:$B,3,FALSE)</f>
        <v>#N/A</v>
      </c>
      <c r="D61" s="14" t="e">
        <f>VLOOKUP(G61,'GAL-CUB'!$A:$H,9,FALSE)</f>
        <v>#N/A</v>
      </c>
      <c r="E61" s="14" t="e">
        <f>IFERROR(VLOOKUP(G61,'GAL-CUB'!$A:$D,4,FALSE),IFERROR(VLOOKUP(G61,ESCOLTAS!$A:$F,6,FALSE),VLOOKUP(G61,SAÍDAS!$A:$B,2,FALSE)))</f>
        <v>#N/A</v>
      </c>
      <c r="F61" s="50">
        <v>6</v>
      </c>
      <c r="G61" s="16" t="s">
        <v>1898</v>
      </c>
    </row>
    <row r="62" spans="2:7" ht="14.25" thickTop="1" thickBot="1">
      <c r="B62" s="14" t="e">
        <f>VLOOKUP(G62,'GAL-CUB'!$A:$A,2,FALSE)</f>
        <v>#N/A</v>
      </c>
      <c r="C62" s="14" t="e">
        <f>VLOOKUP(G62,'GAL-CUB'!$A:$B,3,FALSE)</f>
        <v>#N/A</v>
      </c>
      <c r="D62" s="14" t="e">
        <f>VLOOKUP(G62,'GAL-CUB'!$A:$H,9,FALSE)</f>
        <v>#N/A</v>
      </c>
      <c r="E62" s="14" t="e">
        <f>IFERROR(VLOOKUP(G62,'GAL-CUB'!$A:$D,4,FALSE),IFERROR(VLOOKUP(G62,ESCOLTAS!$A:$F,6,FALSE),VLOOKUP(G62,SAÍDAS!$A:$B,2,FALSE)))</f>
        <v>#N/A</v>
      </c>
      <c r="F62" s="50">
        <v>9</v>
      </c>
      <c r="G62" s="15" t="s">
        <v>631</v>
      </c>
    </row>
    <row r="63" spans="2:7" ht="14.25" thickTop="1" thickBot="1">
      <c r="B63" s="14" t="e">
        <f>VLOOKUP(G63,'GAL-CUB'!$A:$A,2,FALSE)</f>
        <v>#N/A</v>
      </c>
      <c r="C63" s="14" t="e">
        <f>VLOOKUP(G63,'GAL-CUB'!$A:$B,3,FALSE)</f>
        <v>#N/A</v>
      </c>
      <c r="D63" s="14" t="e">
        <f>VLOOKUP(G63,'GAL-CUB'!$A:$H,9,FALSE)</f>
        <v>#N/A</v>
      </c>
      <c r="E63" s="14" t="str">
        <f>IFERROR(VLOOKUP(G63,'GAL-CUB'!$A:$D,4,FALSE),IFERROR(VLOOKUP(G63,ESCOLTAS!$A:$F,6,FALSE),VLOOKUP(G63,SAÍDAS!$A:$B,2,FALSE)))</f>
        <v>LAPA</v>
      </c>
      <c r="F63" s="14">
        <v>10</v>
      </c>
      <c r="G63" s="15" t="s">
        <v>954</v>
      </c>
    </row>
    <row r="64" spans="2:7" ht="14.25" thickTop="1" thickBot="1">
      <c r="B64" s="14" t="e">
        <f>VLOOKUP(G64,'GAL-CUB'!$A:$A,2,FALSE)</f>
        <v>#N/A</v>
      </c>
      <c r="C64" s="14" t="e">
        <f>VLOOKUP(G64,'GAL-CUB'!$A:$B,3,FALSE)</f>
        <v>#N/A</v>
      </c>
      <c r="D64" s="14" t="e">
        <f>VLOOKUP(G64,'GAL-CUB'!$A:$H,9,FALSE)</f>
        <v>#N/A</v>
      </c>
      <c r="E64" s="14" t="str">
        <f>IFERROR(VLOOKUP(G64,'GAL-CUB'!$A:$D,4,FALSE),IFERROR(VLOOKUP(G64,ESCOLTAS!$A:$F,6,FALSE),VLOOKUP(G64,SAÍDAS!$A:$B,2,FALSE)))</f>
        <v>CRAPG</v>
      </c>
      <c r="F64" s="14">
        <v>11</v>
      </c>
      <c r="G64" s="16" t="s">
        <v>1800</v>
      </c>
    </row>
    <row r="65" spans="2:7" ht="14.25" thickTop="1" thickBot="1">
      <c r="B65" s="14" t="e">
        <f>VLOOKUP(G65,'GAL-CUB'!$A:$A,2,FALSE)</f>
        <v>#N/A</v>
      </c>
      <c r="C65" s="14" t="e">
        <f>VLOOKUP(G65,'GAL-CUB'!$A:$B,3,FALSE)</f>
        <v>#N/A</v>
      </c>
      <c r="D65" s="14" t="e">
        <f>VLOOKUP(G65,'GAL-CUB'!$A:$H,9,FALSE)</f>
        <v>#N/A</v>
      </c>
      <c r="E65" s="14" t="str">
        <f>IFERROR(VLOOKUP(G65,'GAL-CUB'!$A:$D,4,FALSE),IFERROR(VLOOKUP(G65,ESCOLTAS!$A:$F,6,FALSE),VLOOKUP(G65,SAÍDAS!$A:$B,2,FALSE)))</f>
        <v>CRAPG</v>
      </c>
      <c r="F65" s="14">
        <v>12</v>
      </c>
      <c r="G65" s="15" t="s">
        <v>1825</v>
      </c>
    </row>
    <row r="66" spans="2:7" ht="14.25" thickTop="1" thickBot="1">
      <c r="B66" s="84"/>
      <c r="C66" s="84"/>
      <c r="D66" s="84"/>
      <c r="E66" s="84"/>
      <c r="F66" s="84"/>
      <c r="G66" s="85"/>
    </row>
    <row r="67" spans="2:7" ht="14.25" thickTop="1" thickBot="1">
      <c r="B67" s="708" t="s">
        <v>1791</v>
      </c>
      <c r="C67" s="709"/>
      <c r="D67" s="709"/>
      <c r="E67" s="46" t="s">
        <v>1778</v>
      </c>
      <c r="F67" s="46"/>
      <c r="G67" s="27" t="str">
        <f ca="1">IF(WEEKDAY(B2,2)=3,"HOJE","QUARTA-FEIRA")</f>
        <v>QUARTA-FEIRA</v>
      </c>
    </row>
    <row r="68" spans="2:7" ht="14.25" thickTop="1" thickBot="1">
      <c r="B68" s="13" t="s">
        <v>812</v>
      </c>
      <c r="C68" s="13" t="s">
        <v>250</v>
      </c>
      <c r="D68" s="13" t="s">
        <v>435</v>
      </c>
      <c r="E68" s="13" t="s">
        <v>1178</v>
      </c>
      <c r="F68" s="13" t="s">
        <v>1802</v>
      </c>
      <c r="G68" s="13" t="s">
        <v>370</v>
      </c>
    </row>
    <row r="69" spans="2:7" ht="14.25" thickTop="1" thickBot="1">
      <c r="B69" s="14" t="e">
        <f>VLOOKUP(G69,'GAL-CUB'!$A:$A,2,FALSE)</f>
        <v>#N/A</v>
      </c>
      <c r="C69" s="14" t="e">
        <f>VLOOKUP(G69,'GAL-CUB'!$A:$B,3,FALSE)</f>
        <v>#N/A</v>
      </c>
      <c r="D69" s="14" t="e">
        <f>VLOOKUP(G69,'GAL-CUB'!$A:$H,9,FALSE)</f>
        <v>#N/A</v>
      </c>
      <c r="E69" s="14" t="e">
        <f>IFERROR(VLOOKUP(G69,'GAL-CUB'!$A:$D,4,FALSE),IFERROR(VLOOKUP(G69,ESCOLTAS!$A:$F,6,FALSE),VLOOKUP(G69,SAÍDAS!$A:$B,2,FALSE)))</f>
        <v>#N/A</v>
      </c>
      <c r="F69" s="14">
        <v>2</v>
      </c>
      <c r="G69" s="15" t="s">
        <v>823</v>
      </c>
    </row>
    <row r="70" spans="2:7" ht="14.25" thickTop="1" thickBot="1">
      <c r="B70" s="14" t="e">
        <f>VLOOKUP(G70,'GAL-CUB'!$A:$A,2,FALSE)</f>
        <v>#N/A</v>
      </c>
      <c r="C70" s="14" t="e">
        <f>VLOOKUP(G70,'GAL-CUB'!$A:$B,3,FALSE)</f>
        <v>#N/A</v>
      </c>
      <c r="D70" s="14" t="e">
        <f>VLOOKUP(G70,'GAL-CUB'!$A:$H,9,FALSE)</f>
        <v>#N/A</v>
      </c>
      <c r="E70" s="14" t="str">
        <f>IFERROR(VLOOKUP(G70,'GAL-CUB'!$A:$D,4,FALSE),IFERROR(VLOOKUP(G70,ESCOLTAS!$A:$F,6,FALSE),VLOOKUP(G70,SAÍDAS!$A:$B,2,FALSE)))</f>
        <v>CRAPG</v>
      </c>
      <c r="F70" s="14">
        <v>3</v>
      </c>
      <c r="G70" s="59" t="s">
        <v>1834</v>
      </c>
    </row>
    <row r="71" spans="2:7" ht="14.25" thickTop="1" thickBot="1">
      <c r="B71" s="14" t="e">
        <f>VLOOKUP(G71,'GAL-CUB'!$A:$A,2,FALSE)</f>
        <v>#N/A</v>
      </c>
      <c r="C71" s="14" t="e">
        <f>VLOOKUP(G71,'GAL-CUB'!$A:$B,3,FALSE)</f>
        <v>#N/A</v>
      </c>
      <c r="D71" s="14" t="e">
        <f>VLOOKUP(G71,'GAL-CUB'!$A:$H,9,FALSE)</f>
        <v>#N/A</v>
      </c>
      <c r="E71" s="14" t="e">
        <f>IFERROR(VLOOKUP(G71,'GAL-CUB'!$A:$D,4,FALSE),IFERROR(VLOOKUP(G71,ESCOLTAS!$A:$F,6,FALSE),VLOOKUP(G71,SAÍDAS!$A:$B,2,FALSE)))</f>
        <v>#N/A</v>
      </c>
      <c r="F71" s="14">
        <v>4</v>
      </c>
      <c r="G71" s="106" t="s">
        <v>2003</v>
      </c>
    </row>
    <row r="72" spans="2:7" ht="14.25" thickTop="1" thickBot="1">
      <c r="B72" s="14" t="e">
        <f>VLOOKUP(G72,'GAL-CUB'!$A:$A,2,FALSE)</f>
        <v>#N/A</v>
      </c>
      <c r="C72" s="14" t="e">
        <f>VLOOKUP(G72,'GAL-CUB'!$A:$B,3,FALSE)</f>
        <v>#N/A</v>
      </c>
      <c r="D72" s="14" t="e">
        <f>VLOOKUP(G72,'GAL-CUB'!$A:$H,9,FALSE)</f>
        <v>#N/A</v>
      </c>
      <c r="E72" s="14" t="e">
        <f>IFERROR(VLOOKUP(G72,'GAL-CUB'!$A:$D,4,FALSE),IFERROR(VLOOKUP(G72,ESCOLTAS!$A:$F,6,FALSE),VLOOKUP(G72,SAÍDAS!$A:$B,2,FALSE)))</f>
        <v>#N/A</v>
      </c>
      <c r="F72" s="14">
        <v>5</v>
      </c>
      <c r="G72" s="15" t="s">
        <v>269</v>
      </c>
    </row>
    <row r="73" spans="2:7" ht="14.25" thickTop="1" thickBot="1">
      <c r="B73" s="14" t="e">
        <f>VLOOKUP(G73,'GAL-CUB'!$A:$A,2,FALSE)</f>
        <v>#N/A</v>
      </c>
      <c r="C73" s="14" t="e">
        <f>VLOOKUP(G73,'GAL-CUB'!$A:$B,3,FALSE)</f>
        <v>#N/A</v>
      </c>
      <c r="D73" s="14" t="e">
        <f>VLOOKUP(G73,'GAL-CUB'!$A:$H,9,FALSE)</f>
        <v>#N/A</v>
      </c>
      <c r="E73" s="14" t="str">
        <f>IFERROR(VLOOKUP(G73,'GAL-CUB'!$A:$D,4,FALSE),IFERROR(VLOOKUP(G73,ESCOLTAS!$A:$F,6,FALSE),VLOOKUP(G73,SAÍDAS!$A:$B,2,FALSE)))</f>
        <v>TORNOZELEIRA</v>
      </c>
      <c r="F73" s="14">
        <v>6</v>
      </c>
      <c r="G73" s="16" t="s">
        <v>1627</v>
      </c>
    </row>
    <row r="74" spans="2:7" ht="14.25" thickTop="1" thickBot="1">
      <c r="B74" s="14" t="e">
        <f>VLOOKUP(G74,'GAL-CUB'!$A:$A,2,FALSE)</f>
        <v>#N/A</v>
      </c>
      <c r="C74" s="14" t="e">
        <f>VLOOKUP(G74,'GAL-CUB'!$A:$B,3,FALSE)</f>
        <v>#N/A</v>
      </c>
      <c r="D74" s="14" t="e">
        <f>VLOOKUP(G74,'GAL-CUB'!$A:$H,9,FALSE)</f>
        <v>#N/A</v>
      </c>
      <c r="E74" s="14" t="e">
        <f>IFERROR(VLOOKUP(G74,'GAL-CUB'!$A:$D,4,FALSE),IFERROR(VLOOKUP(G74,ESCOLTAS!$A:$F,6,FALSE),VLOOKUP(G74,SAÍDAS!$A:$B,2,FALSE)))</f>
        <v>#N/A</v>
      </c>
      <c r="F74" s="14">
        <v>7</v>
      </c>
      <c r="G74" s="15" t="s">
        <v>1414</v>
      </c>
    </row>
    <row r="75" spans="2:7" ht="14.25" thickTop="1" thickBot="1">
      <c r="B75" s="14" t="e">
        <f>VLOOKUP(G75,'GAL-CUB'!$A:$A,2,FALSE)</f>
        <v>#N/A</v>
      </c>
      <c r="C75" s="14" t="e">
        <f>VLOOKUP(G75,'GAL-CUB'!$A:$B,3,FALSE)</f>
        <v>#N/A</v>
      </c>
      <c r="D75" s="14" t="e">
        <f>VLOOKUP(G75,'GAL-CUB'!$A:$H,9,FALSE)</f>
        <v>#N/A</v>
      </c>
      <c r="E75" s="14" t="str">
        <f>IFERROR(VLOOKUP(G75,'GAL-CUB'!$A:$D,4,FALSE),IFERROR(VLOOKUP(G75,ESCOLTAS!$A:$F,6,FALSE),VLOOKUP(G75,SAÍDAS!$A:$B,2,FALSE)))</f>
        <v>CCP</v>
      </c>
      <c r="F75" s="14">
        <v>8</v>
      </c>
      <c r="G75" s="15" t="s">
        <v>1827</v>
      </c>
    </row>
    <row r="76" spans="2:7" ht="14.25" thickTop="1" thickBot="1">
      <c r="B76" s="14" t="e">
        <f>VLOOKUP(G76,'GAL-CUB'!$A:$A,2,FALSE)</f>
        <v>#N/A</v>
      </c>
      <c r="C76" s="14" t="e">
        <f>VLOOKUP(G76,'GAL-CUB'!$A:$B,3,FALSE)</f>
        <v>#N/A</v>
      </c>
      <c r="D76" s="14" t="e">
        <f>VLOOKUP(G76,'GAL-CUB'!$A:$H,9,FALSE)</f>
        <v>#N/A</v>
      </c>
      <c r="E76" s="14" t="e">
        <f>IFERROR(VLOOKUP(G76,'GAL-CUB'!$A:$D,4,FALSE),IFERROR(VLOOKUP(G76,ESCOLTAS!$A:$F,6,FALSE),VLOOKUP(G76,SAÍDAS!$A:$B,2,FALSE)))</f>
        <v>#N/A</v>
      </c>
      <c r="F76" s="14">
        <v>9</v>
      </c>
      <c r="G76" s="106" t="s">
        <v>1768</v>
      </c>
    </row>
    <row r="77" spans="2:7" ht="14.25" thickTop="1" thickBot="1">
      <c r="B77" s="14" t="e">
        <f>VLOOKUP(G77,'GAL-CUB'!$A:$A,2,FALSE)</f>
        <v>#N/A</v>
      </c>
      <c r="C77" s="14" t="e">
        <f>VLOOKUP(G77,'GAL-CUB'!$A:$B,3,FALSE)</f>
        <v>#N/A</v>
      </c>
      <c r="D77" s="14" t="e">
        <f>VLOOKUP(G77,'GAL-CUB'!$A:$H,9,FALSE)</f>
        <v>#N/A</v>
      </c>
      <c r="E77" s="14" t="e">
        <f>IFERROR(VLOOKUP(G77,'GAL-CUB'!$A:$D,4,FALSE),IFERROR(VLOOKUP(G77,ESCOLTAS!$A:$F,6,FALSE),VLOOKUP(G77,SAÍDAS!$A:$B,2,FALSE)))</f>
        <v>#N/A</v>
      </c>
      <c r="F77" s="14">
        <v>10</v>
      </c>
      <c r="G77" s="100" t="s">
        <v>1956</v>
      </c>
    </row>
    <row r="78" spans="2:7" ht="14.25" thickTop="1" thickBot="1">
      <c r="B78" s="14" t="e">
        <f>VLOOKUP(G78,'GAL-CUB'!$A:$A,2,FALSE)</f>
        <v>#N/A</v>
      </c>
      <c r="C78" s="14" t="e">
        <f>VLOOKUP(G78,'GAL-CUB'!$A:$B,3,FALSE)</f>
        <v>#N/A</v>
      </c>
      <c r="D78" s="14" t="e">
        <f>VLOOKUP(G78,'GAL-CUB'!$A:$H,9,FALSE)</f>
        <v>#N/A</v>
      </c>
      <c r="E78" s="14" t="e">
        <f>IFERROR(VLOOKUP(G78,'GAL-CUB'!$A:$D,4,FALSE),IFERROR(VLOOKUP(G78,ESCOLTAS!$A:$F,6,FALSE),VLOOKUP(G78,SAÍDAS!$A:$B,2,FALSE)))</f>
        <v>#N/A</v>
      </c>
      <c r="F78" s="14">
        <v>11</v>
      </c>
      <c r="G78" s="15" t="s">
        <v>1857</v>
      </c>
    </row>
    <row r="79" spans="2:7" ht="14.25" thickTop="1" thickBot="1">
      <c r="B79" s="14" t="e">
        <f>VLOOKUP(G79,'GAL-CUB'!$A:$A,2,FALSE)</f>
        <v>#N/A</v>
      </c>
      <c r="C79" s="14" t="e">
        <f>VLOOKUP(G79,'GAL-CUB'!$A:$B,3,FALSE)</f>
        <v>#N/A</v>
      </c>
      <c r="D79" s="14" t="e">
        <f>VLOOKUP(G79,'GAL-CUB'!$A:$H,9,FALSE)</f>
        <v>#N/A</v>
      </c>
      <c r="E79" s="14" t="e">
        <f>IFERROR(VLOOKUP(G79,'GAL-CUB'!$A:$D,4,FALSE),IFERROR(VLOOKUP(G79,ESCOLTAS!$A:$F,6,FALSE),VLOOKUP(G79,SAÍDAS!$A:$B,2,FALSE)))</f>
        <v>#N/A</v>
      </c>
      <c r="F79" s="14">
        <v>12</v>
      </c>
      <c r="G79" s="15" t="s">
        <v>1718</v>
      </c>
    </row>
    <row r="80" spans="2:7" ht="13.5" thickTop="1"/>
    <row r="81" spans="2:9">
      <c r="B81" s="710" t="s">
        <v>1781</v>
      </c>
      <c r="C81" s="710"/>
      <c r="D81" s="710"/>
      <c r="E81" s="710"/>
      <c r="F81" s="710"/>
      <c r="G81" s="710"/>
    </row>
    <row r="82" spans="2:9">
      <c r="B82" s="710"/>
      <c r="C82" s="710"/>
      <c r="D82" s="710"/>
      <c r="E82" s="710"/>
      <c r="F82" s="710"/>
      <c r="G82" s="710"/>
    </row>
    <row r="83" spans="2:9" ht="13.5" thickBot="1"/>
    <row r="84" spans="2:9" ht="14.25" thickTop="1" thickBot="1">
      <c r="B84" s="708" t="str">
        <f>SEGUNDA!B70</f>
        <v>EDUARDO</v>
      </c>
      <c r="C84" s="709"/>
      <c r="D84" s="709"/>
      <c r="E84" s="46"/>
      <c r="F84" s="46"/>
      <c r="G84" s="27" t="str">
        <f ca="1">IF(WEEKDAY(B2,2)=3,"HOJE","QUARTA-FEIRA")</f>
        <v>QUARTA-FEIRA</v>
      </c>
    </row>
    <row r="85" spans="2:9" ht="14.25" thickTop="1" thickBot="1">
      <c r="B85" s="13" t="s">
        <v>812</v>
      </c>
      <c r="C85" s="13" t="s">
        <v>250</v>
      </c>
      <c r="D85" s="13" t="s">
        <v>435</v>
      </c>
      <c r="E85" s="13" t="s">
        <v>1178</v>
      </c>
      <c r="F85" s="13" t="s">
        <v>1802</v>
      </c>
      <c r="G85" s="13" t="s">
        <v>370</v>
      </c>
    </row>
    <row r="86" spans="2:9" ht="14.25" thickTop="1" thickBot="1">
      <c r="B86" s="14" t="e">
        <f>VLOOKUP(G86,'GAL-CUB'!$A:$A,2,FALSE)</f>
        <v>#N/A</v>
      </c>
      <c r="C86" s="14" t="e">
        <f>VLOOKUP(G86,'GAL-CUB'!$A:$B,3,FALSE)</f>
        <v>#N/A</v>
      </c>
      <c r="D86" s="14" t="e">
        <f>VLOOKUP(G86,'GAL-CUB'!$A:$H,9,FALSE)</f>
        <v>#N/A</v>
      </c>
      <c r="E86" s="14" t="str">
        <f>IFERROR(VLOOKUP(G86,'GAL-CUB'!$A:$D,4,FALSE),IFERROR(VLOOKUP(G86,ESCOLTAS!$A:$F,6,FALSE),VLOOKUP(G86,SAÍDAS!$A:$B,2,FALSE)))</f>
        <v>CRAPG</v>
      </c>
      <c r="F86" s="14">
        <v>1</v>
      </c>
      <c r="G86" s="15" t="str">
        <f>SEGUNDA!G72</f>
        <v>ANTONIO GUEDES RODRIGUES</v>
      </c>
    </row>
    <row r="87" spans="2:9" ht="14.25" thickTop="1" thickBot="1">
      <c r="B87" s="14" t="e">
        <f>VLOOKUP(G87,'GAL-CUB'!$A:$A,2,FALSE)</f>
        <v>#N/A</v>
      </c>
      <c r="C87" s="14" t="e">
        <f>VLOOKUP(G87,'GAL-CUB'!$A:$B,3,FALSE)</f>
        <v>#N/A</v>
      </c>
      <c r="D87" s="14" t="e">
        <f>VLOOKUP(G87,'GAL-CUB'!$A:$H,9,FALSE)</f>
        <v>#N/A</v>
      </c>
      <c r="E87" s="14" t="e">
        <f>IFERROR(VLOOKUP(G87,'GAL-CUB'!$A:$D,4,FALSE),IFERROR(VLOOKUP(G87,ESCOLTAS!$A:$F,6,FALSE),VLOOKUP(G87,SAÍDAS!$A:$B,2,FALSE)))</f>
        <v>#N/A</v>
      </c>
      <c r="F87" s="14">
        <v>2</v>
      </c>
      <c r="G87" s="15" t="str">
        <f>SEGUNDA!G73</f>
        <v>CLEVERSON GONÇALVES DA SILVA (Fantasma / Pequeno)</v>
      </c>
      <c r="I87" s="15"/>
    </row>
    <row r="88" spans="2:9" ht="14.25" thickTop="1" thickBot="1">
      <c r="B88" s="14" t="e">
        <f>VLOOKUP(G88,'GAL-CUB'!$A:$A,2,FALSE)</f>
        <v>#N/A</v>
      </c>
      <c r="C88" s="14" t="e">
        <f>VLOOKUP(G88,'GAL-CUB'!$A:$B,3,FALSE)</f>
        <v>#N/A</v>
      </c>
      <c r="D88" s="14" t="e">
        <f>VLOOKUP(G88,'GAL-CUB'!$A:$H,9,FALSE)</f>
        <v>#N/A</v>
      </c>
      <c r="E88" s="14" t="e">
        <f>IFERROR(VLOOKUP(G88,'GAL-CUB'!$A:$D,4,FALSE),IFERROR(VLOOKUP(G88,ESCOLTAS!$A:$F,6,FALSE),VLOOKUP(G88,SAÍDAS!$A:$B,2,FALSE)))</f>
        <v>#N/A</v>
      </c>
      <c r="F88" s="14">
        <v>3</v>
      </c>
      <c r="G88" s="15" t="str">
        <f>SEGUNDA!G74</f>
        <v>CLODOALDO RIBEIRO</v>
      </c>
    </row>
    <row r="89" spans="2:9" ht="14.25" thickTop="1" thickBot="1">
      <c r="B89" s="14" t="e">
        <f>VLOOKUP(G89,'GAL-CUB'!$A:$A,2,FALSE)</f>
        <v>#N/A</v>
      </c>
      <c r="C89" s="14" t="e">
        <f>VLOOKUP(G89,'GAL-CUB'!$A:$B,3,FALSE)</f>
        <v>#N/A</v>
      </c>
      <c r="D89" s="14" t="e">
        <f>VLOOKUP(G89,'GAL-CUB'!$A:$H,9,FALSE)</f>
        <v>#N/A</v>
      </c>
      <c r="E89" s="14" t="e">
        <f>IFERROR(VLOOKUP(G89,'GAL-CUB'!$A:$D,4,FALSE),IFERROR(VLOOKUP(G89,ESCOLTAS!$A:$F,6,FALSE),VLOOKUP(G89,SAÍDAS!$A:$B,2,FALSE)))</f>
        <v>#N/A</v>
      </c>
      <c r="F89" s="14">
        <v>4</v>
      </c>
      <c r="G89" s="15" t="str">
        <f>SEGUNDA!G75</f>
        <v>EDSON LUIZ SCHUCK</v>
      </c>
    </row>
    <row r="90" spans="2:9" ht="14.25" thickTop="1" thickBot="1">
      <c r="B90" s="14" t="e">
        <f>VLOOKUP(G90,'GAL-CUB'!$A:$A,2,FALSE)</f>
        <v>#N/A</v>
      </c>
      <c r="C90" s="14" t="e">
        <f>VLOOKUP(G90,'GAL-CUB'!$A:$B,3,FALSE)</f>
        <v>#N/A</v>
      </c>
      <c r="D90" s="14" t="e">
        <f>VLOOKUP(G90,'GAL-CUB'!$A:$H,9,FALSE)</f>
        <v>#N/A</v>
      </c>
      <c r="E90" s="14" t="str">
        <f>IFERROR(VLOOKUP(G90,'GAL-CUB'!$A:$D,4,FALSE),IFERROR(VLOOKUP(G90,ESCOLTAS!$A:$F,6,FALSE),VLOOKUP(G90,SAÍDAS!$A:$B,2,FALSE)))</f>
        <v>Bonde CTBA</v>
      </c>
      <c r="F90" s="14">
        <v>5</v>
      </c>
      <c r="G90" s="15" t="str">
        <f>SEGUNDA!G76</f>
        <v>EMERSON CHACARSKI</v>
      </c>
    </row>
    <row r="91" spans="2:9" ht="14.25" thickTop="1" thickBot="1">
      <c r="B91" s="14" t="e">
        <f>VLOOKUP(G91,'GAL-CUB'!$A:$A,2,FALSE)</f>
        <v>#N/A</v>
      </c>
      <c r="C91" s="14" t="e">
        <f>VLOOKUP(G91,'GAL-CUB'!$A:$B,3,FALSE)</f>
        <v>#N/A</v>
      </c>
      <c r="D91" s="14" t="e">
        <f>VLOOKUP(G91,'GAL-CUB'!$A:$H,9,FALSE)</f>
        <v>#N/A</v>
      </c>
      <c r="E91" s="14" t="str">
        <f>IFERROR(VLOOKUP(G91,'GAL-CUB'!$A:$D,4,FALSE),IFERROR(VLOOKUP(G91,ESCOLTAS!$A:$F,6,FALSE),VLOOKUP(G91,SAÍDAS!$A:$B,2,FALSE)))</f>
        <v>CRAPG</v>
      </c>
      <c r="F91" s="14">
        <v>6</v>
      </c>
      <c r="G91" s="15" t="str">
        <f>SEGUNDA!G77</f>
        <v>JEAN CARLOS OLIVEIRA PINTO</v>
      </c>
    </row>
    <row r="92" spans="2:9" ht="14.25" thickTop="1" thickBot="1">
      <c r="B92" s="14" t="e">
        <f>VLOOKUP(G92,'GAL-CUB'!$A:$A,2,FALSE)</f>
        <v>#N/A</v>
      </c>
      <c r="C92" s="14" t="e">
        <f>VLOOKUP(G92,'GAL-CUB'!$A:$B,3,FALSE)</f>
        <v>#N/A</v>
      </c>
      <c r="D92" s="14" t="e">
        <f>VLOOKUP(G92,'GAL-CUB'!$A:$H,9,FALSE)</f>
        <v>#N/A</v>
      </c>
      <c r="E92" s="14" t="e">
        <f>IFERROR(VLOOKUP(G92,'GAL-CUB'!$A:$D,4,FALSE),IFERROR(VLOOKUP(G92,ESCOLTAS!$A:$F,6,FALSE),VLOOKUP(G92,SAÍDAS!$A:$B,2,FALSE)))</f>
        <v>#N/A</v>
      </c>
      <c r="F92" s="14">
        <v>7</v>
      </c>
      <c r="G92" s="15" t="str">
        <f>SEGUNDA!G78</f>
        <v>MAICON HENRIQUE CORREIA (Sabiá)</v>
      </c>
    </row>
    <row r="93" spans="2:9" ht="14.25" thickTop="1" thickBot="1">
      <c r="B93" s="14" t="e">
        <f>VLOOKUP(G93,'GAL-CUB'!$A:$A,2,FALSE)</f>
        <v>#N/A</v>
      </c>
      <c r="C93" s="14" t="e">
        <f>VLOOKUP(G93,'GAL-CUB'!$A:$B,3,FALSE)</f>
        <v>#N/A</v>
      </c>
      <c r="D93" s="14" t="e">
        <f>VLOOKUP(G93,'GAL-CUB'!$A:$H,9,FALSE)</f>
        <v>#N/A</v>
      </c>
      <c r="E93" s="14" t="str">
        <f>IFERROR(VLOOKUP(G93,'GAL-CUB'!$A:$D,4,FALSE),IFERROR(VLOOKUP(G93,ESCOLTAS!$A:$F,6,FALSE),VLOOKUP(G93,SAÍDAS!$A:$B,2,FALSE)))</f>
        <v>CRAPG</v>
      </c>
      <c r="F93" s="14">
        <v>8</v>
      </c>
      <c r="G93" s="15" t="str">
        <f>SEGUNDA!G79</f>
        <v>MARCOS WILLIAN SANTOS DA SILVA (Marquinhos)</v>
      </c>
    </row>
    <row r="94" spans="2:9" ht="14.25" thickTop="1" thickBot="1">
      <c r="B94" s="14" t="e">
        <f>VLOOKUP(G94,'GAL-CUB'!$A:$A,2,FALSE)</f>
        <v>#N/A</v>
      </c>
      <c r="C94" s="14" t="e">
        <f>VLOOKUP(G94,'GAL-CUB'!$A:$B,3,FALSE)</f>
        <v>#N/A</v>
      </c>
      <c r="D94" s="14" t="e">
        <f>VLOOKUP(G94,'GAL-CUB'!$A:$H,9,FALSE)</f>
        <v>#N/A</v>
      </c>
      <c r="E94" s="14" t="e">
        <f>IFERROR(VLOOKUP(G94,'GAL-CUB'!$A:$D,4,FALSE),IFERROR(VLOOKUP(G94,ESCOLTAS!$A:$F,6,FALSE),VLOOKUP(G94,SAÍDAS!$A:$B,2,FALSE)))</f>
        <v>#N/A</v>
      </c>
      <c r="F94" s="14">
        <v>9</v>
      </c>
      <c r="G94" s="15" t="str">
        <f>SEGUNDA!G80</f>
        <v>WILLIAN EDUARDO STARKE</v>
      </c>
    </row>
    <row r="95" spans="2:9" ht="14.25" thickTop="1" thickBot="1">
      <c r="B95" s="14" t="e">
        <f>VLOOKUP(G95,'GAL-CUB'!$A:$A,2,FALSE)</f>
        <v>#N/A</v>
      </c>
      <c r="C95" s="14" t="e">
        <f>VLOOKUP(G95,'GAL-CUB'!$A:$B,3,FALSE)</f>
        <v>#N/A</v>
      </c>
      <c r="D95" s="14" t="e">
        <f>VLOOKUP(G95,'GAL-CUB'!$A:$H,9,FALSE)</f>
        <v>#N/A</v>
      </c>
      <c r="E95" s="14" t="str">
        <f>IFERROR(VLOOKUP(G95,'GAL-CUB'!$A:$D,4,FALSE),IFERROR(VLOOKUP(G95,ESCOLTAS!$A:$F,6,FALSE),VLOOKUP(G95,SAÍDAS!$A:$B,2,FALSE)))</f>
        <v>CRAPG</v>
      </c>
      <c r="F95" s="14">
        <v>10</v>
      </c>
      <c r="G95" s="15" t="str">
        <f>SEGUNDA!G81</f>
        <v>ILTON MAYCON PEREIRA DOS SANTOS</v>
      </c>
    </row>
    <row r="96" spans="2:9" ht="14.25" thickTop="1" thickBot="1">
      <c r="B96" s="14" t="e">
        <f>VLOOKUP(G96,'GAL-CUB'!$A:$A,2,FALSE)</f>
        <v>#N/A</v>
      </c>
      <c r="C96" s="14" t="e">
        <f>VLOOKUP(G96,'GAL-CUB'!$A:$B,3,FALSE)</f>
        <v>#N/A</v>
      </c>
      <c r="D96" s="14" t="e">
        <f>VLOOKUP(G96,'GAL-CUB'!$A:$H,9,FALSE)</f>
        <v>#N/A</v>
      </c>
      <c r="E96" s="14" t="str">
        <f>IFERROR(VLOOKUP(G96,'GAL-CUB'!$A:$D,4,FALSE),IFERROR(VLOOKUP(G96,ESCOLTAS!$A:$F,6,FALSE),VLOOKUP(G96,SAÍDAS!$A:$B,2,FALSE)))</f>
        <v>CRAPG</v>
      </c>
      <c r="F96" s="14">
        <v>11</v>
      </c>
      <c r="G96" s="15" t="str">
        <f>SEGUNDA!G82</f>
        <v>RODRIGO CARVALHO SILVA REIS</v>
      </c>
    </row>
    <row r="97" spans="2:7" ht="14.25" thickTop="1" thickBot="1">
      <c r="B97" s="14" t="e">
        <f>VLOOKUP(G97,'GAL-CUB'!$A:$A,2,FALSE)</f>
        <v>#N/A</v>
      </c>
      <c r="C97" s="14" t="e">
        <f>VLOOKUP(G97,'GAL-CUB'!$A:$B,3,FALSE)</f>
        <v>#N/A</v>
      </c>
      <c r="D97" s="14" t="e">
        <f>VLOOKUP(G97,'GAL-CUB'!$A:$H,9,FALSE)</f>
        <v>#N/A</v>
      </c>
      <c r="E97" s="14" t="str">
        <f>IFERROR(VLOOKUP(G97,'GAL-CUB'!$A:$D,4,FALSE),IFERROR(VLOOKUP(G97,ESCOLTAS!$A:$F,6,FALSE),VLOOKUP(G97,SAÍDAS!$A:$B,2,FALSE)))</f>
        <v>CRAPG</v>
      </c>
      <c r="F97" s="14">
        <v>12</v>
      </c>
      <c r="G97" s="15" t="str">
        <f>SEGUNDA!G83</f>
        <v>TIAGO PODAN</v>
      </c>
    </row>
    <row r="98" spans="2:7" ht="14.25" thickTop="1" thickBot="1"/>
    <row r="99" spans="2:7" ht="14.25" thickTop="1" thickBot="1">
      <c r="B99" s="708" t="str">
        <f>SEGUNDA!B85</f>
        <v>ROSALBA</v>
      </c>
      <c r="C99" s="709"/>
      <c r="D99" s="709"/>
      <c r="E99" s="46" t="str">
        <f>SEGUNDA!E85</f>
        <v>OK</v>
      </c>
      <c r="F99" s="46"/>
      <c r="G99" s="27" t="str">
        <f ca="1">IF(WEEKDAY(B2,2)=3,"HOJE","QUARTA-FEIRA")</f>
        <v>QUARTA-FEIRA</v>
      </c>
    </row>
    <row r="100" spans="2:7" ht="14.25" thickTop="1" thickBot="1">
      <c r="B100" s="13" t="s">
        <v>812</v>
      </c>
      <c r="C100" s="13" t="s">
        <v>250</v>
      </c>
      <c r="D100" s="13" t="s">
        <v>435</v>
      </c>
      <c r="E100" s="13" t="s">
        <v>1178</v>
      </c>
      <c r="F100" s="13" t="s">
        <v>1802</v>
      </c>
      <c r="G100" s="13" t="s">
        <v>370</v>
      </c>
    </row>
    <row r="101" spans="2:7" ht="14.25" thickTop="1" thickBot="1">
      <c r="B101" s="14" t="e">
        <f>VLOOKUP(G101,'GAL-CUB'!$A:$A,2,FALSE)</f>
        <v>#N/A</v>
      </c>
      <c r="C101" s="14" t="e">
        <f>VLOOKUP(G101,'GAL-CUB'!$A:$B,3,FALSE)</f>
        <v>#N/A</v>
      </c>
      <c r="D101" s="14" t="e">
        <f>VLOOKUP(G101,'GAL-CUB'!$A:$H,9,FALSE)</f>
        <v>#N/A</v>
      </c>
      <c r="E101" s="14" t="str">
        <f>IFERROR(VLOOKUP(G101,'GAL-CUB'!$A:$D,4,FALSE),IFERROR(VLOOKUP(G101,ESCOLTAS!$A:$F,6,FALSE),VLOOKUP(G101,SAÍDAS!$A:$B,2,FALSE)))</f>
        <v>CRAPG</v>
      </c>
      <c r="F101" s="14">
        <v>1</v>
      </c>
      <c r="G101" s="18" t="str">
        <f>SEGUNDA!G87</f>
        <v>ADILSON TEIXEIRA</v>
      </c>
    </row>
    <row r="102" spans="2:7" ht="14.25" thickTop="1" thickBot="1">
      <c r="B102" s="14" t="e">
        <f>VLOOKUP(G102,'GAL-CUB'!$A:$A,2,FALSE)</f>
        <v>#N/A</v>
      </c>
      <c r="C102" s="14" t="e">
        <f>VLOOKUP(G102,'GAL-CUB'!$A:$B,3,FALSE)</f>
        <v>#N/A</v>
      </c>
      <c r="D102" s="14" t="e">
        <f>VLOOKUP(G102,'GAL-CUB'!$A:$H,9,FALSE)</f>
        <v>#N/A</v>
      </c>
      <c r="E102" s="14" t="str">
        <f>IFERROR(VLOOKUP(G102,'GAL-CUB'!$A:$D,4,FALSE),IFERROR(VLOOKUP(G102,ESCOLTAS!$A:$F,6,FALSE),VLOOKUP(G102,SAÍDAS!$A:$B,2,FALSE)))</f>
        <v>UP</v>
      </c>
      <c r="F102" s="14">
        <v>2</v>
      </c>
      <c r="G102" s="18" t="str">
        <f>SEGUNDA!G88</f>
        <v>AMADEU FRANCISCO RIBAS</v>
      </c>
    </row>
    <row r="103" spans="2:7" ht="14.25" thickTop="1" thickBot="1">
      <c r="B103" s="14" t="e">
        <f>VLOOKUP(G103,'GAL-CUB'!$A:$A,2,FALSE)</f>
        <v>#N/A</v>
      </c>
      <c r="C103" s="14" t="e">
        <f>VLOOKUP(G103,'GAL-CUB'!$A:$B,3,FALSE)</f>
        <v>#N/A</v>
      </c>
      <c r="D103" s="14" t="e">
        <f>VLOOKUP(G103,'GAL-CUB'!$A:$H,9,FALSE)</f>
        <v>#N/A</v>
      </c>
      <c r="E103" s="14" t="e">
        <f>IFERROR(VLOOKUP(G103,'GAL-CUB'!$A:$D,4,FALSE),IFERROR(VLOOKUP(G103,ESCOLTAS!$A:$F,6,FALSE),VLOOKUP(G103,SAÍDAS!$A:$B,2,FALSE)))</f>
        <v>#N/A</v>
      </c>
      <c r="F103" s="14">
        <v>3</v>
      </c>
      <c r="G103" s="18" t="str">
        <f>SEGUNDA!G89</f>
        <v xml:space="preserve">EDSON BATISTA DOS SANTOS </v>
      </c>
    </row>
    <row r="104" spans="2:7" ht="14.25" thickTop="1" thickBot="1">
      <c r="B104" s="14" t="e">
        <f>VLOOKUP(G104,'GAL-CUB'!$A:$A,2,FALSE)</f>
        <v>#N/A</v>
      </c>
      <c r="C104" s="14" t="e">
        <f>VLOOKUP(G104,'GAL-CUB'!$A:$B,3,FALSE)</f>
        <v>#N/A</v>
      </c>
      <c r="D104" s="14" t="e">
        <f>VLOOKUP(G104,'GAL-CUB'!$A:$H,9,FALSE)</f>
        <v>#N/A</v>
      </c>
      <c r="E104" s="14" t="str">
        <f>IFERROR(VLOOKUP(G104,'GAL-CUB'!$A:$D,4,FALSE),IFERROR(VLOOKUP(G104,ESCOLTAS!$A:$F,6,FALSE),VLOOKUP(G104,SAÍDAS!$A:$B,2,FALSE)))</f>
        <v>Bonde CTBA</v>
      </c>
      <c r="F104" s="14">
        <v>4</v>
      </c>
      <c r="G104" s="18" t="str">
        <f>SEGUNDA!G90</f>
        <v>EMERSON CHACARSKI</v>
      </c>
    </row>
    <row r="105" spans="2:7" ht="14.25" thickTop="1" thickBot="1">
      <c r="B105" s="14" t="e">
        <f>VLOOKUP(G105,'GAL-CUB'!$A:$A,2,FALSE)</f>
        <v>#N/A</v>
      </c>
      <c r="C105" s="14" t="e">
        <f>VLOOKUP(G105,'GAL-CUB'!$A:$B,3,FALSE)</f>
        <v>#N/A</v>
      </c>
      <c r="D105" s="14" t="e">
        <f>VLOOKUP(G105,'GAL-CUB'!$A:$H,9,FALSE)</f>
        <v>#N/A</v>
      </c>
      <c r="E105" s="14" t="e">
        <f>IFERROR(VLOOKUP(G105,'GAL-CUB'!$A:$D,4,FALSE),IFERROR(VLOOKUP(G105,ESCOLTAS!$A:$F,6,FALSE),VLOOKUP(G105,SAÍDAS!$A:$B,2,FALSE)))</f>
        <v>#N/A</v>
      </c>
      <c r="F105" s="14">
        <v>5</v>
      </c>
      <c r="G105" s="18" t="str">
        <f>SEGUNDA!G91</f>
        <v>EVERSON LUIS DE LIMA (Chuck)</v>
      </c>
    </row>
    <row r="106" spans="2:7" s="96" customFormat="1" ht="14.25" thickTop="1" thickBot="1">
      <c r="B106" s="14" t="e">
        <f>VLOOKUP(G106,'GAL-CUB'!$A:$A,2,FALSE)</f>
        <v>#N/A</v>
      </c>
      <c r="C106" s="14" t="e">
        <f>VLOOKUP(G106,'GAL-CUB'!$A:$B,3,FALSE)</f>
        <v>#N/A</v>
      </c>
      <c r="D106" s="14" t="e">
        <f>VLOOKUP(G106,'GAL-CUB'!$A:$H,9,FALSE)</f>
        <v>#N/A</v>
      </c>
      <c r="E106" s="14" t="e">
        <f>IFERROR(VLOOKUP(G106,'GAL-CUB'!$A:$D,4,FALSE),IFERROR(VLOOKUP(G106,ESCOLTAS!$A:$F,6,FALSE),VLOOKUP(G106,SAÍDAS!$A:$B,2,FALSE)))</f>
        <v>#N/A</v>
      </c>
      <c r="F106" s="14">
        <v>5</v>
      </c>
      <c r="G106" s="18" t="str">
        <f>SEGUNDA!G92</f>
        <v>FLAVIO DE JESUS MAZEIKA VAZ</v>
      </c>
    </row>
    <row r="107" spans="2:7" ht="14.25" thickTop="1" thickBot="1">
      <c r="B107" s="14" t="e">
        <f>VLOOKUP(G107,'GAL-CUB'!$A:$A,2,FALSE)</f>
        <v>#N/A</v>
      </c>
      <c r="C107" s="14" t="e">
        <f>VLOOKUP(G107,'GAL-CUB'!$A:$B,3,FALSE)</f>
        <v>#N/A</v>
      </c>
      <c r="D107" s="14" t="e">
        <f>VLOOKUP(G107,'GAL-CUB'!$A:$H,9,FALSE)</f>
        <v>#N/A</v>
      </c>
      <c r="E107" s="14" t="str">
        <f>IFERROR(VLOOKUP(G107,'GAL-CUB'!$A:$D,4,FALSE),IFERROR(VLOOKUP(G107,ESCOLTAS!$A:$F,6,FALSE),VLOOKUP(G107,SAÍDAS!$A:$B,2,FALSE)))</f>
        <v>CRAPG</v>
      </c>
      <c r="F107" s="14">
        <v>6</v>
      </c>
      <c r="G107" s="18" t="str">
        <f>SEGUNDA!G93</f>
        <v>MAIKON RODRIGUES DE CARVALHO</v>
      </c>
    </row>
    <row r="108" spans="2:7" ht="14.25" thickTop="1" thickBot="1">
      <c r="B108" s="14" t="e">
        <f>VLOOKUP(G108,'GAL-CUB'!$A:$A,2,FALSE)</f>
        <v>#N/A</v>
      </c>
      <c r="C108" s="14" t="e">
        <f>VLOOKUP(G108,'GAL-CUB'!$A:$B,3,FALSE)</f>
        <v>#N/A</v>
      </c>
      <c r="D108" s="14" t="e">
        <f>VLOOKUP(G108,'GAL-CUB'!$A:$H,9,FALSE)</f>
        <v>#N/A</v>
      </c>
      <c r="E108" s="14" t="e">
        <f>IFERROR(VLOOKUP(G108,'GAL-CUB'!$A:$D,4,FALSE),IFERROR(VLOOKUP(G108,ESCOLTAS!$A:$F,6,FALSE),VLOOKUP(G108,SAÍDAS!$A:$B,2,FALSE)))</f>
        <v>#N/A</v>
      </c>
      <c r="F108" s="14">
        <v>7</v>
      </c>
      <c r="G108" s="18" t="str">
        <f>SEGUNDA!G94</f>
        <v>MAURO DOS SANTOS (Índio)</v>
      </c>
    </row>
    <row r="109" spans="2:7" s="96" customFormat="1" ht="14.25" thickTop="1" thickBot="1">
      <c r="B109" s="14" t="e">
        <f>VLOOKUP(G109,'GAL-CUB'!$A:$A,2,FALSE)</f>
        <v>#N/A</v>
      </c>
      <c r="C109" s="14" t="e">
        <f>VLOOKUP(G109,'GAL-CUB'!$A:$B,3,FALSE)</f>
        <v>#N/A</v>
      </c>
      <c r="D109" s="14" t="e">
        <f>VLOOKUP(G109,'GAL-CUB'!$A:$H,9,FALSE)</f>
        <v>#N/A</v>
      </c>
      <c r="E109" s="14">
        <f>IFERROR(VLOOKUP(G109,'GAL-CUB'!$A:$D,4,FALSE),IFERROR(VLOOKUP(G109,ESCOLTAS!$A:$F,6,FALSE),VLOOKUP(G109,SAÍDAS!$A:$B,2,FALSE)))</f>
        <v>0</v>
      </c>
      <c r="F109" s="14">
        <v>8</v>
      </c>
      <c r="G109" s="18" t="str">
        <f>SEGUNDA!G95</f>
        <v>RAFAEL ALVES (Seco)</v>
      </c>
    </row>
    <row r="110" spans="2:7" ht="14.25" thickTop="1" thickBot="1">
      <c r="B110" s="14" t="e">
        <f>VLOOKUP(G110,'GAL-CUB'!$A:$A,2,FALSE)</f>
        <v>#N/A</v>
      </c>
      <c r="C110" s="14" t="e">
        <f>VLOOKUP(G110,'GAL-CUB'!$A:$B,3,FALSE)</f>
        <v>#N/A</v>
      </c>
      <c r="D110" s="14" t="e">
        <f>VLOOKUP(G110,'GAL-CUB'!$A:$H,9,FALSE)</f>
        <v>#N/A</v>
      </c>
      <c r="E110" s="14" t="str">
        <f>IFERROR(VLOOKUP(G110,'GAL-CUB'!$A:$D,4,FALSE),IFERROR(VLOOKUP(G110,ESCOLTAS!$A:$F,6,FALSE),VLOOKUP(G110,SAÍDAS!$A:$B,2,FALSE)))</f>
        <v>CRAPG</v>
      </c>
      <c r="F110" s="14">
        <v>10</v>
      </c>
      <c r="G110" s="18" t="str">
        <f>SEGUNDA!G96</f>
        <v>RIVALDO CHAVES</v>
      </c>
    </row>
    <row r="111" spans="2:7" ht="14.25" thickTop="1" thickBot="1">
      <c r="B111" s="14" t="e">
        <f>VLOOKUP(G111,'GAL-CUB'!$A:$A,2,FALSE)</f>
        <v>#N/A</v>
      </c>
      <c r="C111" s="14" t="e">
        <f>VLOOKUP(G111,'GAL-CUB'!$A:$B,3,FALSE)</f>
        <v>#N/A</v>
      </c>
      <c r="D111" s="14" t="e">
        <f>VLOOKUP(G111,'GAL-CUB'!$A:$H,9,FALSE)</f>
        <v>#N/A</v>
      </c>
      <c r="E111" s="14" t="e">
        <f>IFERROR(VLOOKUP(G111,'GAL-CUB'!$A:$D,4,FALSE),IFERROR(VLOOKUP(G111,ESCOLTAS!$A:$F,6,FALSE),VLOOKUP(G111,SAÍDAS!$A:$B,2,FALSE)))</f>
        <v>#N/A</v>
      </c>
      <c r="F111" s="14">
        <v>11</v>
      </c>
      <c r="G111" s="18" t="str">
        <f>SEGUNDA!G97</f>
        <v>NILTON CESAR FERREIRA PEDROSO</v>
      </c>
    </row>
    <row r="112" spans="2:7" ht="14.25" thickTop="1" thickBot="1">
      <c r="B112" s="14" t="e">
        <f>VLOOKUP(G112,'GAL-CUB'!$A:$A,2,FALSE)</f>
        <v>#N/A</v>
      </c>
      <c r="C112" s="14" t="e">
        <f>VLOOKUP(G112,'GAL-CUB'!$A:$B,3,FALSE)</f>
        <v>#N/A</v>
      </c>
      <c r="D112" s="14" t="e">
        <f>VLOOKUP(G112,'GAL-CUB'!$A:$H,9,FALSE)</f>
        <v>#N/A</v>
      </c>
      <c r="E112" s="14" t="e">
        <f>IFERROR(VLOOKUP(G112,'GAL-CUB'!$A:$D,4,FALSE),IFERROR(VLOOKUP(G112,ESCOLTAS!$A:$F,6,FALSE),VLOOKUP(G112,SAÍDAS!$A:$B,2,FALSE)))</f>
        <v>#N/A</v>
      </c>
      <c r="F112" s="14">
        <v>12</v>
      </c>
      <c r="G112" s="18" t="str">
        <f>SEGUNDA!G98</f>
        <v>WILLIAN JOSE MESSIAS SOARES</v>
      </c>
    </row>
    <row r="113" spans="2:7" ht="14.25" thickTop="1" thickBot="1"/>
    <row r="114" spans="2:7" ht="14.25" thickTop="1" thickBot="1">
      <c r="B114" s="708" t="str">
        <f>TERÇA!B130</f>
        <v>MATILDE</v>
      </c>
      <c r="C114" s="709"/>
      <c r="D114" s="709"/>
      <c r="E114" s="46" t="str">
        <f>TERÇA!E130</f>
        <v>OK</v>
      </c>
      <c r="F114" s="46"/>
      <c r="G114" s="27" t="str">
        <f ca="1">IF(WEEKDAY(B2,2)=3,"HOJE","QUARTA-FEIRA")</f>
        <v>QUARTA-FEIRA</v>
      </c>
    </row>
    <row r="115" spans="2:7" ht="14.25" thickTop="1" thickBot="1">
      <c r="B115" s="13" t="s">
        <v>812</v>
      </c>
      <c r="C115" s="13" t="s">
        <v>250</v>
      </c>
      <c r="D115" s="13" t="s">
        <v>435</v>
      </c>
      <c r="E115" s="13" t="s">
        <v>1178</v>
      </c>
      <c r="F115" s="13" t="s">
        <v>1802</v>
      </c>
      <c r="G115" s="13" t="s">
        <v>370</v>
      </c>
    </row>
    <row r="116" spans="2:7" ht="14.25" thickTop="1" thickBot="1">
      <c r="B116" s="14" t="e">
        <f>VLOOKUP(G116,'GAL-CUB'!$A:$A,2,FALSE)</f>
        <v>#N/A</v>
      </c>
      <c r="C116" s="14" t="e">
        <f>VLOOKUP(G116,'GAL-CUB'!$A:$B,3,FALSE)</f>
        <v>#N/A</v>
      </c>
      <c r="D116" s="14" t="e">
        <f>VLOOKUP(G116,'GAL-CUB'!$A:$H,9,FALSE)</f>
        <v>#N/A</v>
      </c>
      <c r="E116" s="14" t="str">
        <f>IFERROR(VLOOKUP(G116,'GAL-CUB'!$A:$D,4,FALSE),IFERROR(VLOOKUP(G116,ESCOLTAS!$A:$F,6,FALSE),VLOOKUP(G116,SAÍDAS!$A:$B,2,FALSE)))</f>
        <v>CRAPG</v>
      </c>
      <c r="F116" s="50">
        <v>1</v>
      </c>
      <c r="G116" s="16" t="str">
        <f>TERÇA!G132</f>
        <v>ADAIR FERNANDES MACHADO</v>
      </c>
    </row>
    <row r="117" spans="2:7" ht="14.25" thickTop="1" thickBot="1">
      <c r="B117" s="14" t="e">
        <f>VLOOKUP(G117,'GAL-CUB'!$A:$A,2,FALSE)</f>
        <v>#N/A</v>
      </c>
      <c r="C117" s="14" t="e">
        <f>VLOOKUP(G117,'GAL-CUB'!$A:$B,3,FALSE)</f>
        <v>#N/A</v>
      </c>
      <c r="D117" s="14" t="e">
        <f>VLOOKUP(G117,'GAL-CUB'!$A:$H,9,FALSE)</f>
        <v>#N/A</v>
      </c>
      <c r="E117" s="14" t="e">
        <f>IFERROR(VLOOKUP(G117,'GAL-CUB'!$A:$D,4,FALSE),IFERROR(VLOOKUP(G117,ESCOLTAS!$A:$F,6,FALSE),VLOOKUP(G117,SAÍDAS!$A:$B,2,FALSE)))</f>
        <v>#N/A</v>
      </c>
      <c r="F117" s="50">
        <v>2</v>
      </c>
      <c r="G117" s="16" t="str">
        <f>TERÇA!G133</f>
        <v>ANGELO RODRIGO RIBEIRO DOS SANTOS (Corvo)</v>
      </c>
    </row>
    <row r="118" spans="2:7" ht="14.25" thickTop="1" thickBot="1">
      <c r="B118" s="14" t="e">
        <f>VLOOKUP(G118,'GAL-CUB'!$A:$A,2,FALSE)</f>
        <v>#N/A</v>
      </c>
      <c r="C118" s="14" t="e">
        <f>VLOOKUP(G118,'GAL-CUB'!$A:$B,3,FALSE)</f>
        <v>#N/A</v>
      </c>
      <c r="D118" s="14" t="e">
        <f>VLOOKUP(G118,'GAL-CUB'!$A:$H,9,FALSE)</f>
        <v>#N/A</v>
      </c>
      <c r="E118" s="14" t="e">
        <f>IFERROR(VLOOKUP(G118,'GAL-CUB'!$A:$D,4,FALSE),IFERROR(VLOOKUP(G118,ESCOLTAS!$A:$F,6,FALSE),VLOOKUP(G118,SAÍDAS!$A:$B,2,FALSE)))</f>
        <v>#N/A</v>
      </c>
      <c r="F118" s="50">
        <v>3</v>
      </c>
      <c r="G118" s="16" t="str">
        <f>TERÇA!G134</f>
        <v>DANIEL DOS SANTOS</v>
      </c>
    </row>
    <row r="119" spans="2:7" ht="14.25" thickTop="1" thickBot="1">
      <c r="B119" s="14" t="e">
        <f>VLOOKUP(G119,'GAL-CUB'!$A:$A,2,FALSE)</f>
        <v>#N/A</v>
      </c>
      <c r="C119" s="14" t="e">
        <f>VLOOKUP(G119,'GAL-CUB'!$A:$B,3,FALSE)</f>
        <v>#N/A</v>
      </c>
      <c r="D119" s="14" t="e">
        <f>VLOOKUP(G119,'GAL-CUB'!$A:$H,9,FALSE)</f>
        <v>#N/A</v>
      </c>
      <c r="E119" s="102" t="str">
        <f>IFERROR(VLOOKUP(G119,'GAL-CUB'!$A:$D,4,FALSE),IFERROR(VLOOKUP(G119,ESCOLTAS!$A:$F,6,FALSE),VLOOKUP(G119,SAÍDAS!$A:$B,2,FALSE)))</f>
        <v>CRAPG</v>
      </c>
      <c r="F119" s="102">
        <v>4</v>
      </c>
      <c r="G119" s="16" t="str">
        <f>TERÇA!G135</f>
        <v>FERNANDO KETEMPS</v>
      </c>
    </row>
    <row r="120" spans="2:7" ht="14.25" thickTop="1" thickBot="1">
      <c r="B120" s="14" t="e">
        <f>VLOOKUP(G120,'GAL-CUB'!$A:$A,2,FALSE)</f>
        <v>#N/A</v>
      </c>
      <c r="C120" s="14" t="e">
        <f>VLOOKUP(G120,'GAL-CUB'!$A:$B,3,FALSE)</f>
        <v>#N/A</v>
      </c>
      <c r="D120" s="14" t="e">
        <f>VLOOKUP(G120,'GAL-CUB'!$A:$H,9,FALSE)</f>
        <v>#N/A</v>
      </c>
      <c r="E120" s="14" t="str">
        <f>IFERROR(VLOOKUP(G120,'GAL-CUB'!$A:$D,4,FALSE),IFERROR(VLOOKUP(G120,ESCOLTAS!$A:$F,6,FALSE),VLOOKUP(G120,SAÍDAS!$A:$B,2,FALSE)))</f>
        <v>Bonde CTBA</v>
      </c>
      <c r="F120" s="50">
        <v>5</v>
      </c>
      <c r="G120" s="16" t="str">
        <f>TERÇA!G136</f>
        <v>IZIDIO CARLOS</v>
      </c>
    </row>
    <row r="121" spans="2:7" ht="14.25" thickTop="1" thickBot="1">
      <c r="B121" s="14" t="e">
        <f>VLOOKUP(G121,'GAL-CUB'!$A:$A,2,FALSE)</f>
        <v>#N/A</v>
      </c>
      <c r="C121" s="14" t="e">
        <f>VLOOKUP(G121,'GAL-CUB'!$A:$B,3,FALSE)</f>
        <v>#N/A</v>
      </c>
      <c r="D121" s="14" t="e">
        <f>VLOOKUP(G121,'GAL-CUB'!$A:$H,9,FALSE)</f>
        <v>#N/A</v>
      </c>
      <c r="E121" s="14" t="e">
        <f>IFERROR(VLOOKUP(G121,'GAL-CUB'!$A:$D,4,FALSE),IFERROR(VLOOKUP(G121,ESCOLTAS!$A:$F,6,FALSE),VLOOKUP(G121,SAÍDAS!$A:$B,2,FALSE)))</f>
        <v>#N/A</v>
      </c>
      <c r="F121" s="50">
        <v>6</v>
      </c>
      <c r="G121" s="16" t="str">
        <f>TERÇA!G137</f>
        <v>JOAO MARIA DOS SANTOS</v>
      </c>
    </row>
    <row r="122" spans="2:7" ht="14.25" thickTop="1" thickBot="1">
      <c r="B122" s="14" t="e">
        <f>VLOOKUP(G122,'GAL-CUB'!$A:$A,2,FALSE)</f>
        <v>#N/A</v>
      </c>
      <c r="C122" s="14" t="e">
        <f>VLOOKUP(G122,'GAL-CUB'!$A:$B,3,FALSE)</f>
        <v>#N/A</v>
      </c>
      <c r="D122" s="14" t="e">
        <f>VLOOKUP(G122,'GAL-CUB'!$A:$H,9,FALSE)</f>
        <v>#N/A</v>
      </c>
      <c r="E122" s="14" t="e">
        <f>IFERROR(VLOOKUP(G122,'GAL-CUB'!$A:$D,4,FALSE),IFERROR(VLOOKUP(G122,ESCOLTAS!$A:$F,6,FALSE),VLOOKUP(G122,SAÍDAS!$A:$B,2,FALSE)))</f>
        <v>#N/A</v>
      </c>
      <c r="F122" s="50">
        <v>7</v>
      </c>
      <c r="G122" s="16" t="str">
        <f>TERÇA!G138</f>
        <v>JOAO MARIA SCHNEIDER</v>
      </c>
    </row>
    <row r="123" spans="2:7" ht="14.25" thickTop="1" thickBot="1">
      <c r="B123" s="14" t="e">
        <f>VLOOKUP(G123,'GAL-CUB'!$A:$A,2,FALSE)</f>
        <v>#N/A</v>
      </c>
      <c r="C123" s="14" t="e">
        <f>VLOOKUP(G123,'GAL-CUB'!$A:$B,3,FALSE)</f>
        <v>#N/A</v>
      </c>
      <c r="D123" s="14" t="e">
        <f>VLOOKUP(G123,'GAL-CUB'!$A:$H,9,FALSE)</f>
        <v>#N/A</v>
      </c>
      <c r="E123" s="14" t="str">
        <f>IFERROR(VLOOKUP(G123,'GAL-CUB'!$A:$D,4,FALSE),IFERROR(VLOOKUP(G123,ESCOLTAS!$A:$F,6,FALSE),VLOOKUP(G123,SAÍDAS!$A:$B,2,FALSE)))</f>
        <v>CRAPG</v>
      </c>
      <c r="F123" s="14">
        <v>8</v>
      </c>
      <c r="G123" s="16" t="str">
        <f>TERÇA!G139</f>
        <v>JOSE LEANDRO DE ANDRADE</v>
      </c>
    </row>
    <row r="124" spans="2:7" ht="14.25" thickTop="1" thickBot="1">
      <c r="B124" s="14" t="e">
        <f>VLOOKUP(G124,'GAL-CUB'!$A:$A,2,FALSE)</f>
        <v>#N/A</v>
      </c>
      <c r="C124" s="14" t="e">
        <f>VLOOKUP(G124,'GAL-CUB'!$A:$B,3,FALSE)</f>
        <v>#N/A</v>
      </c>
      <c r="D124" s="14" t="e">
        <f>VLOOKUP(G124,'GAL-CUB'!$A:$H,9,FALSE)</f>
        <v>#N/A</v>
      </c>
      <c r="E124" s="14" t="str">
        <f>IFERROR(VLOOKUP(G124,'GAL-CUB'!$A:$D,4,FALSE),IFERROR(VLOOKUP(G124,ESCOLTAS!$A:$F,6,FALSE),VLOOKUP(G124,SAÍDAS!$A:$B,2,FALSE)))</f>
        <v>CRAPG</v>
      </c>
      <c r="F124" s="14">
        <v>9</v>
      </c>
      <c r="G124" s="16" t="str">
        <f>TERÇA!G140</f>
        <v>LEANDRO NOGUEIRA (Tornado)</v>
      </c>
    </row>
    <row r="125" spans="2:7" ht="14.25" thickTop="1" thickBot="1">
      <c r="B125" s="14" t="e">
        <f>VLOOKUP(G125,'GAL-CUB'!$A:$A,2,FALSE)</f>
        <v>#N/A</v>
      </c>
      <c r="C125" s="14" t="e">
        <f>VLOOKUP(G125,'GAL-CUB'!$A:$B,3,FALSE)</f>
        <v>#N/A</v>
      </c>
      <c r="D125" s="14" t="e">
        <f>VLOOKUP(G125,'GAL-CUB'!$A:$H,9,FALSE)</f>
        <v>#N/A</v>
      </c>
      <c r="E125" s="14" t="str">
        <f>IFERROR(VLOOKUP(G125,'GAL-CUB'!$A:$D,4,FALSE),IFERROR(VLOOKUP(G125,ESCOLTAS!$A:$F,6,FALSE),VLOOKUP(G125,SAÍDAS!$A:$B,2,FALSE)))</f>
        <v>CRAPG</v>
      </c>
      <c r="F125" s="14">
        <v>10</v>
      </c>
      <c r="G125" s="16" t="str">
        <f>TERÇA!G141</f>
        <v>MARLON CARDOSO</v>
      </c>
    </row>
    <row r="126" spans="2:7" ht="14.25" thickTop="1" thickBot="1">
      <c r="B126" s="14" t="e">
        <f>VLOOKUP(G126,'GAL-CUB'!$A:$A,2,FALSE)</f>
        <v>#N/A</v>
      </c>
      <c r="C126" s="14" t="e">
        <f>VLOOKUP(G126,'GAL-CUB'!$A:$B,3,FALSE)</f>
        <v>#N/A</v>
      </c>
      <c r="D126" s="14" t="e">
        <f>VLOOKUP(G126,'GAL-CUB'!$A:$H,9,FALSE)</f>
        <v>#N/A</v>
      </c>
      <c r="E126" s="14" t="str">
        <f>IFERROR(VLOOKUP(G126,'GAL-CUB'!$A:$D,4,FALSE),IFERROR(VLOOKUP(G126,ESCOLTAS!$A:$F,6,FALSE),VLOOKUP(G126,SAÍDAS!$A:$B,2,FALSE)))</f>
        <v>CRAPG</v>
      </c>
      <c r="F126" s="14">
        <v>11</v>
      </c>
      <c r="G126" s="16" t="str">
        <f>TERÇA!G142</f>
        <v>PAULO DO CARMO DE MELO</v>
      </c>
    </row>
    <row r="127" spans="2:7" ht="14.25" thickTop="1" thickBot="1">
      <c r="B127" s="14" t="e">
        <f>VLOOKUP(G127,'GAL-CUB'!$A:$A,2,FALSE)</f>
        <v>#N/A</v>
      </c>
      <c r="C127" s="14" t="e">
        <f>VLOOKUP(G127,'GAL-CUB'!$A:$B,3,FALSE)</f>
        <v>#N/A</v>
      </c>
      <c r="D127" s="14" t="e">
        <f>VLOOKUP(G127,'GAL-CUB'!$A:$H,9,FALSE)</f>
        <v>#N/A</v>
      </c>
      <c r="E127" s="14" t="str">
        <f>IFERROR(VLOOKUP(G127,'GAL-CUB'!$A:$D,4,FALSE),IFERROR(VLOOKUP(G127,ESCOLTAS!$A:$F,6,FALSE),VLOOKUP(G127,SAÍDAS!$A:$B,2,FALSE)))</f>
        <v>CRAPG</v>
      </c>
      <c r="F127" s="50">
        <v>12</v>
      </c>
      <c r="G127" s="16" t="str">
        <f>TERÇA!G143</f>
        <v>ROBSON RODRIGO DOS SANTOS (Robinho)</v>
      </c>
    </row>
    <row r="128" spans="2:7" ht="14.25" thickTop="1" thickBot="1"/>
    <row r="129" spans="2:7" ht="14.25" thickTop="1" thickBot="1">
      <c r="B129" s="708" t="s">
        <v>1787</v>
      </c>
      <c r="C129" s="709"/>
      <c r="D129" s="709"/>
      <c r="E129" s="46"/>
      <c r="F129" s="46"/>
      <c r="G129" s="27" t="str">
        <f ca="1">IF(WEEKDAY(B2,2)=3,"HOJE","QUARTA-FEIRA")</f>
        <v>QUARTA-FEIRA</v>
      </c>
    </row>
    <row r="130" spans="2:7" ht="14.25" thickTop="1" thickBot="1">
      <c r="B130" s="13" t="s">
        <v>812</v>
      </c>
      <c r="C130" s="13" t="s">
        <v>250</v>
      </c>
      <c r="D130" s="13" t="s">
        <v>435</v>
      </c>
      <c r="E130" s="13" t="s">
        <v>1178</v>
      </c>
      <c r="F130" s="13" t="s">
        <v>1802</v>
      </c>
      <c r="G130" s="13" t="s">
        <v>370</v>
      </c>
    </row>
    <row r="131" spans="2:7" ht="14.25" thickTop="1" thickBot="1">
      <c r="B131" s="14" t="e">
        <f>VLOOKUP(G131,'GAL-CUB'!$A:$A,2,FALSE)</f>
        <v>#N/A</v>
      </c>
      <c r="C131" s="14" t="e">
        <f>VLOOKUP(G131,'GAL-CUB'!$A:$B,3,FALSE)</f>
        <v>#N/A</v>
      </c>
      <c r="D131" s="14" t="e">
        <f>VLOOKUP(G131,'GAL-CUB'!$A:$H,9,FALSE)</f>
        <v>#N/A</v>
      </c>
      <c r="E131" s="14" t="str">
        <f>IFERROR(VLOOKUP(G131,'GAL-CUB'!$A:$D,4,FALSE),IFERROR(VLOOKUP(G131,ESCOLTAS!$A:$F,6,FALSE),VLOOKUP(G131,SAÍDAS!$A:$B,2,FALSE)))</f>
        <v>CRAPG</v>
      </c>
      <c r="F131" s="14">
        <v>1</v>
      </c>
      <c r="G131" s="59" t="s">
        <v>1872</v>
      </c>
    </row>
    <row r="132" spans="2:7" ht="14.25" thickTop="1" thickBot="1">
      <c r="B132" s="14" t="e">
        <f>VLOOKUP(G132,'GAL-CUB'!$A:$A,2,FALSE)</f>
        <v>#N/A</v>
      </c>
      <c r="C132" s="14" t="e">
        <f>VLOOKUP(G132,'GAL-CUB'!$A:$B,3,FALSE)</f>
        <v>#N/A</v>
      </c>
      <c r="D132" s="14" t="e">
        <f>VLOOKUP(G132,'GAL-CUB'!$A:$H,9,FALSE)</f>
        <v>#N/A</v>
      </c>
      <c r="E132" s="14" t="e">
        <f>IFERROR(VLOOKUP(G132,'GAL-CUB'!$A:$D,4,FALSE),IFERROR(VLOOKUP(G132,ESCOLTAS!$A:$F,6,FALSE),VLOOKUP(G132,SAÍDAS!$A:$B,2,FALSE)))</f>
        <v>#N/A</v>
      </c>
      <c r="F132" s="14">
        <v>2</v>
      </c>
      <c r="G132" s="15" t="s">
        <v>1867</v>
      </c>
    </row>
    <row r="133" spans="2:7" ht="14.25" thickTop="1" thickBot="1">
      <c r="B133" s="14" t="e">
        <f>VLOOKUP(G133,'GAL-CUB'!$A:$A,2,FALSE)</f>
        <v>#N/A</v>
      </c>
      <c r="C133" s="14" t="e">
        <f>VLOOKUP(G133,'GAL-CUB'!$A:$B,3,FALSE)</f>
        <v>#N/A</v>
      </c>
      <c r="D133" s="14" t="e">
        <f>VLOOKUP(G133,'GAL-CUB'!$A:$H,9,FALSE)</f>
        <v>#N/A</v>
      </c>
      <c r="E133" s="14" t="e">
        <f>IFERROR(VLOOKUP(G133,'GAL-CUB'!$A:$D,4,FALSE),IFERROR(VLOOKUP(G133,ESCOLTAS!$A:$F,6,FALSE),VLOOKUP(G133,SAÍDAS!$A:$B,2,FALSE)))</f>
        <v>#N/A</v>
      </c>
      <c r="F133" s="14">
        <v>3</v>
      </c>
      <c r="G133" s="106" t="s">
        <v>1843</v>
      </c>
    </row>
    <row r="134" spans="2:7" ht="14.25" thickTop="1" thickBot="1">
      <c r="B134" s="14" t="e">
        <f>VLOOKUP(G134,'GAL-CUB'!$A:$A,2,FALSE)</f>
        <v>#N/A</v>
      </c>
      <c r="C134" s="14" t="e">
        <f>VLOOKUP(G134,'GAL-CUB'!$A:$B,3,FALSE)</f>
        <v>#N/A</v>
      </c>
      <c r="D134" s="14" t="e">
        <f>VLOOKUP(G134,'GAL-CUB'!$A:$H,9,FALSE)</f>
        <v>#N/A</v>
      </c>
      <c r="E134" s="14" t="e">
        <f>IFERROR(VLOOKUP(G134,'GAL-CUB'!$A:$D,4,FALSE),IFERROR(VLOOKUP(G134,ESCOLTAS!$A:$F,6,FALSE),VLOOKUP(G134,SAÍDAS!$A:$B,2,FALSE)))</f>
        <v>#N/A</v>
      </c>
      <c r="F134" s="14">
        <v>4</v>
      </c>
      <c r="G134" s="106" t="s">
        <v>1848</v>
      </c>
    </row>
    <row r="135" spans="2:7" ht="14.25" thickTop="1" thickBot="1">
      <c r="B135" s="14" t="e">
        <f>VLOOKUP(G135,'GAL-CUB'!$A:$A,2,FALSE)</f>
        <v>#N/A</v>
      </c>
      <c r="C135" s="14" t="e">
        <f>VLOOKUP(G135,'GAL-CUB'!$A:$B,3,FALSE)</f>
        <v>#N/A</v>
      </c>
      <c r="D135" s="14" t="e">
        <f>VLOOKUP(G135,'GAL-CUB'!$A:$H,9,FALSE)</f>
        <v>#N/A</v>
      </c>
      <c r="E135" s="14" t="e">
        <f>IFERROR(VLOOKUP(G135,'GAL-CUB'!$A:$D,4,FALSE),IFERROR(VLOOKUP(G135,ESCOLTAS!$A:$F,6,FALSE),VLOOKUP(G135,SAÍDAS!$A:$B,2,FALSE)))</f>
        <v>#N/A</v>
      </c>
      <c r="F135" s="14">
        <v>5</v>
      </c>
      <c r="G135" s="15" t="s">
        <v>1707</v>
      </c>
    </row>
    <row r="136" spans="2:7" ht="14.25" thickTop="1" thickBot="1">
      <c r="B136" s="14" t="e">
        <f>VLOOKUP(G136,'GAL-CUB'!$A:$A,2,FALSE)</f>
        <v>#N/A</v>
      </c>
      <c r="C136" s="14" t="e">
        <f>VLOOKUP(G136,'GAL-CUB'!$A:$B,3,FALSE)</f>
        <v>#N/A</v>
      </c>
      <c r="D136" s="14" t="e">
        <f>VLOOKUP(G136,'GAL-CUB'!$A:$H,9,FALSE)</f>
        <v>#N/A</v>
      </c>
      <c r="E136" s="14" t="str">
        <f>IFERROR(VLOOKUP(G136,'GAL-CUB'!$A:$D,4,FALSE),IFERROR(VLOOKUP(G136,ESCOLTAS!$A:$F,6,FALSE),VLOOKUP(G136,SAÍDAS!$A:$B,2,FALSE)))</f>
        <v>CRAPG</v>
      </c>
      <c r="F136" s="14">
        <v>6</v>
      </c>
      <c r="G136" s="16" t="s">
        <v>1702</v>
      </c>
    </row>
    <row r="137" spans="2:7" ht="14.25" thickTop="1" thickBot="1">
      <c r="B137" s="14" t="e">
        <f>VLOOKUP(G137,'GAL-CUB'!$A:$A,2,FALSE)</f>
        <v>#N/A</v>
      </c>
      <c r="C137" s="14" t="e">
        <f>VLOOKUP(G137,'GAL-CUB'!$A:$B,3,FALSE)</f>
        <v>#N/A</v>
      </c>
      <c r="D137" s="14" t="e">
        <f>VLOOKUP(G137,'GAL-CUB'!$A:$H,9,FALSE)</f>
        <v>#N/A</v>
      </c>
      <c r="E137" s="14" t="str">
        <f>IFERROR(VLOOKUP(G137,'GAL-CUB'!$A:$D,4,FALSE),IFERROR(VLOOKUP(G137,ESCOLTAS!$A:$F,6,FALSE),VLOOKUP(G137,SAÍDAS!$A:$B,2,FALSE)))</f>
        <v>PIG</v>
      </c>
      <c r="F137" s="14">
        <v>7</v>
      </c>
      <c r="G137" s="15" t="s">
        <v>1705</v>
      </c>
    </row>
    <row r="138" spans="2:7" ht="14.25" thickTop="1" thickBot="1">
      <c r="B138" s="14" t="e">
        <f>VLOOKUP(G138,'GAL-CUB'!$A:$A,2,FALSE)</f>
        <v>#N/A</v>
      </c>
      <c r="C138" s="14" t="e">
        <f>VLOOKUP(G138,'GAL-CUB'!$A:$B,3,FALSE)</f>
        <v>#N/A</v>
      </c>
      <c r="D138" s="14" t="e">
        <f>VLOOKUP(G138,'GAL-CUB'!$A:$H,9,FALSE)</f>
        <v>#N/A</v>
      </c>
      <c r="E138" s="14" t="e">
        <f>IFERROR(VLOOKUP(G138,'GAL-CUB'!$A:$D,4,FALSE),IFERROR(VLOOKUP(G138,ESCOLTAS!$A:$F,6,FALSE),VLOOKUP(G138,SAÍDAS!$A:$B,2,FALSE)))</f>
        <v>#N/A</v>
      </c>
      <c r="F138" s="14">
        <v>8</v>
      </c>
      <c r="G138" s="15" t="s">
        <v>1793</v>
      </c>
    </row>
    <row r="139" spans="2:7" ht="14.25" thickTop="1" thickBot="1">
      <c r="B139" s="14" t="e">
        <f>VLOOKUP(G139,'GAL-CUB'!$A:$A,2,FALSE)</f>
        <v>#N/A</v>
      </c>
      <c r="C139" s="14" t="e">
        <f>VLOOKUP(G139,'GAL-CUB'!$A:$B,3,FALSE)</f>
        <v>#N/A</v>
      </c>
      <c r="D139" s="14" t="e">
        <f>VLOOKUP(G139,'GAL-CUB'!$A:$H,9,FALSE)</f>
        <v>#N/A</v>
      </c>
      <c r="E139" s="14" t="str">
        <f>IFERROR(VLOOKUP(G139,'GAL-CUB'!$A:$D,4,FALSE),IFERROR(VLOOKUP(G139,ESCOLTAS!$A:$F,6,FALSE),VLOOKUP(G139,SAÍDAS!$A:$B,2,FALSE)))</f>
        <v>ALVARÁ</v>
      </c>
      <c r="F139" s="14">
        <v>9</v>
      </c>
      <c r="G139" s="15" t="s">
        <v>1982</v>
      </c>
    </row>
    <row r="140" spans="2:7" ht="14.25" thickTop="1" thickBot="1">
      <c r="B140" s="14" t="e">
        <f>VLOOKUP(G140,'GAL-CUB'!$A:$A,2,FALSE)</f>
        <v>#N/A</v>
      </c>
      <c r="C140" s="14" t="e">
        <f>VLOOKUP(G140,'GAL-CUB'!$A:$B,3,FALSE)</f>
        <v>#N/A</v>
      </c>
      <c r="D140" s="14" t="e">
        <f>VLOOKUP(G140,'GAL-CUB'!$A:$H,9,FALSE)</f>
        <v>#N/A</v>
      </c>
      <c r="E140" s="14" t="str">
        <f>IFERROR(VLOOKUP(G140,'GAL-CUB'!$A:$D,4,FALSE),IFERROR(VLOOKUP(G140,ESCOLTAS!$A:$F,6,FALSE),VLOOKUP(G140,SAÍDAS!$A:$B,2,FALSE)))</f>
        <v>CRAPG</v>
      </c>
      <c r="F140" s="14">
        <v>10</v>
      </c>
      <c r="G140" s="16" t="s">
        <v>513</v>
      </c>
    </row>
    <row r="141" spans="2:7" ht="14.25" thickTop="1" thickBot="1">
      <c r="B141" s="14" t="e">
        <f>VLOOKUP(G141,'GAL-CUB'!$A:$A,2,FALSE)</f>
        <v>#N/A</v>
      </c>
      <c r="C141" s="14" t="e">
        <f>VLOOKUP(G141,'GAL-CUB'!$A:$B,3,FALSE)</f>
        <v>#N/A</v>
      </c>
      <c r="D141" s="14" t="e">
        <f>VLOOKUP(G141,'GAL-CUB'!$A:$H,9,FALSE)</f>
        <v>#N/A</v>
      </c>
      <c r="E141" s="14" t="str">
        <f>IFERROR(VLOOKUP(G141,'GAL-CUB'!$A:$D,4,FALSE),IFERROR(VLOOKUP(G141,ESCOLTAS!$A:$F,6,FALSE),VLOOKUP(G141,SAÍDAS!$A:$B,2,FALSE)))</f>
        <v>CRAPG</v>
      </c>
      <c r="F141" s="14">
        <v>11</v>
      </c>
      <c r="G141" s="15" t="s">
        <v>850</v>
      </c>
    </row>
    <row r="142" spans="2:7" ht="14.25" thickTop="1" thickBot="1">
      <c r="B142" s="14" t="e">
        <f>VLOOKUP(G142,'GAL-CUB'!$A:$A,2,FALSE)</f>
        <v>#N/A</v>
      </c>
      <c r="C142" s="14" t="e">
        <f>VLOOKUP(G142,'GAL-CUB'!$A:$B,3,FALSE)</f>
        <v>#N/A</v>
      </c>
      <c r="D142" s="14" t="e">
        <f>VLOOKUP(G142,'GAL-CUB'!$A:$H,9,FALSE)</f>
        <v>#N/A</v>
      </c>
      <c r="E142" s="14" t="e">
        <f>IFERROR(VLOOKUP(G142,'GAL-CUB'!$A:$D,4,FALSE),IFERROR(VLOOKUP(G142,ESCOLTAS!$A:$F,6,FALSE),VLOOKUP(G142,SAÍDAS!$A:$B,2,FALSE)))</f>
        <v>#N/A</v>
      </c>
      <c r="F142" s="14">
        <v>12</v>
      </c>
      <c r="G142" s="15" t="s">
        <v>1756</v>
      </c>
    </row>
    <row r="143" spans="2:7" ht="13.5" thickTop="1"/>
  </sheetData>
  <mergeCells count="12">
    <mergeCell ref="B114:D114"/>
    <mergeCell ref="B129:D129"/>
    <mergeCell ref="B52:D52"/>
    <mergeCell ref="B67:D67"/>
    <mergeCell ref="B81:G82"/>
    <mergeCell ref="B84:D84"/>
    <mergeCell ref="B99:D99"/>
    <mergeCell ref="B2:G2"/>
    <mergeCell ref="B4:G5"/>
    <mergeCell ref="B7:D7"/>
    <mergeCell ref="B22:D22"/>
    <mergeCell ref="B37:D37"/>
  </mergeCells>
  <phoneticPr fontId="0" type="noConversion"/>
  <conditionalFormatting sqref="G21:G23 G36:G38 G1:G8 G51:G53 H1:H1048576 J1:IV1048576 I1:I56 G128:G130 G132 G142:G65536 I58:I86 I88:I65536 G65:G85 A1:F1048576 G98:G115">
    <cfRule type="cellIs" dxfId="104" priority="92" stopIfTrue="1" operator="equal">
      <formula>"KADESH"</formula>
    </cfRule>
    <cfRule type="cellIs" dxfId="103" priority="93" stopIfTrue="1" operator="equal">
      <formula>"CCP"</formula>
    </cfRule>
    <cfRule type="cellIs" dxfId="102" priority="94" stopIfTrue="1" operator="equal">
      <formula>"ALVARÁ"</formula>
    </cfRule>
    <cfRule type="cellIs" dxfId="101" priority="95" stopIfTrue="1" operator="equal">
      <formula>"CRAPG"</formula>
    </cfRule>
    <cfRule type="cellIs" dxfId="100" priority="96" stopIfTrue="1" operator="equal">
      <formula>"CD"</formula>
    </cfRule>
    <cfRule type="cellIs" dxfId="99" priority="97" stopIfTrue="1" operator="equal">
      <formula>"SANÇÃO"</formula>
    </cfRule>
    <cfRule type="cellIs" dxfId="98" priority="98" stopIfTrue="1" operator="equal">
      <formula>0</formula>
    </cfRule>
  </conditionalFormatting>
  <conditionalFormatting sqref="G105">
    <cfRule type="duplicateValues" dxfId="97" priority="48" stopIfTrue="1"/>
  </conditionalFormatting>
  <conditionalFormatting sqref="E1:E1048576">
    <cfRule type="cellIs" dxfId="96" priority="47" stopIfTrue="1" operator="equal">
      <formula>"Tornozeleira"</formula>
    </cfRule>
  </conditionalFormatting>
  <conditionalFormatting sqref="I57">
    <cfRule type="cellIs" dxfId="95" priority="40" stopIfTrue="1" operator="equal">
      <formula>"KADESH"</formula>
    </cfRule>
    <cfRule type="cellIs" dxfId="94" priority="41" stopIfTrue="1" operator="equal">
      <formula>"CCP"</formula>
    </cfRule>
    <cfRule type="cellIs" dxfId="93" priority="42" stopIfTrue="1" operator="equal">
      <formula>"ALVARÁ"</formula>
    </cfRule>
    <cfRule type="cellIs" dxfId="92" priority="43" stopIfTrue="1" operator="equal">
      <formula>"CRAPG"</formula>
    </cfRule>
    <cfRule type="cellIs" dxfId="91" priority="44" stopIfTrue="1" operator="equal">
      <formula>"CD"</formula>
    </cfRule>
    <cfRule type="cellIs" dxfId="90" priority="45" stopIfTrue="1" operator="equal">
      <formula>"SANÇÃO"</formula>
    </cfRule>
    <cfRule type="cellIs" dxfId="89" priority="46" stopIfTrue="1" operator="equal">
      <formula>0</formula>
    </cfRule>
  </conditionalFormatting>
  <conditionalFormatting sqref="G132">
    <cfRule type="duplicateValues" dxfId="88" priority="39" stopIfTrue="1"/>
  </conditionalFormatting>
  <conditionalFormatting sqref="B4:G5">
    <cfRule type="cellIs" dxfId="87" priority="38" stopIfTrue="1" operator="equal">
      <formula>"DES."</formula>
    </cfRule>
  </conditionalFormatting>
  <conditionalFormatting sqref="D1:D1048576">
    <cfRule type="cellIs" dxfId="86" priority="37" stopIfTrue="1" operator="equal">
      <formula>"DES"</formula>
    </cfRule>
  </conditionalFormatting>
  <conditionalFormatting sqref="G133">
    <cfRule type="cellIs" dxfId="85" priority="30" stopIfTrue="1" operator="equal">
      <formula>"KADESH"</formula>
    </cfRule>
    <cfRule type="cellIs" dxfId="84" priority="31" stopIfTrue="1" operator="equal">
      <formula>"CCP"</formula>
    </cfRule>
    <cfRule type="cellIs" dxfId="83" priority="32" stopIfTrue="1" operator="equal">
      <formula>"ALVARÁ"</formula>
    </cfRule>
    <cfRule type="cellIs" dxfId="82" priority="33" stopIfTrue="1" operator="equal">
      <formula>"CRAPG"</formula>
    </cfRule>
    <cfRule type="cellIs" dxfId="81" priority="34" stopIfTrue="1" operator="equal">
      <formula>"CD"</formula>
    </cfRule>
    <cfRule type="cellIs" dxfId="80" priority="35" stopIfTrue="1" operator="equal">
      <formula>"SANÇÃO"</formula>
    </cfRule>
    <cfRule type="cellIs" dxfId="79" priority="36" stopIfTrue="1" operator="equal">
      <formula>0</formula>
    </cfRule>
  </conditionalFormatting>
  <conditionalFormatting sqref="G133">
    <cfRule type="duplicateValues" dxfId="78" priority="29" stopIfTrue="1"/>
  </conditionalFormatting>
  <conditionalFormatting sqref="G67:G68 B67:F79">
    <cfRule type="cellIs" dxfId="77" priority="22" stopIfTrue="1" operator="equal">
      <formula>"KADESH"</formula>
    </cfRule>
    <cfRule type="cellIs" dxfId="76" priority="23" stopIfTrue="1" operator="equal">
      <formula>"ALVARÁ"</formula>
    </cfRule>
    <cfRule type="cellIs" dxfId="75" priority="24" stopIfTrue="1" operator="equal">
      <formula>"CRAPG"</formula>
    </cfRule>
    <cfRule type="cellIs" dxfId="74" priority="25" stopIfTrue="1" operator="equal">
      <formula>0</formula>
    </cfRule>
    <cfRule type="cellIs" dxfId="73" priority="26" stopIfTrue="1" operator="equal">
      <formula>"CCP"</formula>
    </cfRule>
    <cfRule type="cellIs" dxfId="72" priority="27" stopIfTrue="1" operator="equal">
      <formula>"CD"</formula>
    </cfRule>
    <cfRule type="cellIs" dxfId="71" priority="28" stopIfTrue="1" operator="equal">
      <formula>"SANÇÃO"</formula>
    </cfRule>
  </conditionalFormatting>
  <conditionalFormatting sqref="D67:D79">
    <cfRule type="cellIs" dxfId="70" priority="19" stopIfTrue="1" operator="equal">
      <formula>"DES."</formula>
    </cfRule>
    <cfRule type="cellIs" dxfId="69" priority="20" stopIfTrue="1" operator="equal">
      <formula>"DES."</formula>
    </cfRule>
    <cfRule type="expression" dxfId="68" priority="21" stopIfTrue="1">
      <formula>"ÉERROS()"</formula>
    </cfRule>
  </conditionalFormatting>
  <conditionalFormatting sqref="G73:G74">
    <cfRule type="duplicateValues" dxfId="67" priority="17" stopIfTrue="1"/>
  </conditionalFormatting>
  <conditionalFormatting sqref="G133">
    <cfRule type="cellIs" dxfId="66" priority="10" stopIfTrue="1" operator="equal">
      <formula>"KADESH"</formula>
    </cfRule>
    <cfRule type="cellIs" dxfId="65" priority="11" stopIfTrue="1" operator="equal">
      <formula>"CCP"</formula>
    </cfRule>
    <cfRule type="cellIs" dxfId="64" priority="12" stopIfTrue="1" operator="equal">
      <formula>"ALVARÁ"</formula>
    </cfRule>
    <cfRule type="cellIs" dxfId="63" priority="13" stopIfTrue="1" operator="equal">
      <formula>"CRAPG"</formula>
    </cfRule>
    <cfRule type="cellIs" dxfId="62" priority="14" stopIfTrue="1" operator="equal">
      <formula>"CD"</formula>
    </cfRule>
    <cfRule type="cellIs" dxfId="61" priority="15" stopIfTrue="1" operator="equal">
      <formula>"SANÇÃO"</formula>
    </cfRule>
    <cfRule type="cellIs" dxfId="60" priority="16" stopIfTrue="1" operator="equal">
      <formula>0</formula>
    </cfRule>
  </conditionalFormatting>
  <conditionalFormatting sqref="G133">
    <cfRule type="duplicateValues" dxfId="59" priority="9" stopIfTrue="1"/>
  </conditionalFormatting>
  <conditionalFormatting sqref="G134">
    <cfRule type="cellIs" dxfId="58" priority="2" stopIfTrue="1" operator="equal">
      <formula>"KADESH"</formula>
    </cfRule>
    <cfRule type="cellIs" dxfId="57" priority="3" stopIfTrue="1" operator="equal">
      <formula>"CCP"</formula>
    </cfRule>
    <cfRule type="cellIs" dxfId="56" priority="4" stopIfTrue="1" operator="equal">
      <formula>"ALVARÁ"</formula>
    </cfRule>
    <cfRule type="cellIs" dxfId="55" priority="5" stopIfTrue="1" operator="equal">
      <formula>"CRAPG"</formula>
    </cfRule>
    <cfRule type="cellIs" dxfId="54" priority="6" stopIfTrue="1" operator="equal">
      <formula>"CD"</formula>
    </cfRule>
    <cfRule type="cellIs" dxfId="53" priority="7" stopIfTrue="1" operator="equal">
      <formula>"SANÇÃO"</formula>
    </cfRule>
    <cfRule type="cellIs" dxfId="52" priority="8" stopIfTrue="1" operator="equal">
      <formula>0</formula>
    </cfRule>
  </conditionalFormatting>
  <conditionalFormatting sqref="G134">
    <cfRule type="duplicateValues" dxfId="51" priority="1" stopIfTrue="1"/>
  </conditionalFormatting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GAL-CUB</vt:lpstr>
      <vt:lpstr>CONTAGEM2</vt:lpstr>
      <vt:lpstr>CONTAGEM</vt:lpstr>
      <vt:lpstr>ESCOLTAS</vt:lpstr>
      <vt:lpstr>B.O.´s</vt:lpstr>
      <vt:lpstr>SAÍDAS</vt:lpstr>
      <vt:lpstr>SEGUNDA</vt:lpstr>
      <vt:lpstr>TERÇA</vt:lpstr>
      <vt:lpstr>QUARTA</vt:lpstr>
      <vt:lpstr>QUINTA</vt:lpstr>
      <vt:lpstr>SEXTA</vt:lpstr>
      <vt:lpstr>Plan1</vt:lpstr>
      <vt:lpstr>CUBÍCULOS ISOLADOS</vt:lpstr>
    </vt:vector>
  </TitlesOfParts>
  <Company>DEPEN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DEPEN-4401</dc:creator>
  <cp:lastModifiedBy>ilhaway_32</cp:lastModifiedBy>
  <cp:lastPrinted>2020-11-20T01:56:06Z</cp:lastPrinted>
  <dcterms:created xsi:type="dcterms:W3CDTF">1996-01-01T03:13:32Z</dcterms:created>
  <dcterms:modified xsi:type="dcterms:W3CDTF">2020-11-24T21:18:59Z</dcterms:modified>
</cp:coreProperties>
</file>