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UCM Investigacion\Compras\Nodo solar\"/>
    </mc:Choice>
  </mc:AlternateContent>
  <bookViews>
    <workbookView xWindow="0" yWindow="0" windowWidth="16380" windowHeight="8190" tabRatio="500" activeTab="1"/>
  </bookViews>
  <sheets>
    <sheet name="Total" sheetId="1" r:id="rId1"/>
    <sheet name="Digikey" sheetId="2" r:id="rId2"/>
    <sheet name="Mouser" sheetId="3" r:id="rId3"/>
    <sheet name="TME" sheetId="4" r:id="rId4"/>
  </sheets>
  <definedNames>
    <definedName name="SolarNode" localSheetId="0">Total!$A$1:$G$45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1" i="1" l="1"/>
  <c r="B50" i="1"/>
  <c r="B49" i="1"/>
  <c r="Q15" i="4" l="1"/>
  <c r="P15" i="4"/>
  <c r="Q19" i="4"/>
  <c r="P19" i="4"/>
  <c r="N6" i="4"/>
  <c r="Q6" i="4" s="1"/>
  <c r="M6" i="4"/>
  <c r="P6" i="4" s="1"/>
  <c r="P12" i="4"/>
  <c r="N5" i="4"/>
  <c r="Q5" i="4" s="1"/>
  <c r="M5" i="4"/>
  <c r="P5" i="4" s="1"/>
  <c r="Q17" i="4"/>
  <c r="P17" i="4"/>
  <c r="N4" i="4"/>
  <c r="Q4" i="4" s="1"/>
  <c r="Q21" i="4" s="1"/>
  <c r="M4" i="4"/>
  <c r="P4" i="4" s="1"/>
  <c r="N3" i="4"/>
  <c r="Q3" i="4" s="1"/>
  <c r="M3" i="4"/>
  <c r="P3" i="4" s="1"/>
  <c r="P13" i="4" s="1"/>
  <c r="Q12" i="4"/>
  <c r="N11" i="3"/>
  <c r="Q11" i="3" s="1"/>
  <c r="M11" i="3"/>
  <c r="P11" i="3" s="1"/>
  <c r="Q10" i="3"/>
  <c r="P10" i="3"/>
  <c r="N10" i="3"/>
  <c r="M10" i="3"/>
  <c r="Q9" i="3"/>
  <c r="P9" i="3"/>
  <c r="N9" i="3"/>
  <c r="M9" i="3"/>
  <c r="Q8" i="3"/>
  <c r="P8" i="3"/>
  <c r="N8" i="3"/>
  <c r="M8" i="3"/>
  <c r="Q7" i="3"/>
  <c r="P7" i="3"/>
  <c r="N7" i="3"/>
  <c r="M7" i="3"/>
  <c r="Q6" i="3"/>
  <c r="P6" i="3"/>
  <c r="N6" i="3"/>
  <c r="M6" i="3"/>
  <c r="Q5" i="3"/>
  <c r="P5" i="3"/>
  <c r="N5" i="3"/>
  <c r="M5" i="3"/>
  <c r="Q4" i="3"/>
  <c r="P4" i="3"/>
  <c r="N4" i="3"/>
  <c r="M4" i="3"/>
  <c r="Q3" i="3"/>
  <c r="P3" i="3"/>
  <c r="N3" i="3"/>
  <c r="M3" i="3"/>
  <c r="Q2" i="3"/>
  <c r="P2" i="3"/>
  <c r="N2" i="3"/>
  <c r="M2" i="3"/>
  <c r="Q7" i="2"/>
  <c r="P7" i="2"/>
  <c r="N7" i="2"/>
  <c r="M7" i="2"/>
  <c r="Q6" i="2"/>
  <c r="P6" i="2"/>
  <c r="N6" i="2"/>
  <c r="M6" i="2"/>
  <c r="Q5" i="2"/>
  <c r="P5" i="2"/>
  <c r="N5" i="2"/>
  <c r="M5" i="2"/>
  <c r="Q4" i="2"/>
  <c r="P4" i="2"/>
  <c r="N4" i="2"/>
  <c r="M4" i="2"/>
  <c r="Q3" i="2"/>
  <c r="P3" i="2"/>
  <c r="N3" i="2"/>
  <c r="M3" i="2"/>
  <c r="Q61" i="1"/>
  <c r="P61" i="1"/>
  <c r="N46" i="1"/>
  <c r="Q46" i="1" s="1"/>
  <c r="M46" i="1"/>
  <c r="P46" i="1" s="1"/>
  <c r="N45" i="1"/>
  <c r="Q45" i="1" s="1"/>
  <c r="Q65" i="1" s="1"/>
  <c r="M45" i="1"/>
  <c r="P45" i="1" s="1"/>
  <c r="P65" i="1" s="1"/>
  <c r="N44" i="1"/>
  <c r="Q44" i="1" s="1"/>
  <c r="M44" i="1"/>
  <c r="P44" i="1" s="1"/>
  <c r="N43" i="1"/>
  <c r="Q43" i="1" s="1"/>
  <c r="M43" i="1"/>
  <c r="P43" i="1" s="1"/>
  <c r="N42" i="1"/>
  <c r="Q42" i="1" s="1"/>
  <c r="M42" i="1"/>
  <c r="P42" i="1" s="1"/>
  <c r="N41" i="1"/>
  <c r="Q41" i="1" s="1"/>
  <c r="M41" i="1"/>
  <c r="P41" i="1" s="1"/>
  <c r="N40" i="1"/>
  <c r="Q40" i="1" s="1"/>
  <c r="M40" i="1"/>
  <c r="P40" i="1" s="1"/>
  <c r="N39" i="1"/>
  <c r="Q39" i="1" s="1"/>
  <c r="M39" i="1"/>
  <c r="P39" i="1" s="1"/>
  <c r="N38" i="1"/>
  <c r="Q38" i="1" s="1"/>
  <c r="M38" i="1"/>
  <c r="P38" i="1" s="1"/>
  <c r="N37" i="1"/>
  <c r="Q37" i="1" s="1"/>
  <c r="M37" i="1"/>
  <c r="P37" i="1" s="1"/>
  <c r="N36" i="1"/>
  <c r="Q36" i="1" s="1"/>
  <c r="M36" i="1"/>
  <c r="P36" i="1" s="1"/>
  <c r="N35" i="1"/>
  <c r="Q35" i="1" s="1"/>
  <c r="M35" i="1"/>
  <c r="P35" i="1" s="1"/>
  <c r="N34" i="1"/>
  <c r="Q34" i="1" s="1"/>
  <c r="M34" i="1"/>
  <c r="P34" i="1" s="1"/>
  <c r="N33" i="1"/>
  <c r="Q33" i="1" s="1"/>
  <c r="M33" i="1"/>
  <c r="P33" i="1" s="1"/>
  <c r="N32" i="1"/>
  <c r="Q32" i="1" s="1"/>
  <c r="M32" i="1"/>
  <c r="P32" i="1" s="1"/>
  <c r="N31" i="1"/>
  <c r="Q31" i="1" s="1"/>
  <c r="M31" i="1"/>
  <c r="P31" i="1" s="1"/>
  <c r="N30" i="1"/>
  <c r="Q30" i="1" s="1"/>
  <c r="M30" i="1"/>
  <c r="P30" i="1" s="1"/>
  <c r="N29" i="1"/>
  <c r="Q29" i="1" s="1"/>
  <c r="M29" i="1"/>
  <c r="P29" i="1" s="1"/>
  <c r="N28" i="1"/>
  <c r="Q28" i="1" s="1"/>
  <c r="M28" i="1"/>
  <c r="P28" i="1" s="1"/>
  <c r="N27" i="1"/>
  <c r="Q27" i="1" s="1"/>
  <c r="M27" i="1"/>
  <c r="P27" i="1" s="1"/>
  <c r="N26" i="1"/>
  <c r="Q26" i="1" s="1"/>
  <c r="M26" i="1"/>
  <c r="P26" i="1" s="1"/>
  <c r="N25" i="1"/>
  <c r="Q25" i="1" s="1"/>
  <c r="M25" i="1"/>
  <c r="P25" i="1" s="1"/>
  <c r="N24" i="1"/>
  <c r="Q24" i="1" s="1"/>
  <c r="M24" i="1"/>
  <c r="P24" i="1" s="1"/>
  <c r="N23" i="1"/>
  <c r="Q23" i="1" s="1"/>
  <c r="M23" i="1"/>
  <c r="P23" i="1" s="1"/>
  <c r="N22" i="1"/>
  <c r="Q22" i="1" s="1"/>
  <c r="M22" i="1"/>
  <c r="P22" i="1" s="1"/>
  <c r="N21" i="1"/>
  <c r="Q21" i="1" s="1"/>
  <c r="M21" i="1"/>
  <c r="P21" i="1" s="1"/>
  <c r="N20" i="1"/>
  <c r="Q20" i="1" s="1"/>
  <c r="M20" i="1"/>
  <c r="P20" i="1" s="1"/>
  <c r="N19" i="1"/>
  <c r="Q19" i="1" s="1"/>
  <c r="M19" i="1"/>
  <c r="P19" i="1" s="1"/>
  <c r="N18" i="1"/>
  <c r="Q18" i="1" s="1"/>
  <c r="M18" i="1"/>
  <c r="P18" i="1" s="1"/>
  <c r="N17" i="1"/>
  <c r="Q17" i="1" s="1"/>
  <c r="Q63" i="1" s="1"/>
  <c r="M17" i="1"/>
  <c r="P17" i="1" s="1"/>
  <c r="P63" i="1" s="1"/>
  <c r="N16" i="1"/>
  <c r="Q16" i="1" s="1"/>
  <c r="Q67" i="1" s="1"/>
  <c r="M16" i="1"/>
  <c r="P16" i="1" s="1"/>
  <c r="P67" i="1" s="1"/>
  <c r="N15" i="1"/>
  <c r="Q15" i="1" s="1"/>
  <c r="M15" i="1"/>
  <c r="P15" i="1" s="1"/>
  <c r="N14" i="1"/>
  <c r="Q14" i="1" s="1"/>
  <c r="Q58" i="1" s="1"/>
  <c r="M14" i="1"/>
  <c r="P14" i="1" s="1"/>
  <c r="P58" i="1" s="1"/>
  <c r="N13" i="1"/>
  <c r="Q13" i="1" s="1"/>
  <c r="M13" i="1"/>
  <c r="P13" i="1" s="1"/>
  <c r="N12" i="1"/>
  <c r="Q12" i="1" s="1"/>
  <c r="M12" i="1"/>
  <c r="P12" i="1" s="1"/>
  <c r="N11" i="1"/>
  <c r="Q11" i="1" s="1"/>
  <c r="M11" i="1"/>
  <c r="P11" i="1" s="1"/>
  <c r="N10" i="1"/>
  <c r="Q10" i="1" s="1"/>
  <c r="M10" i="1"/>
  <c r="P10" i="1" s="1"/>
  <c r="N9" i="1"/>
  <c r="Q9" i="1" s="1"/>
  <c r="M9" i="1"/>
  <c r="P9" i="1" s="1"/>
  <c r="N8" i="1"/>
  <c r="Q8" i="1" s="1"/>
  <c r="M8" i="1"/>
  <c r="P8" i="1" s="1"/>
  <c r="N7" i="1"/>
  <c r="Q7" i="1" s="1"/>
  <c r="M7" i="1"/>
  <c r="P7" i="1" s="1"/>
  <c r="N6" i="1"/>
  <c r="Q6" i="1" s="1"/>
  <c r="M6" i="1"/>
  <c r="P6" i="1" s="1"/>
  <c r="N5" i="1"/>
  <c r="Q5" i="1" s="1"/>
  <c r="M5" i="1"/>
  <c r="P5" i="1" s="1"/>
  <c r="N4" i="1"/>
  <c r="Q4" i="1" s="1"/>
  <c r="M4" i="1"/>
  <c r="P4" i="1" s="1"/>
  <c r="N3" i="1"/>
  <c r="Q3" i="1" s="1"/>
  <c r="M3" i="1"/>
  <c r="P3" i="1" s="1"/>
  <c r="P21" i="4" l="1"/>
  <c r="Q11" i="4"/>
  <c r="P8" i="4"/>
  <c r="P16" i="4"/>
  <c r="Q13" i="4"/>
  <c r="Q9" i="4"/>
  <c r="P9" i="4"/>
  <c r="P11" i="4"/>
  <c r="P20" i="4"/>
  <c r="Q16" i="4"/>
  <c r="Q8" i="4"/>
  <c r="Q20" i="4"/>
  <c r="P66" i="1"/>
  <c r="P57" i="1"/>
  <c r="P49" i="1"/>
  <c r="P53" i="1"/>
  <c r="P59" i="1"/>
  <c r="P55" i="1"/>
  <c r="Q57" i="1"/>
  <c r="Q49" i="1"/>
  <c r="Q53" i="1"/>
  <c r="Q59" i="1"/>
  <c r="Q55" i="1"/>
  <c r="P62" i="1"/>
  <c r="P54" i="1"/>
  <c r="Q62" i="1"/>
  <c r="Q54" i="1"/>
  <c r="Q66" i="1"/>
</calcChain>
</file>

<file path=xl/sharedStrings.xml><?xml version="1.0" encoding="utf-8"?>
<sst xmlns="http://schemas.openxmlformats.org/spreadsheetml/2006/main" count="442" uniqueCount="194">
  <si>
    <t>Ref (PCB)</t>
  </si>
  <si>
    <t>Qty</t>
  </si>
  <si>
    <t>Type</t>
  </si>
  <si>
    <t>Hand Soldering</t>
  </si>
  <si>
    <t>Value</t>
  </si>
  <si>
    <t>Footprint</t>
  </si>
  <si>
    <t>Notes</t>
  </si>
  <si>
    <t>Link</t>
  </si>
  <si>
    <t>Price 1u (€)</t>
  </si>
  <si>
    <t>Price 5u (€)</t>
  </si>
  <si>
    <t>Price 10u (€)</t>
  </si>
  <si>
    <t>Total Qty (5 nodes)</t>
  </si>
  <si>
    <t>Total Qty (10 nodes)</t>
  </si>
  <si>
    <t>Total 5n (€)</t>
  </si>
  <si>
    <t>Total 10n (€)</t>
  </si>
  <si>
    <t xml:space="preserve">C4 </t>
  </si>
  <si>
    <t>THT</t>
  </si>
  <si>
    <t>Y</t>
  </si>
  <si>
    <t>4700uF/10V</t>
  </si>
  <si>
    <t>Capacitors_THT:CP_Radial_D13.0mm_P5.00mm</t>
  </si>
  <si>
    <t>Electrolitico, paso 5 mm</t>
  </si>
  <si>
    <t>https://www.digikey.es/product-detail/es/panasonic-electronic-components/EEU-FS1A472/P122372-ND/7381238</t>
  </si>
  <si>
    <t>C1 C2 C11 C12</t>
  </si>
  <si>
    <t>SMD</t>
  </si>
  <si>
    <t>10uF/16V X5R</t>
  </si>
  <si>
    <t>Capacitors_SMD:C_0805_HandSoldering</t>
  </si>
  <si>
    <t>https://www.mouser.es/ProductDetail/KEMET/C0805C106K4PACTU/?qs=sGAEpiMZZMs0AnBnWHyRQFPZAvo%252bkkSHtv%252blWN%2fhyQc%3d</t>
  </si>
  <si>
    <t xml:space="preserve">C3 </t>
  </si>
  <si>
    <t>0.1uF</t>
  </si>
  <si>
    <t>https://www.mouser.es/ProductDetail/KEMET/C0805C104K4RAC/?qs=sGAEpiMZZMs0AnBnWHyRQFv7x1xn%252bYFdfZwotANOlls%3d</t>
  </si>
  <si>
    <t xml:space="preserve">C6 </t>
  </si>
  <si>
    <t>10pF</t>
  </si>
  <si>
    <t>https://www.mouser.es/ProductDetail/KEMET/C0805C100M4GACTU/?qs=sGAEpiMZZMsh%252b1woXyUXj7q4p%252blzcJX%252byapikivM8Gs%3d</t>
  </si>
  <si>
    <t xml:space="preserve">C7 </t>
  </si>
  <si>
    <t>1uF/10V X5R</t>
  </si>
  <si>
    <t>https://www.mouser.es/ProductDetail/KEMET/C0805C105K8RACTM/?qs=sGAEpiMZZMs0AnBnWHyRQPcwga98g59rdQm3L0w%252bCEM%3d</t>
  </si>
  <si>
    <t xml:space="preserve">C8 C9 C10 </t>
  </si>
  <si>
    <t>22uF/10V X5R</t>
  </si>
  <si>
    <t>https://www.mouser.es/ProductDetail/KEMET/C0805C226M8PACTU/?qs=sGAEpiMZZMs0AnBnWHyRQDktH%252bPTkzI4eeDz7IZEAVRMh64cd0sY8g%3d%3d</t>
  </si>
  <si>
    <t xml:space="preserve">C5 </t>
  </si>
  <si>
    <t>10uF/10V</t>
  </si>
  <si>
    <t>https://www.mouser.es/ProductDetail/KEMET/C0805C106K8PACTU/?qs=sGAEpiMZZMs0AnBnWHyRQI9zuYIiQALCxT7NLyqb6iU%3d</t>
  </si>
  <si>
    <t xml:space="preserve">D1 </t>
  </si>
  <si>
    <t>N</t>
  </si>
  <si>
    <t>MBR120VLSFT1G</t>
  </si>
  <si>
    <t>SolarNodeFootprints:D_SOD-123FL</t>
  </si>
  <si>
    <t>Diodo rectificador</t>
  </si>
  <si>
    <t>https://www.mouser.es/ProductDetail/ON-Semiconductor/MBR120VLSFT3G/?qs=sGAEpiMZZMtQ8nqTKtFS%2fCKUxMvjsmGz%2fCigMfHc%252bQw%3d</t>
  </si>
  <si>
    <t xml:space="preserve">D2 </t>
  </si>
  <si>
    <t>ORANGE</t>
  </si>
  <si>
    <t>LEDs:LED_0805_HandSoldering</t>
  </si>
  <si>
    <t>LED naranja Vf = 1.922 V If = 4 mA</t>
  </si>
  <si>
    <t>https://www.mouser.es/ProductDetail/Kingbright/APTD2012LSYCK/?qs=sGAEpiMZZMseGfSY3csMkdgyOOAg6kv2TQUdJkopwz1UyYbevhZR8Q%3d%3d</t>
  </si>
  <si>
    <t xml:space="preserve">D3 D5 </t>
  </si>
  <si>
    <t>GREEN</t>
  </si>
  <si>
    <t>LED verde Vf = 1.946 If = 4 mA</t>
  </si>
  <si>
    <t>https://www.mouser.es/ProductDetail/Kingbright/APTD2012LCGCK/?qs=sGAEpiMZZMseGfSY3csMkdgyOOAg6kv2NMdXwwUBcFIoLGcb39jRDA%3d%3d</t>
  </si>
  <si>
    <t xml:space="preserve">D4 </t>
  </si>
  <si>
    <t>RED</t>
  </si>
  <si>
    <t>LED rojo Vf = 1.858 If = 4 mA</t>
  </si>
  <si>
    <t>https://www.mouser.es/ProductDetail/Kingbright/APTD2012LSURCK/?qs=sGAEpiMZZMseGfSY3csMkdgyOOAg6kv2HqsweE2wtPptR%252bT73RwchA%3d%3d</t>
  </si>
  <si>
    <t xml:space="preserve">J2 </t>
  </si>
  <si>
    <t>microUSB CHRG</t>
  </si>
  <si>
    <t>Connectors:USB_Micro-B</t>
  </si>
  <si>
    <t>microUSB tipo B</t>
  </si>
  <si>
    <t>https://www.mouser.es/ProductDetail/Hirose-Connector/ZX62D-B-5PA830/?qs=sGAEpiMZZMulM8LPOQ%252byk6r3VmhUEyMLT8hu1C1GYL85FtczwhvFwQ%3d%3d</t>
  </si>
  <si>
    <t xml:space="preserve">J1 </t>
  </si>
  <si>
    <t>DCIN</t>
  </si>
  <si>
    <t>Connectors:BARREL_JACK</t>
  </si>
  <si>
    <t>5.5 - 2.1 mm DC jack M</t>
  </si>
  <si>
    <t>https://www.tme.eu/es/details/fc68148/conectores-dc/cliff/dc-10a-fc68148/</t>
  </si>
  <si>
    <t>EXT</t>
  </si>
  <si>
    <t>5.5 - 2.1 mm DC jack F</t>
  </si>
  <si>
    <t>https://www.tme.eu/es/details/pc-2.1_5.5-14/conectores-dc/</t>
  </si>
  <si>
    <t>J7 SC1</t>
  </si>
  <si>
    <t>BATT Solar_Cell</t>
  </si>
  <si>
    <t>Connectors_JST:JST_PH_S2B-PH-SM4-TB_02x2.00mm_Angled</t>
  </si>
  <si>
    <t>Conectores JST PH macho 2 pines</t>
  </si>
  <si>
    <t>https://www.tme.eu/es/details/s2b-ph-sm4-tb/conectores-de-senal-raster-200mm/jst/</t>
  </si>
  <si>
    <t>Conectores JST PH hembra 2 pines</t>
  </si>
  <si>
    <t>https://www.tme.eu/es/details/02kr-6h-p/conectores-de-senal-raster-200mm/jst/</t>
  </si>
  <si>
    <t>J3 J4 J5 J6 J8</t>
  </si>
  <si>
    <t>Pin headers. Male, 1x25</t>
  </si>
  <si>
    <t>https://www.mouser.es/ProductDetail/Molex/22-28-4250/?qs=sGAEpiMZZMs%252bGHln7q6pmxD%2f5kNJnZVecYbid4L7veM%3d</t>
  </si>
  <si>
    <t>DHT22 &amp; DS18B20</t>
  </si>
  <si>
    <t>Pines hembra 3x1</t>
  </si>
  <si>
    <t>Conectores hembra</t>
  </si>
  <si>
    <t>https://www.mouser.es/ProductDetail/Molex/14-60-0036/?qs=sGAEpiMZZMs%252bGHln7q6pmyYFY3tENhoZZJxChZoP7rk%3d</t>
  </si>
  <si>
    <t xml:space="preserve">L1 </t>
  </si>
  <si>
    <t>NRS5030T1R0NMGJ</t>
  </si>
  <si>
    <t>Inductors_SMD:L_Taiyo-Yuden_NR-50xx_HandSoldering</t>
  </si>
  <si>
    <t>Inductor buck/boost</t>
  </si>
  <si>
    <t>https://www.mouser.es/ProductDetail/Taiyo-Yuden/NRS5030T1R0NMGJ/?qs=sGAEpiMZZMsg%252by3WlYCkUxKtLD%252bh7oEFMHMqXsG4fwo%3d</t>
  </si>
  <si>
    <t xml:space="preserve">Q1 </t>
  </si>
  <si>
    <t>BSS138</t>
  </si>
  <si>
    <t>TO_SOT_Packages_SMD:SOT-23</t>
  </si>
  <si>
    <t>Transistor</t>
  </si>
  <si>
    <t>https://www.mouser.es/ProductDetail/ON-Semiconductor-Fairchild/BSS138L/?qs=sGAEpiMZZMshyDBzk1%2fWi4BzQbP6tbUhQAkUBAzDZmsxS%2fazuvIVhQ%3d%3d</t>
  </si>
  <si>
    <t xml:space="preserve">R15 </t>
  </si>
  <si>
    <t>Resistors_SMD:R_0805_HandSoldering</t>
  </si>
  <si>
    <t>115k 1%</t>
  </si>
  <si>
    <t>https://www.mouser.es/ProductDetail/Yageo/RC0805FR-07115KL/?qs=sGAEpiMZZMtlubZbdhIBIHuAoAkAo22N7v2fnh1eVEQ%3d</t>
  </si>
  <si>
    <t xml:space="preserve">R16 </t>
  </si>
  <si>
    <t>56k 1%</t>
  </si>
  <si>
    <t>https://www.mouser.es/ProductDetail/Yageo/RC0805FR-0756KL/?qs=sGAEpiMZZMtlubZbdhIBIDa%2fhYjOd3Y%252bJRqEVpzve9U%3d</t>
  </si>
  <si>
    <t xml:space="preserve">R3 R6 R9 R14 R13 </t>
  </si>
  <si>
    <t>1k 1%</t>
  </si>
  <si>
    <t>https://www.mouser.es/ProductDetail/Yageo/RC0805FR-071KL/?qs=sGAEpiMZZMtlubZbdhIBINUJ4p5cMnF1Rv8sEVwr4ss%3d</t>
  </si>
  <si>
    <t xml:space="preserve">R1 </t>
  </si>
  <si>
    <t>0R 5%</t>
  </si>
  <si>
    <t>https://www.mouser.es/ProductDetail/Yageo/RC0805JR-070RS/?qs=sGAEpiMZZMu61qfTUdNhGwCu8n0o5PqhKUhm0c1%252bDy7CQERLNl1dvQ%3d%3d</t>
  </si>
  <si>
    <t xml:space="preserve">R10 </t>
  </si>
  <si>
    <t>270k 1%</t>
  </si>
  <si>
    <t>https://www.mouser.es/ProductDetail/Yageo/RC0805FR-07270KL/?qs=sGAEpiMZZMtlubZbdhIBIAQgR8I6PBLByRhFJP%252b6BCs%3d</t>
  </si>
  <si>
    <t xml:space="preserve">R11 R12 </t>
  </si>
  <si>
    <t>100k 5%</t>
  </si>
  <si>
    <t>https://www.mouser.es/ProductDetail/Yageo/RC0805JR-07100KL/?qs=sGAEpiMZZMu61qfTUdNhG5eFuApKbqVdvpI%2f2FKOzmo%3d</t>
  </si>
  <si>
    <t xml:space="preserve">R7 R2 R5 </t>
  </si>
  <si>
    <t>105k 1%</t>
  </si>
  <si>
    <t>https://www.mouser.es/ProductDetail/Yageo/RC0805FR-07105KL/?qs=sGAEpiMZZMtlubZbdhIBIMN3bZRLqVxthAkyWd%2fCqlg%3d</t>
  </si>
  <si>
    <t xml:space="preserve">R4 R8 </t>
  </si>
  <si>
    <t>1M 5%</t>
  </si>
  <si>
    <t>https://www.mouser.es/ProductDetail/Yageo/RC0805JR-071ML/?qs=sGAEpiMZZMu61qfTUdNhG5eFuApKbqVdesf%2fYWRN4qE%3d</t>
  </si>
  <si>
    <t xml:space="preserve">RT1 </t>
  </si>
  <si>
    <t>150k 1%</t>
  </si>
  <si>
    <t>https://www.mouser.es/ProductDetail/Yageo/RC0805FR-07150KL/?qs=sGAEpiMZZMtlubZbdhIBIBEZimkhVqQ4txl6Q1oOo2U%3d</t>
  </si>
  <si>
    <t>PROG</t>
  </si>
  <si>
    <t>SolarNodeFootprints:R_0805_SMD_THT_HandSoldering</t>
  </si>
  <si>
    <t>2k 1%</t>
  </si>
  <si>
    <t>https://www.mouser.es/ProductDetail/Yageo/RC0805FR-072KL/?qs=sGAEpiMZZMtlubZbdhIBIJv49G1poxg9G2UwItFTLLs%3d</t>
  </si>
  <si>
    <t>THERM</t>
  </si>
  <si>
    <t>3950 NTC</t>
  </si>
  <si>
    <t>10k NTC B25/50 = 3950 +- 1%</t>
  </si>
  <si>
    <t>https://www.mouser.es/ProductDetail/Murata/NXFT15XV103FA2B150/?qs=MY6wChARw2z2TBhtd5BylA%3d%3d</t>
  </si>
  <si>
    <t xml:space="preserve">U3 </t>
  </si>
  <si>
    <t>LoPy socket</t>
  </si>
  <si>
    <t>SolarNodeFootprints:LoPy</t>
  </si>
  <si>
    <t>14x2 pines hembra largos</t>
  </si>
  <si>
    <t>https://www.digikey.es/product-detail/es/samtec-inc/SSQ-114-03-T-S/SAM1206-14-ND/1111944</t>
  </si>
  <si>
    <t>14x2 pines hembra</t>
  </si>
  <si>
    <t>https://www.digikey.es/product-detail/es/samtec-inc/SSQ-114-01-T-S/SAM1184-14-ND/1110803</t>
  </si>
  <si>
    <t xml:space="preserve">U4 </t>
  </si>
  <si>
    <t>LMR982</t>
  </si>
  <si>
    <t>Housings_SSOP:MSOP-10_3x3mm_Pitch0.5mm</t>
  </si>
  <si>
    <t>OpAmp LMR982FVM</t>
  </si>
  <si>
    <t>https://www.mouser.es/ProductDetail/ROHM-Semiconductor/LMR982FVM-TR/?qs=%2fha2pyFadujo8PFNJ%252bD%252bGGSE680UnAuWj7rJZsc4v0I%3d</t>
  </si>
  <si>
    <t xml:space="preserve">U2 </t>
  </si>
  <si>
    <t>MCP73871</t>
  </si>
  <si>
    <t>SolarNodeFootprints:QFN-20-1EP_4x4mm_Pitch0.5mm</t>
  </si>
  <si>
    <t>Battery charger</t>
  </si>
  <si>
    <t>https://www.mouser.es/ProductDetail/Microchip-Technology/MCP73871-2CCI-ML/?qs=sGAEpiMZZMsfD%252bbMpEGFJTBgSiZyq7JHc67mXA%2fcaEo%3d</t>
  </si>
  <si>
    <t xml:space="preserve">U1 </t>
  </si>
  <si>
    <t>TPS63060</t>
  </si>
  <si>
    <t>SolarNodeFootprints:S-PWSON-N10</t>
  </si>
  <si>
    <t>Power switch</t>
  </si>
  <si>
    <t>https://www.mouser.es/ProductDetail/Texas-Instruments/TPS63060DSCR/?qs=sGAEpiMZZMvAX9OfPh%252b2Nb3S1nUwzhfzYCHouSrTYqI%3d</t>
  </si>
  <si>
    <t>LoPy</t>
  </si>
  <si>
    <t>Microcontroller</t>
  </si>
  <si>
    <t>https://www.mouser.es/ProductDetail/Pycom/LoPy/?qs=%2fha2pyFaduhvd1nGDS%252ba5CLUWZFIKznPsSFuOEGRZsE%3d</t>
  </si>
  <si>
    <t>Expansion board</t>
  </si>
  <si>
    <t>Pycom Expansion board</t>
  </si>
  <si>
    <t>https://www.mouser.es/ProductDetail/Pycom/Expansion-Board/?qs=%2fha2pyFadujySMdV5Qj%2fJexp9%2fF6HRqj3xMlt1Zqwwj0tBFPHmhC2vLjHkit3Fwc</t>
  </si>
  <si>
    <t>Antena LoRa</t>
  </si>
  <si>
    <t>868 MHz</t>
  </si>
  <si>
    <t>https://www.mouser.es/ProductDetail/Pycom/LoRa-Sigfox-Antenna-Kit/?qs=%2fha2pyFaduiwVZN%2fTqaISLVTsX%2f2BhpzlM97EcESRqR51gT13PIUmaog2Rz7zTUN</t>
  </si>
  <si>
    <t>DHT22</t>
  </si>
  <si>
    <t>T&amp;RH sensor</t>
  </si>
  <si>
    <t>https://www.mouser.es/ProductDetail/Adafruit/393/?qs=sGAEpiMZZMsMyYRRhGMFNjQer5SXmdKhqdCeGzcwTcI%3d</t>
  </si>
  <si>
    <t>DS18B20</t>
  </si>
  <si>
    <t>T sensor</t>
  </si>
  <si>
    <t>https://www.mouser.es/ProductDetail/Maxim-Integrated/DS18B20+/?qs=sGAEpiMZZMucenltShoSnu2ltHLyJVLbjVt2VYI39eg%3d</t>
  </si>
  <si>
    <t>Batería LiPo 800 mAh</t>
  </si>
  <si>
    <t>https://www.tme.eu/es/details/accu-lp503448_cl/baterias/cellevia-batteries/l503448/</t>
  </si>
  <si>
    <t>Panel solar medida</t>
  </si>
  <si>
    <t>https://www.digikey.es/product-detail/es/ixys/KXOB22-12X1F/KXOB22-12X1F-ND/4840079</t>
  </si>
  <si>
    <t>Panel solar alimentación 6V</t>
  </si>
  <si>
    <t>https://www.mouser.es/ProductDetail/Adafruit/200/?qs=sGAEpiMZZMsMyYRRhGMFNh0UmQdKZ6yJQn2PF3%2faB1Y%3d</t>
  </si>
  <si>
    <t>https://www.digikey.es/products/es?keywords=MIKROE-1626</t>
  </si>
  <si>
    <t>Total:</t>
  </si>
  <si>
    <t>Total (€):</t>
  </si>
  <si>
    <t>Envío TME (€):</t>
  </si>
  <si>
    <t>Digikey (€):</t>
  </si>
  <si>
    <t>Mouser (€):</t>
  </si>
  <si>
    <t>TME (€):</t>
  </si>
  <si>
    <t>Digikey THT (€):</t>
  </si>
  <si>
    <t>Mouser THT (€):</t>
  </si>
  <si>
    <t>TME THT (€):</t>
  </si>
  <si>
    <t>Digikey SMD (€):</t>
  </si>
  <si>
    <t>Mouser SMD (€):</t>
  </si>
  <si>
    <t>TME SMD (€):</t>
  </si>
  <si>
    <t>Digikey EXT (€):</t>
  </si>
  <si>
    <t>Mouser EXT (€):</t>
  </si>
  <si>
    <t>TME EXT (€):</t>
  </si>
  <si>
    <t>https://www.digikey.es/product-detail/es/ixys/SLMD121H04L/SLMD121H04L-ND/3463124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</si>
</sst>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164" fontId="2" fillId="2" borderId="0" xfId="0" applyNumberFormat="1" applyFont="1" applyFill="1" applyBorder="1"/>
    <xf numFmtId="2" fontId="2" fillId="2" borderId="0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1" applyFont="1" applyBorder="1" applyAlignment="1" applyProtection="1"/>
    <xf numFmtId="164" fontId="1" fillId="0" borderId="0" xfId="1" applyNumberFormat="1" applyFont="1" applyBorder="1" applyAlignment="1" applyProtection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1" applyFont="1" applyBorder="1" applyAlignment="1" applyProtection="1">
      <alignment vertical="center" wrapText="1"/>
    </xf>
    <xf numFmtId="164" fontId="1" fillId="0" borderId="0" xfId="1" applyNumberFormat="1" applyFont="1" applyBorder="1" applyAlignment="1" applyProtection="1">
      <alignment vertical="center" wrapText="1"/>
    </xf>
    <xf numFmtId="0" fontId="4" fillId="0" borderId="0" xfId="1" applyFont="1" applyBorder="1" applyAlignment="1" applyProtection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4" fillId="3" borderId="0" xfId="1" applyFont="1" applyFill="1" applyBorder="1" applyProtection="1"/>
    <xf numFmtId="164" fontId="0" fillId="3" borderId="0" xfId="0" applyNumberFormat="1" applyFill="1"/>
    <xf numFmtId="0" fontId="0" fillId="3" borderId="0" xfId="0" applyFill="1" applyBorder="1"/>
    <xf numFmtId="2" fontId="0" fillId="3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left"/>
    </xf>
    <xf numFmtId="2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/>
    <xf numFmtId="164" fontId="0" fillId="3" borderId="0" xfId="0" applyNumberFormat="1" applyFont="1" applyFill="1"/>
  </cellXfs>
  <cellStyles count="2">
    <cellStyle name="Hipervínculo" xfId="1" builtinId="8"/>
    <cellStyle name="Normal" xfId="0" builtinId="0"/>
  </cellStyles>
  <dxfs count="14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me.eu/es/details/fc68148/conectores-dc/cliff/dc-10a-fc68148/" TargetMode="External"/><Relationship Id="rId18" Type="http://schemas.openxmlformats.org/officeDocument/2006/relationships/hyperlink" Target="https://www.mouser.es/ProductDetail/Molex/14-60-0036/?qs=sGAEpiMZZMs%252bGHln7q6pmyYFY3tENhoZZJxChZoP7rk%3D" TargetMode="External"/><Relationship Id="rId26" Type="http://schemas.openxmlformats.org/officeDocument/2006/relationships/hyperlink" Target="https://www.mouser.es/ProductDetail/Yageo/RC0805JR-07100KL/?qs=sGAEpiMZZMu61qfTUdNhG5eFuApKbqVdvpI%2F2FKOzmo%3D" TargetMode="External"/><Relationship Id="rId39" Type="http://schemas.openxmlformats.org/officeDocument/2006/relationships/hyperlink" Target="https://www.mouser.es/ProductDetail/Pycom/LoRa-Sigfox-Antenna-Kit/?qs=%2Fha2pyFaduiwVZN%2FTqaISLVTsX%2F2BhpzlM97EcESRqR51gT13PIUmaog2Rz7zTUN" TargetMode="External"/><Relationship Id="rId21" Type="http://schemas.openxmlformats.org/officeDocument/2006/relationships/hyperlink" Target="https://www.mouser.es/ProductDetail/Yageo/RC0805FR-07115KL/?qs=sGAEpiMZZMtlubZbdhIBIHuAoAkAo22N7v2fnh1eVEQ%3D" TargetMode="External"/><Relationship Id="rId34" Type="http://schemas.openxmlformats.org/officeDocument/2006/relationships/hyperlink" Target="https://www.mouser.es/ProductDetail/ROHM-Semiconductor/LMR982FVM-TR/?qs=%2Fha2pyFadujo8PFNJ%252bD%252bGGSE680UnAuWj7rJZsc4v0I%3D" TargetMode="External"/><Relationship Id="rId42" Type="http://schemas.openxmlformats.org/officeDocument/2006/relationships/hyperlink" Target="https://www.tme.eu/es/details/accu-lp503448_cl/baterias/cellevia-batteries/l503448/" TargetMode="External"/><Relationship Id="rId7" Type="http://schemas.openxmlformats.org/officeDocument/2006/relationships/hyperlink" Target="https://www.mouser.es/ProductDetail/KEMET/C0805C106K8PACTU/?qs=sGAEpiMZZMs0AnBnWHyRQI9zuYIiQALCxT7NLyqb6iU%3D" TargetMode="External"/><Relationship Id="rId2" Type="http://schemas.openxmlformats.org/officeDocument/2006/relationships/hyperlink" Target="https://www.mouser.es/ProductDetail/KEMET/C0805C106K4PACTU/?qs=sGAEpiMZZMs0AnBnWHyRQFPZAvo%252bkkSHtv%252blWN%2FhyQc%3D" TargetMode="External"/><Relationship Id="rId16" Type="http://schemas.openxmlformats.org/officeDocument/2006/relationships/hyperlink" Target="https://www.tme.eu/es/details/02kr-6h-p/conectores-de-senal-raster-200mm/jst/" TargetMode="External"/><Relationship Id="rId29" Type="http://schemas.openxmlformats.org/officeDocument/2006/relationships/hyperlink" Target="https://www.mouser.es/ProductDetail/Yageo/RC0805FR-07150KL/?qs=sGAEpiMZZMtlubZbdhIBIBEZimkhVqQ4txl6Q1oOo2U%3D" TargetMode="External"/><Relationship Id="rId1" Type="http://schemas.openxmlformats.org/officeDocument/2006/relationships/hyperlink" Target="https://www.digikey.es/product-detail/es/panasonic-electronic-components/EEU-FS1A472/P122372-ND/7381238" TargetMode="External"/><Relationship Id="rId6" Type="http://schemas.openxmlformats.org/officeDocument/2006/relationships/hyperlink" Target="https://www.mouser.es/ProductDetail/KEMET/C0805C226M8PACTU/?qs=sGAEpiMZZMs0AnBnWHyRQDktH%252bPTkzI4eeDz7IZEAVRMh64cd0sY8g%3D%3D" TargetMode="External"/><Relationship Id="rId11" Type="http://schemas.openxmlformats.org/officeDocument/2006/relationships/hyperlink" Target="https://www.mouser.es/ProductDetail/Kingbright/APTD2012LSURCK/?qs=sGAEpiMZZMseGfSY3csMkdgyOOAg6kv2HqsweE2wtPptR%252bT73RwchA%3D%3D" TargetMode="External"/><Relationship Id="rId24" Type="http://schemas.openxmlformats.org/officeDocument/2006/relationships/hyperlink" Target="https://www.mouser.es/ProductDetail/Yageo/RC0805JR-070RS/?qs=sGAEpiMZZMu61qfTUdNhGwCu8n0o5PqhKUhm0c1%252bDy7CQERLNl1dvQ%3D%3D" TargetMode="External"/><Relationship Id="rId32" Type="http://schemas.openxmlformats.org/officeDocument/2006/relationships/hyperlink" Target="https://www.digikey.es/product-detail/es/samtec-inc/SSQ-114-03-T-S/SAM1206-14-ND/1111944" TargetMode="External"/><Relationship Id="rId37" Type="http://schemas.openxmlformats.org/officeDocument/2006/relationships/hyperlink" Target="https://www.mouser.es/ProductDetail/Pycom/LoPy/?qs=%2Fha2pyFaduhvd1nGDS%252ba5CLUWZFIKznPsSFuOEGRZsE%3D" TargetMode="External"/><Relationship Id="rId40" Type="http://schemas.openxmlformats.org/officeDocument/2006/relationships/hyperlink" Target="https://www.mouser.es/ProductDetail/Adafruit/393/?qs=sGAEpiMZZMsMyYRRhGMFNjQer5SXmdKhqdCeGzcwTcI%3D" TargetMode="External"/><Relationship Id="rId45" Type="http://schemas.openxmlformats.org/officeDocument/2006/relationships/hyperlink" Target="https://www.digikey.es/products/es?keywords=MIKROE-1626" TargetMode="External"/><Relationship Id="rId5" Type="http://schemas.openxmlformats.org/officeDocument/2006/relationships/hyperlink" Target="https://www.mouser.es/ProductDetail/KEMET/C0805C105K8RACTM/?qs=sGAEpiMZZMs0AnBnWHyRQPcwga98g59rdQm3L0w%252bCEM%3D" TargetMode="External"/><Relationship Id="rId15" Type="http://schemas.openxmlformats.org/officeDocument/2006/relationships/hyperlink" Target="https://www.tme.eu/es/details/s2b-ph-sm4-tb/conectores-de-senal-raster-200mm/jst/" TargetMode="External"/><Relationship Id="rId23" Type="http://schemas.openxmlformats.org/officeDocument/2006/relationships/hyperlink" Target="https://www.mouser.es/ProductDetail/Yageo/RC0805FR-071KL/?qs=sGAEpiMZZMtlubZbdhIBINUJ4p5cMnF1Rv8sEVwr4ss%3D" TargetMode="External"/><Relationship Id="rId28" Type="http://schemas.openxmlformats.org/officeDocument/2006/relationships/hyperlink" Target="https://www.mouser.es/ProductDetail/Yageo/RC0805JR-071ML/?qs=sGAEpiMZZMu61qfTUdNhG5eFuApKbqVdesf%2FYWRN4qE%3D" TargetMode="External"/><Relationship Id="rId36" Type="http://schemas.openxmlformats.org/officeDocument/2006/relationships/hyperlink" Target="https://www.mouser.es/ProductDetail/Texas-Instruments/TPS63060DSCR/?qs=sGAEpiMZZMvAX9OfPh%252b2Nb3S1nUwzhfzYCHouSrTYqI%3D" TargetMode="External"/><Relationship Id="rId10" Type="http://schemas.openxmlformats.org/officeDocument/2006/relationships/hyperlink" Target="https://www.mouser.es/ProductDetail/Kingbright/APTD2012LCGCK/?qs=sGAEpiMZZMseGfSY3csMkdgyOOAg6kv2NMdXwwUBcFIoLGcb39jRDA%3D%3D" TargetMode="External"/><Relationship Id="rId19" Type="http://schemas.openxmlformats.org/officeDocument/2006/relationships/hyperlink" Target="https://www.mouser.es/ProductDetail/Taiyo-Yuden/NRS5030T1R0NMGJ/?qs=sGAEpiMZZMsg%252by3WlYCkUxKtLD%252bh7oEFMHMqXsG4fwo%3D" TargetMode="External"/><Relationship Id="rId31" Type="http://schemas.openxmlformats.org/officeDocument/2006/relationships/hyperlink" Target="https://www.mouser.es/ProductDetail/Murata/NXFT15XV103FA2B150/?qs=MY6wChARw2z2TBhtd5BylA%3D%3D" TargetMode="External"/><Relationship Id="rId44" Type="http://schemas.openxmlformats.org/officeDocument/2006/relationships/hyperlink" Target="https://www.mouser.es/ProductDetail/Adafruit/200/?qs=sGAEpiMZZMsMyYRRhGMFNh0UmQdKZ6yJQn2PF3%2FaB1Y%3D" TargetMode="External"/><Relationship Id="rId4" Type="http://schemas.openxmlformats.org/officeDocument/2006/relationships/hyperlink" Target="https://www.mouser.es/ProductDetail/KEMET/C0805C100M4GACTU/?qs=sGAEpiMZZMsh%252b1woXyUXj7q4p%252blzcJX%252byapikivM8Gs%3D" TargetMode="External"/><Relationship Id="rId9" Type="http://schemas.openxmlformats.org/officeDocument/2006/relationships/hyperlink" Target="https://www.mouser.es/ProductDetail/Kingbright/APTD2012LSYCK/?qs=sGAEpiMZZMseGfSY3csMkdgyOOAg6kv2TQUdJkopwz1UyYbevhZR8Q%3D%3D" TargetMode="External"/><Relationship Id="rId14" Type="http://schemas.openxmlformats.org/officeDocument/2006/relationships/hyperlink" Target="https://www.tme.eu/es/details/pc-2.1_5.5-14/conectores-dc/" TargetMode="External"/><Relationship Id="rId22" Type="http://schemas.openxmlformats.org/officeDocument/2006/relationships/hyperlink" Target="https://www.mouser.es/ProductDetail/Yageo/RC0805FR-0756KL/?qs=sGAEpiMZZMtlubZbdhIBIDa%2FhYjOd3Y%252bJRqEVpzve9U%3D" TargetMode="External"/><Relationship Id="rId27" Type="http://schemas.openxmlformats.org/officeDocument/2006/relationships/hyperlink" Target="https://www.mouser.es/ProductDetail/Yageo/RC0805FR-07105KL/?qs=sGAEpiMZZMtlubZbdhIBIMN3bZRLqVxthAkyWd%2FCqlg%3D" TargetMode="External"/><Relationship Id="rId30" Type="http://schemas.openxmlformats.org/officeDocument/2006/relationships/hyperlink" Target="https://www.mouser.es/ProductDetail/Yageo/RC0805FR-072KL/?qs=sGAEpiMZZMtlubZbdhIBIJv49G1poxg9G2UwItFTLLs%3D" TargetMode="External"/><Relationship Id="rId35" Type="http://schemas.openxmlformats.org/officeDocument/2006/relationships/hyperlink" Target="https://www.mouser.es/ProductDetail/Microchip-Technology/MCP73871-2CCI-ML/?qs=sGAEpiMZZMsfD%252bbMpEGFJTBgSiZyq7JHc67mXA%2FcaEo%3D" TargetMode="External"/><Relationship Id="rId43" Type="http://schemas.openxmlformats.org/officeDocument/2006/relationships/hyperlink" Target="https://www.digikey.es/product-detail/es/ixys/KXOB22-12X1F/KXOB22-12X1F-ND/4840079" TargetMode="External"/><Relationship Id="rId8" Type="http://schemas.openxmlformats.org/officeDocument/2006/relationships/hyperlink" Target="https://www.mouser.es/ProductDetail/ON-Semiconductor/MBR120VLSFT3G/?qs=sGAEpiMZZMtQ8nqTKtFS%2FCKUxMvjsmGz%2FCigMfHc%252bQw%3D" TargetMode="External"/><Relationship Id="rId3" Type="http://schemas.openxmlformats.org/officeDocument/2006/relationships/hyperlink" Target="https://www.mouser.es/ProductDetail/KEMET/C0805C104K4RAC/?qs=sGAEpiMZZMs0AnBnWHyRQFv7x1xn%252bYFdfZwotANOlls%3D" TargetMode="External"/><Relationship Id="rId12" Type="http://schemas.openxmlformats.org/officeDocument/2006/relationships/hyperlink" Target="https://www.mouser.es/ProductDetail/Hirose-Connector/ZX62D-B-5PA830/?qs=sGAEpiMZZMulM8LPOQ%252byk6r3VmhUEyMLT8hu1C1GYL85FtczwhvFwQ%3D%3D" TargetMode="External"/><Relationship Id="rId17" Type="http://schemas.openxmlformats.org/officeDocument/2006/relationships/hyperlink" Target="https://www.mouser.es/ProductDetail/Molex/22-28-4250/?qs=sGAEpiMZZMs%252bGHln7q6pmxD%2F5kNJnZVecYbid4L7veM%3D" TargetMode="External"/><Relationship Id="rId25" Type="http://schemas.openxmlformats.org/officeDocument/2006/relationships/hyperlink" Target="https://www.mouser.es/ProductDetail/Yageo/RC0805FR-07270KL/?qs=sGAEpiMZZMtlubZbdhIBIAQgR8I6PBLByRhFJP%252b6BCs%3D" TargetMode="External"/><Relationship Id="rId33" Type="http://schemas.openxmlformats.org/officeDocument/2006/relationships/hyperlink" Target="https://www.digikey.es/product-detail/es/samtec-inc/SSQ-114-01-T-S/SAM1184-14-ND/1110803" TargetMode="External"/><Relationship Id="rId38" Type="http://schemas.openxmlformats.org/officeDocument/2006/relationships/hyperlink" Target="https://www.mouser.es/ProductDetail/Pycom/Expansion-Board/?qs=%2Fha2pyFadujySMdV5Qj%2FJexp9%2FF6HRqj3xMlt1Zqwwj0tBFPHmhC2vLjHkit3Fwc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mouser.es/ProductDetail/ON-Semiconductor-Fairchild/BSS138L/?qs=sGAEpiMZZMshyDBzk1%2FWi4BzQbP6tbUhQAkUBAzDZmsxS%2FazuvIVhQ%3D%3D" TargetMode="External"/><Relationship Id="rId41" Type="http://schemas.openxmlformats.org/officeDocument/2006/relationships/hyperlink" Target="https://www.mouser.es/ProductDetail/Maxim-Integrated/DS18B20+/?qs=sGAEpiMZZMucenltShoSnu2ltHLyJVLbjVt2VYI39eg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product-detail/es/samtec-inc/SSQ-114-01-T-S/SAM1184-14-ND/1110803" TargetMode="External"/><Relationship Id="rId2" Type="http://schemas.openxmlformats.org/officeDocument/2006/relationships/hyperlink" Target="https://www.digikey.es/product-detail/es/samtec-inc/SSQ-114-03-T-S/SAM1206-14-ND/1111944" TargetMode="External"/><Relationship Id="rId1" Type="http://schemas.openxmlformats.org/officeDocument/2006/relationships/hyperlink" Target="https://www.digikey.es/product-detail/es/panasonic-electronic-components/EEU-FS1A472/P122372-ND/7381238" TargetMode="External"/><Relationship Id="rId6" Type="http://schemas.openxmlformats.org/officeDocument/2006/relationships/hyperlink" Target="https://www.digikey.es/products/es?keywords=MIKROE-1626" TargetMode="External"/><Relationship Id="rId5" Type="http://schemas.openxmlformats.org/officeDocument/2006/relationships/hyperlink" Target="https://www.digikey.es/product-detail/es/ixys/SLMD121H04L/SLMD121H04L-ND/3463124" TargetMode="External"/><Relationship Id="rId4" Type="http://schemas.openxmlformats.org/officeDocument/2006/relationships/hyperlink" Target="https://www.digikey.es/product-detail/es/ixys/KXOB22-12X1F/KXOB22-12X1F-ND/484007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Adafruit/393/?qs=sGAEpiMZZMsMyYRRhGMFNjQer5SXmdKhqdCeGzcwTcI%3D" TargetMode="External"/><Relationship Id="rId3" Type="http://schemas.openxmlformats.org/officeDocument/2006/relationships/hyperlink" Target="https://www.mouser.es/ProductDetail/Molex/14-60-0036/?qs=sGAEpiMZZMs%252bGHln7q6pmyYFY3tENhoZZJxChZoP7rk%3D" TargetMode="External"/><Relationship Id="rId7" Type="http://schemas.openxmlformats.org/officeDocument/2006/relationships/hyperlink" Target="https://www.mouser.es/ProductDetail/Pycom/LoRa-Sigfox-Antenna-Kit/?qs=%2Fha2pyFaduiwVZN%2FTqaISLVTsX%2F2BhpzlM97EcESRqR51gT13PIUmaog2Rz7zTUN" TargetMode="External"/><Relationship Id="rId2" Type="http://schemas.openxmlformats.org/officeDocument/2006/relationships/hyperlink" Target="https://www.mouser.es/ProductDetail/Molex/22-28-4250/?qs=sGAEpiMZZMs%252bGHln7q6pmxD%2F5kNJnZVecYbid4L7veM%3D" TargetMode="External"/><Relationship Id="rId1" Type="http://schemas.openxmlformats.org/officeDocument/2006/relationships/hyperlink" Target="https://www.mouser.es/ProductDetail/Hirose-Connector/ZX62D-B-5PA830/?qs=sGAEpiMZZMulM8LPOQ%252byk6r3VmhUEyMLT8hu1C1GYL85FtczwhvFwQ%3D%3D" TargetMode="External"/><Relationship Id="rId6" Type="http://schemas.openxmlformats.org/officeDocument/2006/relationships/hyperlink" Target="https://www.mouser.es/ProductDetail/Pycom/Expansion-Board/?qs=%2Fha2pyFadujySMdV5Qj%2FJexp9%2FF6HRqj3xMlt1Zqwwj0tBFPHmhC2vLjHkit3Fwc" TargetMode="External"/><Relationship Id="rId5" Type="http://schemas.openxmlformats.org/officeDocument/2006/relationships/hyperlink" Target="https://www.mouser.es/ProductDetail/Pycom/LoPy/?qs=%2Fha2pyFaduhvd1nGDS%252ba5CLUWZFIKznPsSFuOEGRZsE%3D" TargetMode="External"/><Relationship Id="rId10" Type="http://schemas.openxmlformats.org/officeDocument/2006/relationships/hyperlink" Target="https://www.mouser.es/ProductDetail/Adafruit/200/?qs=sGAEpiMZZMsMyYRRhGMFNh0UmQdKZ6yJQn2PF3%2FaB1Y%3D" TargetMode="External"/><Relationship Id="rId4" Type="http://schemas.openxmlformats.org/officeDocument/2006/relationships/hyperlink" Target="https://www.mouser.es/ProductDetail/Murata/NXFT15XV103FA2B150/?qs=MY6wChARw2z2TBhtd5BylA%3D%3D" TargetMode="External"/><Relationship Id="rId9" Type="http://schemas.openxmlformats.org/officeDocument/2006/relationships/hyperlink" Target="https://www.mouser.es/ProductDetail/Maxim-Integrated/DS18B20+/?qs=sGAEpiMZZMucenltShoSnu2ltHLyJVLbjVt2VYI39eg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es/details/02kr-6h-p/conectores-de-senal-raster-200mm/jst/" TargetMode="External"/><Relationship Id="rId2" Type="http://schemas.openxmlformats.org/officeDocument/2006/relationships/hyperlink" Target="https://www.tme.eu/es/details/pc-2.1_5.5-14/conectores-dc/" TargetMode="External"/><Relationship Id="rId1" Type="http://schemas.openxmlformats.org/officeDocument/2006/relationships/hyperlink" Target="https://www.tme.eu/es/details/fc68148/conectores-dc/cliff/dc-10a-fc68148/" TargetMode="External"/><Relationship Id="rId4" Type="http://schemas.openxmlformats.org/officeDocument/2006/relationships/hyperlink" Target="https://www.tme.eu/es/details/accu-lp503448_cl/baterias/cellevia-batteries/l5034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Views>
    <sheetView zoomScaleNormal="100" workbookViewId="0">
      <pane ySplit="2" topLeftCell="A3" activePane="bottomLeft" state="frozen"/>
      <selection pane="bottomLeft" activeCell="E53" sqref="E53"/>
    </sheetView>
  </sheetViews>
  <sheetFormatPr baseColWidth="10" defaultColWidth="9.140625" defaultRowHeight="15" x14ac:dyDescent="0.25"/>
  <cols>
    <col min="1" max="1" width="19.7109375" customWidth="1"/>
    <col min="2" max="2" width="4.140625" customWidth="1"/>
    <col min="3" max="3" width="5.5703125" customWidth="1"/>
    <col min="4" max="4" width="15.7109375" style="1" customWidth="1"/>
    <col min="5" max="5" width="11.7109375" customWidth="1"/>
    <col min="6" max="6" width="25.140625" customWidth="1"/>
    <col min="7" max="7" width="17.7109375" customWidth="1"/>
    <col min="8" max="8" width="21.5703125" customWidth="1"/>
    <col min="9" max="9" width="10.85546875" style="2" customWidth="1"/>
    <col min="10" max="11" width="11.42578125" style="3"/>
    <col min="12" max="12" width="11.42578125" style="4"/>
    <col min="13" max="13" width="17.85546875" customWidth="1"/>
    <col min="14" max="14" width="18.85546875" customWidth="1"/>
    <col min="15" max="15" width="15" customWidth="1"/>
    <col min="16" max="17" width="11.85546875" style="5" customWidth="1"/>
    <col min="18" max="1025" width="10.5703125" customWidth="1"/>
  </cols>
  <sheetData>
    <row r="2" spans="1:17" s="4" customFormat="1" x14ac:dyDescent="0.25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9" t="s">
        <v>9</v>
      </c>
      <c r="K2" s="9" t="s">
        <v>10</v>
      </c>
      <c r="M2" s="6" t="s">
        <v>11</v>
      </c>
      <c r="N2" s="6" t="s">
        <v>12</v>
      </c>
      <c r="P2" s="10" t="s">
        <v>13</v>
      </c>
      <c r="Q2" s="10" t="s">
        <v>14</v>
      </c>
    </row>
    <row r="3" spans="1:17" s="11" customFormat="1" x14ac:dyDescent="0.25">
      <c r="A3" s="11" t="s">
        <v>15</v>
      </c>
      <c r="B3" s="11">
        <v>1</v>
      </c>
      <c r="C3" s="11" t="s">
        <v>16</v>
      </c>
      <c r="D3" s="12" t="s">
        <v>17</v>
      </c>
      <c r="E3" s="11" t="s">
        <v>18</v>
      </c>
      <c r="F3" s="11" t="s">
        <v>19</v>
      </c>
      <c r="G3" s="11" t="s">
        <v>20</v>
      </c>
      <c r="H3" s="13" t="s">
        <v>21</v>
      </c>
      <c r="I3" s="14">
        <v>1.01</v>
      </c>
      <c r="J3" s="14">
        <v>1.01</v>
      </c>
      <c r="K3" s="3">
        <v>0.79800000000000004</v>
      </c>
      <c r="L3" s="4"/>
      <c r="M3" s="11">
        <f t="shared" ref="M3:M46" si="0">5*B3</f>
        <v>5</v>
      </c>
      <c r="N3" s="11">
        <f t="shared" ref="N3:N46" si="1">10*B3</f>
        <v>10</v>
      </c>
      <c r="P3" s="5">
        <f t="shared" ref="P3:P46" si="2">IF(M3&gt;5,K3*M3,J3*M3)</f>
        <v>5.05</v>
      </c>
      <c r="Q3" s="5">
        <f t="shared" ref="Q3:Q46" si="3">IF(N3&gt;5,K3*N3,J3*N3)</f>
        <v>7.98</v>
      </c>
    </row>
    <row r="4" spans="1:17" s="11" customFormat="1" ht="15" customHeight="1" x14ac:dyDescent="0.25">
      <c r="A4" s="11" t="s">
        <v>22</v>
      </c>
      <c r="B4" s="11">
        <v>4</v>
      </c>
      <c r="C4" s="11" t="s">
        <v>23</v>
      </c>
      <c r="D4" s="12" t="s">
        <v>17</v>
      </c>
      <c r="E4" s="11" t="s">
        <v>24</v>
      </c>
      <c r="F4" s="11" t="s">
        <v>25</v>
      </c>
      <c r="G4" s="15"/>
      <c r="H4" s="13" t="s">
        <v>26</v>
      </c>
      <c r="I4" s="14">
        <v>0.247</v>
      </c>
      <c r="J4" s="14">
        <v>0.247</v>
      </c>
      <c r="K4" s="3">
        <v>0.115</v>
      </c>
      <c r="L4" s="4"/>
      <c r="M4" s="11">
        <f t="shared" si="0"/>
        <v>20</v>
      </c>
      <c r="N4" s="11">
        <f t="shared" si="1"/>
        <v>40</v>
      </c>
      <c r="P4" s="5">
        <f t="shared" si="2"/>
        <v>2.3000000000000003</v>
      </c>
      <c r="Q4" s="5">
        <f t="shared" si="3"/>
        <v>4.6000000000000005</v>
      </c>
    </row>
    <row r="5" spans="1:17" s="11" customFormat="1" ht="15" customHeight="1" x14ac:dyDescent="0.25">
      <c r="A5" s="11" t="s">
        <v>27</v>
      </c>
      <c r="B5" s="11">
        <v>1</v>
      </c>
      <c r="C5" s="11" t="s">
        <v>23</v>
      </c>
      <c r="D5" s="12" t="s">
        <v>17</v>
      </c>
      <c r="E5" s="11" t="s">
        <v>28</v>
      </c>
      <c r="F5" s="11" t="s">
        <v>25</v>
      </c>
      <c r="G5" s="16"/>
      <c r="H5" s="13" t="s">
        <v>29</v>
      </c>
      <c r="I5" s="14">
        <v>8.5000000000000006E-2</v>
      </c>
      <c r="J5" s="14">
        <v>8.5000000000000006E-2</v>
      </c>
      <c r="K5" s="3">
        <v>3.6999999999999998E-2</v>
      </c>
      <c r="L5" s="4"/>
      <c r="M5" s="11">
        <f t="shared" si="0"/>
        <v>5</v>
      </c>
      <c r="N5" s="11">
        <f t="shared" si="1"/>
        <v>10</v>
      </c>
      <c r="P5" s="5">
        <f t="shared" si="2"/>
        <v>0.42500000000000004</v>
      </c>
      <c r="Q5" s="5">
        <f t="shared" si="3"/>
        <v>0.37</v>
      </c>
    </row>
    <row r="6" spans="1:17" s="11" customFormat="1" ht="15" customHeight="1" x14ac:dyDescent="0.25">
      <c r="A6" s="11" t="s">
        <v>30</v>
      </c>
      <c r="B6" s="11">
        <v>1</v>
      </c>
      <c r="C6" s="11" t="s">
        <v>23</v>
      </c>
      <c r="D6" s="12" t="s">
        <v>17</v>
      </c>
      <c r="E6" s="11" t="s">
        <v>31</v>
      </c>
      <c r="F6" s="11" t="s">
        <v>25</v>
      </c>
      <c r="G6" s="15"/>
      <c r="H6" s="17" t="s">
        <v>32</v>
      </c>
      <c r="I6" s="18">
        <v>8.5000000000000006E-2</v>
      </c>
      <c r="J6" s="18">
        <v>8.5000000000000006E-2</v>
      </c>
      <c r="K6" s="3">
        <v>5.3999999999999999E-2</v>
      </c>
      <c r="L6" s="4"/>
      <c r="M6" s="11">
        <f t="shared" si="0"/>
        <v>5</v>
      </c>
      <c r="N6" s="11">
        <f t="shared" si="1"/>
        <v>10</v>
      </c>
      <c r="P6" s="5">
        <f t="shared" si="2"/>
        <v>0.42500000000000004</v>
      </c>
      <c r="Q6" s="5">
        <f t="shared" si="3"/>
        <v>0.54</v>
      </c>
    </row>
    <row r="7" spans="1:17" s="11" customFormat="1" ht="15" customHeight="1" x14ac:dyDescent="0.25">
      <c r="A7" s="11" t="s">
        <v>33</v>
      </c>
      <c r="B7" s="11">
        <v>1</v>
      </c>
      <c r="C7" s="11" t="s">
        <v>23</v>
      </c>
      <c r="D7" s="12" t="s">
        <v>17</v>
      </c>
      <c r="E7" s="11" t="s">
        <v>34</v>
      </c>
      <c r="F7" s="11" t="s">
        <v>25</v>
      </c>
      <c r="G7" s="15"/>
      <c r="H7" s="13" t="s">
        <v>35</v>
      </c>
      <c r="I7" s="14">
        <v>0.111</v>
      </c>
      <c r="J7" s="14">
        <v>0.111</v>
      </c>
      <c r="K7" s="3">
        <v>4.5999999999999999E-2</v>
      </c>
      <c r="L7" s="4"/>
      <c r="M7" s="11">
        <f t="shared" si="0"/>
        <v>5</v>
      </c>
      <c r="N7" s="11">
        <f t="shared" si="1"/>
        <v>10</v>
      </c>
      <c r="P7" s="5">
        <f t="shared" si="2"/>
        <v>0.55500000000000005</v>
      </c>
      <c r="Q7" s="5">
        <f t="shared" si="3"/>
        <v>0.45999999999999996</v>
      </c>
    </row>
    <row r="8" spans="1:17" s="11" customFormat="1" ht="15" customHeight="1" x14ac:dyDescent="0.25">
      <c r="A8" s="11" t="s">
        <v>36</v>
      </c>
      <c r="B8" s="11">
        <v>3</v>
      </c>
      <c r="C8" s="11" t="s">
        <v>23</v>
      </c>
      <c r="D8" s="12" t="s">
        <v>17</v>
      </c>
      <c r="E8" s="11" t="s">
        <v>37</v>
      </c>
      <c r="F8" s="11" t="s">
        <v>25</v>
      </c>
      <c r="G8" s="15"/>
      <c r="H8" s="13" t="s">
        <v>38</v>
      </c>
      <c r="I8" s="14">
        <v>0.34899999999999998</v>
      </c>
      <c r="J8" s="14">
        <v>0.34899999999999998</v>
      </c>
      <c r="K8" s="3">
        <v>0.184</v>
      </c>
      <c r="L8" s="4"/>
      <c r="M8" s="11">
        <f t="shared" si="0"/>
        <v>15</v>
      </c>
      <c r="N8" s="11">
        <f t="shared" si="1"/>
        <v>30</v>
      </c>
      <c r="P8" s="5">
        <f t="shared" si="2"/>
        <v>2.76</v>
      </c>
      <c r="Q8" s="5">
        <f t="shared" si="3"/>
        <v>5.52</v>
      </c>
    </row>
    <row r="9" spans="1:17" s="11" customFormat="1" ht="15" customHeight="1" x14ac:dyDescent="0.25">
      <c r="A9" s="11" t="s">
        <v>39</v>
      </c>
      <c r="B9" s="11">
        <v>1</v>
      </c>
      <c r="C9" s="11" t="s">
        <v>23</v>
      </c>
      <c r="D9" s="12" t="s">
        <v>17</v>
      </c>
      <c r="E9" s="11" t="s">
        <v>40</v>
      </c>
      <c r="F9" s="11" t="s">
        <v>25</v>
      </c>
      <c r="G9" s="15"/>
      <c r="H9" s="13" t="s">
        <v>41</v>
      </c>
      <c r="I9" s="14">
        <v>0.20399999999999999</v>
      </c>
      <c r="J9" s="14">
        <v>0.20399999999999999</v>
      </c>
      <c r="K9" s="3">
        <v>0.13400000000000001</v>
      </c>
      <c r="L9" s="4"/>
      <c r="M9" s="11">
        <f t="shared" si="0"/>
        <v>5</v>
      </c>
      <c r="N9" s="11">
        <f t="shared" si="1"/>
        <v>10</v>
      </c>
      <c r="P9" s="5">
        <f t="shared" si="2"/>
        <v>1.02</v>
      </c>
      <c r="Q9" s="5">
        <f t="shared" si="3"/>
        <v>1.34</v>
      </c>
    </row>
    <row r="10" spans="1:17" s="11" customFormat="1" x14ac:dyDescent="0.25">
      <c r="A10" s="11" t="s">
        <v>42</v>
      </c>
      <c r="B10" s="11">
        <v>1</v>
      </c>
      <c r="C10" s="11" t="s">
        <v>23</v>
      </c>
      <c r="D10" s="12" t="s">
        <v>43</v>
      </c>
      <c r="E10" s="11" t="s">
        <v>44</v>
      </c>
      <c r="F10" s="11" t="s">
        <v>45</v>
      </c>
      <c r="G10" s="11" t="s">
        <v>46</v>
      </c>
      <c r="H10" s="13" t="s">
        <v>47</v>
      </c>
      <c r="I10" s="14">
        <v>0.315</v>
      </c>
      <c r="J10" s="14">
        <v>0.315</v>
      </c>
      <c r="K10" s="3">
        <v>0.23799999999999999</v>
      </c>
      <c r="L10" s="4"/>
      <c r="M10" s="11">
        <f t="shared" si="0"/>
        <v>5</v>
      </c>
      <c r="N10" s="11">
        <f t="shared" si="1"/>
        <v>10</v>
      </c>
      <c r="P10" s="5">
        <f t="shared" si="2"/>
        <v>1.575</v>
      </c>
      <c r="Q10" s="5">
        <f t="shared" si="3"/>
        <v>2.38</v>
      </c>
    </row>
    <row r="11" spans="1:17" s="11" customFormat="1" x14ac:dyDescent="0.25">
      <c r="A11" s="11" t="s">
        <v>48</v>
      </c>
      <c r="B11" s="11">
        <v>1</v>
      </c>
      <c r="C11" s="11" t="s">
        <v>23</v>
      </c>
      <c r="D11" s="12" t="s">
        <v>17</v>
      </c>
      <c r="E11" s="11" t="s">
        <v>49</v>
      </c>
      <c r="F11" s="11" t="s">
        <v>50</v>
      </c>
      <c r="G11" s="11" t="s">
        <v>51</v>
      </c>
      <c r="H11" s="13" t="s">
        <v>52</v>
      </c>
      <c r="I11" s="14">
        <v>0.28100000000000003</v>
      </c>
      <c r="J11" s="14">
        <v>0.28100000000000003</v>
      </c>
      <c r="K11" s="3">
        <v>0.17399999999999999</v>
      </c>
      <c r="L11" s="4"/>
      <c r="M11" s="11">
        <f t="shared" si="0"/>
        <v>5</v>
      </c>
      <c r="N11" s="11">
        <f t="shared" si="1"/>
        <v>10</v>
      </c>
      <c r="P11" s="5">
        <f t="shared" si="2"/>
        <v>1.4050000000000002</v>
      </c>
      <c r="Q11" s="5">
        <f t="shared" si="3"/>
        <v>1.7399999999999998</v>
      </c>
    </row>
    <row r="12" spans="1:17" s="11" customFormat="1" x14ac:dyDescent="0.25">
      <c r="A12" s="11" t="s">
        <v>53</v>
      </c>
      <c r="B12" s="11">
        <v>2</v>
      </c>
      <c r="C12" s="11" t="s">
        <v>23</v>
      </c>
      <c r="D12" s="12" t="s">
        <v>17</v>
      </c>
      <c r="E12" s="11" t="s">
        <v>54</v>
      </c>
      <c r="F12" s="11" t="s">
        <v>50</v>
      </c>
      <c r="G12" s="11" t="s">
        <v>55</v>
      </c>
      <c r="H12" s="13" t="s">
        <v>56</v>
      </c>
      <c r="I12" s="14">
        <v>0.30599999999999999</v>
      </c>
      <c r="J12" s="14">
        <v>0.30599999999999999</v>
      </c>
      <c r="K12" s="3">
        <v>0.19</v>
      </c>
      <c r="L12" s="4"/>
      <c r="M12" s="11">
        <f t="shared" si="0"/>
        <v>10</v>
      </c>
      <c r="N12" s="11">
        <f t="shared" si="1"/>
        <v>20</v>
      </c>
      <c r="P12" s="5">
        <f t="shared" si="2"/>
        <v>1.9</v>
      </c>
      <c r="Q12" s="5">
        <f t="shared" si="3"/>
        <v>3.8</v>
      </c>
    </row>
    <row r="13" spans="1:17" s="11" customFormat="1" x14ac:dyDescent="0.25">
      <c r="A13" s="11" t="s">
        <v>57</v>
      </c>
      <c r="B13" s="11">
        <v>1</v>
      </c>
      <c r="C13" s="11" t="s">
        <v>23</v>
      </c>
      <c r="D13" s="12" t="s">
        <v>17</v>
      </c>
      <c r="E13" s="11" t="s">
        <v>58</v>
      </c>
      <c r="F13" s="11" t="s">
        <v>50</v>
      </c>
      <c r="G13" s="11" t="s">
        <v>59</v>
      </c>
      <c r="H13" s="13" t="s">
        <v>60</v>
      </c>
      <c r="I13" s="14">
        <v>0.28100000000000003</v>
      </c>
      <c r="J13" s="14">
        <v>0.28100000000000003</v>
      </c>
      <c r="K13" s="3">
        <v>0.17399999999999999</v>
      </c>
      <c r="L13" s="4"/>
      <c r="M13" s="11">
        <f t="shared" si="0"/>
        <v>5</v>
      </c>
      <c r="N13" s="11">
        <f t="shared" si="1"/>
        <v>10</v>
      </c>
      <c r="P13" s="5">
        <f t="shared" si="2"/>
        <v>1.4050000000000002</v>
      </c>
      <c r="Q13" s="5">
        <f t="shared" si="3"/>
        <v>1.7399999999999998</v>
      </c>
    </row>
    <row r="14" spans="1:17" s="11" customFormat="1" ht="15" customHeight="1" x14ac:dyDescent="0.25">
      <c r="A14" s="11" t="s">
        <v>61</v>
      </c>
      <c r="B14" s="11">
        <v>1</v>
      </c>
      <c r="C14" s="11" t="s">
        <v>16</v>
      </c>
      <c r="D14" s="12" t="s">
        <v>17</v>
      </c>
      <c r="E14" s="11" t="s">
        <v>62</v>
      </c>
      <c r="F14" s="11" t="s">
        <v>63</v>
      </c>
      <c r="G14" s="11" t="s">
        <v>64</v>
      </c>
      <c r="H14" s="13" t="s">
        <v>65</v>
      </c>
      <c r="I14" s="14">
        <v>0.59499999999999997</v>
      </c>
      <c r="J14" s="14">
        <v>0.59499999999999997</v>
      </c>
      <c r="K14" s="3">
        <v>0.47599999999999998</v>
      </c>
      <c r="L14" s="4"/>
      <c r="M14" s="11">
        <f t="shared" si="0"/>
        <v>5</v>
      </c>
      <c r="N14" s="11">
        <f t="shared" si="1"/>
        <v>10</v>
      </c>
      <c r="P14" s="5">
        <f t="shared" si="2"/>
        <v>2.9749999999999996</v>
      </c>
      <c r="Q14" s="5">
        <f t="shared" si="3"/>
        <v>4.76</v>
      </c>
    </row>
    <row r="15" spans="1:17" s="11" customFormat="1" x14ac:dyDescent="0.25">
      <c r="A15" s="11" t="s">
        <v>66</v>
      </c>
      <c r="B15" s="11">
        <v>1</v>
      </c>
      <c r="C15" s="11" t="s">
        <v>16</v>
      </c>
      <c r="D15" s="12" t="s">
        <v>17</v>
      </c>
      <c r="E15" s="11" t="s">
        <v>67</v>
      </c>
      <c r="F15" s="11" t="s">
        <v>68</v>
      </c>
      <c r="G15" s="11" t="s">
        <v>69</v>
      </c>
      <c r="H15" s="13" t="s">
        <v>70</v>
      </c>
      <c r="I15" s="14">
        <v>0.52</v>
      </c>
      <c r="J15" s="14">
        <v>0.52</v>
      </c>
      <c r="K15" s="14">
        <v>0.52</v>
      </c>
      <c r="L15" s="4"/>
      <c r="M15" s="11">
        <f t="shared" si="0"/>
        <v>5</v>
      </c>
      <c r="N15" s="11">
        <f t="shared" si="1"/>
        <v>10</v>
      </c>
      <c r="P15" s="5">
        <f t="shared" si="2"/>
        <v>2.6</v>
      </c>
      <c r="Q15" s="5">
        <f t="shared" si="3"/>
        <v>5.2</v>
      </c>
    </row>
    <row r="16" spans="1:17" s="11" customFormat="1" x14ac:dyDescent="0.25">
      <c r="A16" s="11" t="s">
        <v>66</v>
      </c>
      <c r="B16" s="11">
        <v>1</v>
      </c>
      <c r="C16" s="11" t="s">
        <v>71</v>
      </c>
      <c r="D16" s="12"/>
      <c r="E16" s="11" t="s">
        <v>67</v>
      </c>
      <c r="F16" s="11" t="s">
        <v>68</v>
      </c>
      <c r="G16" s="11" t="s">
        <v>72</v>
      </c>
      <c r="H16" s="13" t="s">
        <v>73</v>
      </c>
      <c r="I16" s="14">
        <v>0.254</v>
      </c>
      <c r="J16" s="14">
        <v>0.254</v>
      </c>
      <c r="K16" s="14">
        <v>0.254</v>
      </c>
      <c r="L16" s="4"/>
      <c r="M16" s="11">
        <f t="shared" si="0"/>
        <v>5</v>
      </c>
      <c r="N16" s="11">
        <f t="shared" si="1"/>
        <v>10</v>
      </c>
      <c r="P16" s="5">
        <f t="shared" si="2"/>
        <v>1.27</v>
      </c>
      <c r="Q16" s="5">
        <f t="shared" si="3"/>
        <v>2.54</v>
      </c>
    </row>
    <row r="17" spans="1:17" s="11" customFormat="1" x14ac:dyDescent="0.25">
      <c r="A17" s="11" t="s">
        <v>74</v>
      </c>
      <c r="B17" s="11">
        <v>2</v>
      </c>
      <c r="C17" s="11" t="s">
        <v>23</v>
      </c>
      <c r="D17" s="12" t="s">
        <v>43</v>
      </c>
      <c r="E17" s="11" t="s">
        <v>75</v>
      </c>
      <c r="F17" s="11" t="s">
        <v>76</v>
      </c>
      <c r="G17" s="16" t="s">
        <v>77</v>
      </c>
      <c r="H17" s="19" t="s">
        <v>78</v>
      </c>
      <c r="I17" s="20">
        <v>3.3799999999999997E-2</v>
      </c>
      <c r="J17" s="20">
        <v>3.3799999999999997E-2</v>
      </c>
      <c r="K17" s="20">
        <v>3.3799999999999997E-2</v>
      </c>
      <c r="L17" s="4"/>
      <c r="M17" s="11">
        <f t="shared" si="0"/>
        <v>10</v>
      </c>
      <c r="N17" s="11">
        <f t="shared" si="1"/>
        <v>20</v>
      </c>
      <c r="P17" s="5">
        <f t="shared" si="2"/>
        <v>0.33799999999999997</v>
      </c>
      <c r="Q17" s="5">
        <f t="shared" si="3"/>
        <v>0.67599999999999993</v>
      </c>
    </row>
    <row r="18" spans="1:17" s="11" customFormat="1" x14ac:dyDescent="0.25">
      <c r="B18" s="11">
        <v>2</v>
      </c>
      <c r="C18" s="11" t="s">
        <v>71</v>
      </c>
      <c r="D18" s="12"/>
      <c r="G18" s="11" t="s">
        <v>79</v>
      </c>
      <c r="H18" s="13" t="s">
        <v>80</v>
      </c>
      <c r="I18" s="14">
        <v>0.3</v>
      </c>
      <c r="J18" s="14">
        <v>0.3</v>
      </c>
      <c r="K18" s="14">
        <v>0.3</v>
      </c>
      <c r="L18" s="4"/>
      <c r="M18" s="11">
        <f t="shared" si="0"/>
        <v>10</v>
      </c>
      <c r="N18" s="11">
        <f t="shared" si="1"/>
        <v>20</v>
      </c>
      <c r="P18" s="5">
        <f t="shared" si="2"/>
        <v>3</v>
      </c>
      <c r="Q18" s="5">
        <f t="shared" si="3"/>
        <v>6</v>
      </c>
    </row>
    <row r="19" spans="1:17" s="11" customFormat="1" x14ac:dyDescent="0.25">
      <c r="A19" s="11" t="s">
        <v>81</v>
      </c>
      <c r="B19" s="11">
        <v>1</v>
      </c>
      <c r="C19" s="11" t="s">
        <v>16</v>
      </c>
      <c r="D19" s="12" t="s">
        <v>17</v>
      </c>
      <c r="F19" s="11" t="s">
        <v>82</v>
      </c>
      <c r="H19" s="13" t="s">
        <v>83</v>
      </c>
      <c r="I19" s="14">
        <v>0.72299999999999998</v>
      </c>
      <c r="J19" s="14">
        <v>0.72299999999999998</v>
      </c>
      <c r="K19" s="3">
        <v>0.56999999999999995</v>
      </c>
      <c r="L19" s="4"/>
      <c r="M19" s="11">
        <f t="shared" si="0"/>
        <v>5</v>
      </c>
      <c r="N19" s="11">
        <f t="shared" si="1"/>
        <v>10</v>
      </c>
      <c r="P19" s="5">
        <f t="shared" si="2"/>
        <v>3.6149999999999998</v>
      </c>
      <c r="Q19" s="5">
        <f t="shared" si="3"/>
        <v>5.6999999999999993</v>
      </c>
    </row>
    <row r="20" spans="1:17" x14ac:dyDescent="0.25">
      <c r="B20">
        <v>2</v>
      </c>
      <c r="C20" s="11" t="s">
        <v>71</v>
      </c>
      <c r="D20" s="12"/>
      <c r="E20" t="s">
        <v>84</v>
      </c>
      <c r="F20" t="s">
        <v>85</v>
      </c>
      <c r="G20" t="s">
        <v>86</v>
      </c>
      <c r="H20" s="13" t="s">
        <v>87</v>
      </c>
      <c r="I20" s="14">
        <v>0.67200000000000004</v>
      </c>
      <c r="J20" s="14">
        <v>0.67200000000000004</v>
      </c>
      <c r="K20" s="3">
        <v>0.58099999999999996</v>
      </c>
      <c r="M20" s="11">
        <f t="shared" si="0"/>
        <v>10</v>
      </c>
      <c r="N20" s="11">
        <f t="shared" si="1"/>
        <v>20</v>
      </c>
      <c r="P20" s="5">
        <f t="shared" si="2"/>
        <v>5.81</v>
      </c>
      <c r="Q20" s="5">
        <f t="shared" si="3"/>
        <v>11.62</v>
      </c>
    </row>
    <row r="21" spans="1:17" s="11" customFormat="1" x14ac:dyDescent="0.25">
      <c r="A21" s="11" t="s">
        <v>88</v>
      </c>
      <c r="B21" s="11">
        <v>1</v>
      </c>
      <c r="C21" s="11" t="s">
        <v>23</v>
      </c>
      <c r="D21" s="12" t="s">
        <v>17</v>
      </c>
      <c r="E21" s="11" t="s">
        <v>89</v>
      </c>
      <c r="F21" s="11" t="s">
        <v>90</v>
      </c>
      <c r="G21" s="11" t="s">
        <v>91</v>
      </c>
      <c r="H21" s="13" t="s">
        <v>92</v>
      </c>
      <c r="I21" s="14">
        <v>0.32300000000000001</v>
      </c>
      <c r="J21" s="14">
        <v>0.32300000000000001</v>
      </c>
      <c r="K21" s="3">
        <v>0.252</v>
      </c>
      <c r="L21" s="4"/>
      <c r="M21" s="11">
        <f t="shared" si="0"/>
        <v>5</v>
      </c>
      <c r="N21" s="11">
        <f t="shared" si="1"/>
        <v>10</v>
      </c>
      <c r="P21" s="5">
        <f t="shared" si="2"/>
        <v>1.615</v>
      </c>
      <c r="Q21" s="5">
        <f t="shared" si="3"/>
        <v>2.52</v>
      </c>
    </row>
    <row r="22" spans="1:17" s="11" customFormat="1" x14ac:dyDescent="0.25">
      <c r="A22" s="11" t="s">
        <v>93</v>
      </c>
      <c r="B22" s="11">
        <v>1</v>
      </c>
      <c r="C22" s="11" t="s">
        <v>23</v>
      </c>
      <c r="D22" s="12" t="s">
        <v>43</v>
      </c>
      <c r="E22" s="11" t="s">
        <v>94</v>
      </c>
      <c r="F22" s="11" t="s">
        <v>95</v>
      </c>
      <c r="G22" s="11" t="s">
        <v>96</v>
      </c>
      <c r="H22" s="13" t="s">
        <v>97</v>
      </c>
      <c r="I22" s="14">
        <v>0.187</v>
      </c>
      <c r="J22" s="14">
        <v>0.187</v>
      </c>
      <c r="K22" s="3">
        <v>0.123</v>
      </c>
      <c r="L22" s="4"/>
      <c r="M22" s="11">
        <f t="shared" si="0"/>
        <v>5</v>
      </c>
      <c r="N22" s="11">
        <f t="shared" si="1"/>
        <v>10</v>
      </c>
      <c r="P22" s="5">
        <f t="shared" si="2"/>
        <v>0.93500000000000005</v>
      </c>
      <c r="Q22" s="5">
        <f t="shared" si="3"/>
        <v>1.23</v>
      </c>
    </row>
    <row r="23" spans="1:17" s="11" customFormat="1" x14ac:dyDescent="0.25">
      <c r="A23" s="11" t="s">
        <v>98</v>
      </c>
      <c r="B23" s="11">
        <v>1</v>
      </c>
      <c r="C23" s="11" t="s">
        <v>23</v>
      </c>
      <c r="D23" s="12" t="s">
        <v>17</v>
      </c>
      <c r="E23" s="11">
        <v>1153</v>
      </c>
      <c r="F23" s="11" t="s">
        <v>99</v>
      </c>
      <c r="G23" s="11" t="s">
        <v>100</v>
      </c>
      <c r="H23" s="13" t="s">
        <v>101</v>
      </c>
      <c r="I23" s="14">
        <v>8.5000000000000006E-2</v>
      </c>
      <c r="J23" s="14">
        <v>8.5000000000000006E-2</v>
      </c>
      <c r="K23" s="3">
        <v>1.4E-2</v>
      </c>
      <c r="L23" s="4"/>
      <c r="M23" s="11">
        <f t="shared" si="0"/>
        <v>5</v>
      </c>
      <c r="N23" s="11">
        <f t="shared" si="1"/>
        <v>10</v>
      </c>
      <c r="P23" s="5">
        <f t="shared" si="2"/>
        <v>0.42500000000000004</v>
      </c>
      <c r="Q23" s="5">
        <f t="shared" si="3"/>
        <v>0.14000000000000001</v>
      </c>
    </row>
    <row r="24" spans="1:17" s="11" customFormat="1" x14ac:dyDescent="0.25">
      <c r="A24" s="11" t="s">
        <v>102</v>
      </c>
      <c r="B24" s="11">
        <v>1</v>
      </c>
      <c r="C24" s="11" t="s">
        <v>23</v>
      </c>
      <c r="D24" s="12" t="s">
        <v>17</v>
      </c>
      <c r="E24" s="11">
        <v>5602</v>
      </c>
      <c r="F24" s="11" t="s">
        <v>99</v>
      </c>
      <c r="G24" s="11" t="s">
        <v>103</v>
      </c>
      <c r="H24" s="13" t="s">
        <v>104</v>
      </c>
      <c r="I24" s="14">
        <v>8.5000000000000006E-2</v>
      </c>
      <c r="J24" s="14">
        <v>8.5000000000000006E-2</v>
      </c>
      <c r="K24" s="3">
        <v>1.4E-2</v>
      </c>
      <c r="L24" s="4"/>
      <c r="M24" s="11">
        <f t="shared" si="0"/>
        <v>5</v>
      </c>
      <c r="N24" s="11">
        <f t="shared" si="1"/>
        <v>10</v>
      </c>
      <c r="P24" s="5">
        <f t="shared" si="2"/>
        <v>0.42500000000000004</v>
      </c>
      <c r="Q24" s="5">
        <f t="shared" si="3"/>
        <v>0.14000000000000001</v>
      </c>
    </row>
    <row r="25" spans="1:17" s="11" customFormat="1" x14ac:dyDescent="0.25">
      <c r="A25" s="11" t="s">
        <v>105</v>
      </c>
      <c r="B25" s="11">
        <v>5</v>
      </c>
      <c r="C25" s="11" t="s">
        <v>23</v>
      </c>
      <c r="D25" s="12" t="s">
        <v>17</v>
      </c>
      <c r="E25" s="11">
        <v>1001</v>
      </c>
      <c r="F25" s="11" t="s">
        <v>99</v>
      </c>
      <c r="G25" s="11" t="s">
        <v>106</v>
      </c>
      <c r="H25" s="13" t="s">
        <v>107</v>
      </c>
      <c r="I25" s="14">
        <v>8.5000000000000006E-2</v>
      </c>
      <c r="J25" s="14">
        <v>8.5000000000000006E-2</v>
      </c>
      <c r="K25" s="3">
        <v>1.4E-2</v>
      </c>
      <c r="L25" s="4"/>
      <c r="M25" s="11">
        <f t="shared" si="0"/>
        <v>25</v>
      </c>
      <c r="N25" s="11">
        <f t="shared" si="1"/>
        <v>50</v>
      </c>
      <c r="P25" s="5">
        <f t="shared" si="2"/>
        <v>0.35000000000000003</v>
      </c>
      <c r="Q25" s="5">
        <f t="shared" si="3"/>
        <v>0.70000000000000007</v>
      </c>
    </row>
    <row r="26" spans="1:17" s="11" customFormat="1" x14ac:dyDescent="0.25">
      <c r="A26" s="11" t="s">
        <v>108</v>
      </c>
      <c r="B26" s="11">
        <v>1</v>
      </c>
      <c r="C26" s="11" t="s">
        <v>23</v>
      </c>
      <c r="D26" s="12" t="s">
        <v>17</v>
      </c>
      <c r="E26" s="11">
        <v>0</v>
      </c>
      <c r="F26" s="11" t="s">
        <v>99</v>
      </c>
      <c r="G26" s="11" t="s">
        <v>109</v>
      </c>
      <c r="H26" s="13" t="s">
        <v>110</v>
      </c>
      <c r="I26" s="14">
        <v>0.11899999999999999</v>
      </c>
      <c r="J26" s="14">
        <v>0.11899999999999999</v>
      </c>
      <c r="K26" s="3">
        <v>1.4E-2</v>
      </c>
      <c r="L26" s="4"/>
      <c r="M26" s="11">
        <f t="shared" si="0"/>
        <v>5</v>
      </c>
      <c r="N26" s="11">
        <f t="shared" si="1"/>
        <v>10</v>
      </c>
      <c r="P26" s="5">
        <f t="shared" si="2"/>
        <v>0.59499999999999997</v>
      </c>
      <c r="Q26" s="5">
        <f t="shared" si="3"/>
        <v>0.14000000000000001</v>
      </c>
    </row>
    <row r="27" spans="1:17" s="11" customFormat="1" x14ac:dyDescent="0.25">
      <c r="A27" s="11" t="s">
        <v>111</v>
      </c>
      <c r="B27" s="11">
        <v>1</v>
      </c>
      <c r="C27" s="11" t="s">
        <v>23</v>
      </c>
      <c r="D27" s="12" t="s">
        <v>17</v>
      </c>
      <c r="E27" s="11">
        <v>2703</v>
      </c>
      <c r="F27" s="11" t="s">
        <v>99</v>
      </c>
      <c r="G27" s="11" t="s">
        <v>112</v>
      </c>
      <c r="H27" s="13" t="s">
        <v>113</v>
      </c>
      <c r="I27" s="14">
        <v>8.5000000000000006E-2</v>
      </c>
      <c r="J27" s="14">
        <v>8.5000000000000006E-2</v>
      </c>
      <c r="K27" s="3">
        <v>1.4E-2</v>
      </c>
      <c r="L27" s="4"/>
      <c r="M27" s="11">
        <f t="shared" si="0"/>
        <v>5</v>
      </c>
      <c r="N27" s="11">
        <f t="shared" si="1"/>
        <v>10</v>
      </c>
      <c r="P27" s="5">
        <f t="shared" si="2"/>
        <v>0.42500000000000004</v>
      </c>
      <c r="Q27" s="5">
        <f t="shared" si="3"/>
        <v>0.14000000000000001</v>
      </c>
    </row>
    <row r="28" spans="1:17" s="11" customFormat="1" x14ac:dyDescent="0.25">
      <c r="A28" s="11" t="s">
        <v>114</v>
      </c>
      <c r="B28" s="11">
        <v>2</v>
      </c>
      <c r="C28" s="11" t="s">
        <v>23</v>
      </c>
      <c r="D28" s="12" t="s">
        <v>17</v>
      </c>
      <c r="E28" s="11">
        <v>104</v>
      </c>
      <c r="F28" s="11" t="s">
        <v>99</v>
      </c>
      <c r="G28" s="11" t="s">
        <v>115</v>
      </c>
      <c r="H28" s="13" t="s">
        <v>116</v>
      </c>
      <c r="I28" s="14">
        <v>8.5000000000000006E-2</v>
      </c>
      <c r="J28" s="14">
        <v>8.5000000000000006E-2</v>
      </c>
      <c r="K28" s="3">
        <v>1.0999999999999999E-2</v>
      </c>
      <c r="L28" s="4"/>
      <c r="M28" s="11">
        <f t="shared" si="0"/>
        <v>10</v>
      </c>
      <c r="N28" s="11">
        <f t="shared" si="1"/>
        <v>20</v>
      </c>
      <c r="P28" s="5">
        <f t="shared" si="2"/>
        <v>0.10999999999999999</v>
      </c>
      <c r="Q28" s="5">
        <f t="shared" si="3"/>
        <v>0.21999999999999997</v>
      </c>
    </row>
    <row r="29" spans="1:17" s="11" customFormat="1" x14ac:dyDescent="0.25">
      <c r="A29" s="11" t="s">
        <v>117</v>
      </c>
      <c r="B29" s="11">
        <v>3</v>
      </c>
      <c r="C29" s="11" t="s">
        <v>23</v>
      </c>
      <c r="D29" s="12" t="s">
        <v>17</v>
      </c>
      <c r="E29" s="11">
        <v>1053</v>
      </c>
      <c r="F29" s="11" t="s">
        <v>99</v>
      </c>
      <c r="G29" s="11" t="s">
        <v>118</v>
      </c>
      <c r="H29" s="13" t="s">
        <v>119</v>
      </c>
      <c r="I29" s="14">
        <v>8.5000000000000006E-2</v>
      </c>
      <c r="J29" s="14">
        <v>8.5000000000000006E-2</v>
      </c>
      <c r="K29" s="3">
        <v>1.4E-2</v>
      </c>
      <c r="L29" s="4"/>
      <c r="M29" s="11">
        <f t="shared" si="0"/>
        <v>15</v>
      </c>
      <c r="N29" s="11">
        <f t="shared" si="1"/>
        <v>30</v>
      </c>
      <c r="P29" s="5">
        <f t="shared" si="2"/>
        <v>0.21</v>
      </c>
      <c r="Q29" s="5">
        <f t="shared" si="3"/>
        <v>0.42</v>
      </c>
    </row>
    <row r="30" spans="1:17" s="11" customFormat="1" x14ac:dyDescent="0.25">
      <c r="A30" s="11" t="s">
        <v>120</v>
      </c>
      <c r="B30" s="11">
        <v>2</v>
      </c>
      <c r="C30" s="11" t="s">
        <v>23</v>
      </c>
      <c r="D30" s="12" t="s">
        <v>17</v>
      </c>
      <c r="E30" s="11">
        <v>105</v>
      </c>
      <c r="F30" s="11" t="s">
        <v>99</v>
      </c>
      <c r="G30" s="11" t="s">
        <v>121</v>
      </c>
      <c r="H30" s="13" t="s">
        <v>122</v>
      </c>
      <c r="I30" s="14">
        <v>8.5000000000000006E-2</v>
      </c>
      <c r="J30" s="14">
        <v>8.5000000000000006E-2</v>
      </c>
      <c r="K30" s="3">
        <v>1.0999999999999999E-2</v>
      </c>
      <c r="L30" s="4"/>
      <c r="M30" s="11">
        <f t="shared" si="0"/>
        <v>10</v>
      </c>
      <c r="N30" s="11">
        <f t="shared" si="1"/>
        <v>20</v>
      </c>
      <c r="P30" s="5">
        <f t="shared" si="2"/>
        <v>0.10999999999999999</v>
      </c>
      <c r="Q30" s="5">
        <f t="shared" si="3"/>
        <v>0.21999999999999997</v>
      </c>
    </row>
    <row r="31" spans="1:17" s="11" customFormat="1" x14ac:dyDescent="0.25">
      <c r="A31" s="11" t="s">
        <v>123</v>
      </c>
      <c r="B31" s="11">
        <v>1</v>
      </c>
      <c r="C31" s="11" t="s">
        <v>23</v>
      </c>
      <c r="D31" s="12" t="s">
        <v>17</v>
      </c>
      <c r="E31" s="11">
        <v>1503</v>
      </c>
      <c r="F31" s="11" t="s">
        <v>99</v>
      </c>
      <c r="G31" s="11" t="s">
        <v>124</v>
      </c>
      <c r="H31" s="13" t="s">
        <v>125</v>
      </c>
      <c r="I31" s="14">
        <v>8.5000000000000006E-2</v>
      </c>
      <c r="J31" s="14">
        <v>8.5000000000000006E-2</v>
      </c>
      <c r="K31" s="3">
        <v>1.4E-2</v>
      </c>
      <c r="L31" s="4"/>
      <c r="M31" s="11">
        <f t="shared" si="0"/>
        <v>5</v>
      </c>
      <c r="N31" s="11">
        <f t="shared" si="1"/>
        <v>10</v>
      </c>
      <c r="P31" s="5">
        <f t="shared" si="2"/>
        <v>0.42500000000000004</v>
      </c>
      <c r="Q31" s="5">
        <f t="shared" si="3"/>
        <v>0.14000000000000001</v>
      </c>
    </row>
    <row r="32" spans="1:17" s="11" customFormat="1" x14ac:dyDescent="0.25">
      <c r="A32" s="11" t="s">
        <v>126</v>
      </c>
      <c r="B32" s="11">
        <v>1</v>
      </c>
      <c r="C32" s="11" t="s">
        <v>23</v>
      </c>
      <c r="D32" s="12" t="s">
        <v>17</v>
      </c>
      <c r="E32" s="11">
        <v>2001</v>
      </c>
      <c r="F32" s="11" t="s">
        <v>127</v>
      </c>
      <c r="G32" s="11" t="s">
        <v>128</v>
      </c>
      <c r="H32" s="13" t="s">
        <v>129</v>
      </c>
      <c r="I32" s="14">
        <v>8.5000000000000006E-2</v>
      </c>
      <c r="J32" s="14">
        <v>8.5000000000000006E-2</v>
      </c>
      <c r="K32" s="3">
        <v>1.4E-2</v>
      </c>
      <c r="L32" s="4"/>
      <c r="M32" s="11">
        <f t="shared" si="0"/>
        <v>5</v>
      </c>
      <c r="N32" s="11">
        <f t="shared" si="1"/>
        <v>10</v>
      </c>
      <c r="P32" s="5">
        <f t="shared" si="2"/>
        <v>0.42500000000000004</v>
      </c>
      <c r="Q32" s="5">
        <f t="shared" si="3"/>
        <v>0.14000000000000001</v>
      </c>
    </row>
    <row r="33" spans="1:17" s="11" customFormat="1" x14ac:dyDescent="0.25">
      <c r="A33" s="11" t="s">
        <v>130</v>
      </c>
      <c r="B33" s="11">
        <v>1</v>
      </c>
      <c r="C33" s="11" t="s">
        <v>71</v>
      </c>
      <c r="D33" s="12"/>
      <c r="E33" s="11" t="s">
        <v>131</v>
      </c>
      <c r="F33" s="11" t="s">
        <v>127</v>
      </c>
      <c r="G33" s="11" t="s">
        <v>132</v>
      </c>
      <c r="H33" s="13" t="s">
        <v>133</v>
      </c>
      <c r="I33" s="14">
        <v>0.85</v>
      </c>
      <c r="J33" s="14">
        <v>0.85</v>
      </c>
      <c r="K33" s="3">
        <v>0.56399999999999995</v>
      </c>
      <c r="L33" s="4"/>
      <c r="M33" s="11">
        <f t="shared" si="0"/>
        <v>5</v>
      </c>
      <c r="N33" s="11">
        <f t="shared" si="1"/>
        <v>10</v>
      </c>
      <c r="P33" s="5">
        <f t="shared" si="2"/>
        <v>4.25</v>
      </c>
      <c r="Q33" s="5">
        <f t="shared" si="3"/>
        <v>5.64</v>
      </c>
    </row>
    <row r="34" spans="1:17" s="11" customFormat="1" x14ac:dyDescent="0.25">
      <c r="A34" s="11" t="s">
        <v>134</v>
      </c>
      <c r="B34" s="11">
        <v>2</v>
      </c>
      <c r="C34" s="11" t="s">
        <v>16</v>
      </c>
      <c r="D34" s="12" t="s">
        <v>17</v>
      </c>
      <c r="E34" s="11" t="s">
        <v>135</v>
      </c>
      <c r="F34" s="11" t="s">
        <v>136</v>
      </c>
      <c r="G34" s="11" t="s">
        <v>137</v>
      </c>
      <c r="H34" s="13" t="s">
        <v>138</v>
      </c>
      <c r="I34" s="14">
        <v>1.78</v>
      </c>
      <c r="J34" s="14">
        <v>1.78</v>
      </c>
      <c r="K34" s="14">
        <v>1.593</v>
      </c>
      <c r="L34" s="4"/>
      <c r="M34" s="11">
        <f t="shared" si="0"/>
        <v>10</v>
      </c>
      <c r="N34" s="11">
        <f t="shared" si="1"/>
        <v>20</v>
      </c>
      <c r="P34" s="5">
        <f t="shared" si="2"/>
        <v>15.93</v>
      </c>
      <c r="Q34" s="5">
        <f t="shared" si="3"/>
        <v>31.86</v>
      </c>
    </row>
    <row r="35" spans="1:17" s="11" customFormat="1" x14ac:dyDescent="0.25">
      <c r="A35" s="11" t="s">
        <v>134</v>
      </c>
      <c r="B35" s="11">
        <v>2</v>
      </c>
      <c r="C35" s="11" t="s">
        <v>16</v>
      </c>
      <c r="D35" s="12" t="s">
        <v>17</v>
      </c>
      <c r="E35" s="11" t="s">
        <v>135</v>
      </c>
      <c r="F35" s="11" t="s">
        <v>136</v>
      </c>
      <c r="G35" s="11" t="s">
        <v>139</v>
      </c>
      <c r="H35" s="13" t="s">
        <v>140</v>
      </c>
      <c r="I35" s="14">
        <v>1.63</v>
      </c>
      <c r="J35" s="14">
        <v>1.63</v>
      </c>
      <c r="K35" s="3">
        <v>1.454</v>
      </c>
      <c r="L35" s="4"/>
      <c r="M35" s="11">
        <f t="shared" si="0"/>
        <v>10</v>
      </c>
      <c r="N35" s="11">
        <f t="shared" si="1"/>
        <v>20</v>
      </c>
      <c r="P35" s="5">
        <f t="shared" si="2"/>
        <v>14.54</v>
      </c>
      <c r="Q35" s="5">
        <f t="shared" si="3"/>
        <v>29.08</v>
      </c>
    </row>
    <row r="36" spans="1:17" s="11" customFormat="1" x14ac:dyDescent="0.25">
      <c r="A36" s="11" t="s">
        <v>141</v>
      </c>
      <c r="B36" s="11">
        <v>1</v>
      </c>
      <c r="C36" s="11" t="s">
        <v>23</v>
      </c>
      <c r="D36" s="12" t="s">
        <v>43</v>
      </c>
      <c r="E36" s="11" t="s">
        <v>142</v>
      </c>
      <c r="F36" s="11" t="s">
        <v>143</v>
      </c>
      <c r="G36" s="11" t="s">
        <v>144</v>
      </c>
      <c r="H36" s="13" t="s">
        <v>145</v>
      </c>
      <c r="I36" s="14">
        <v>0.67200000000000004</v>
      </c>
      <c r="J36" s="14">
        <v>0.67200000000000004</v>
      </c>
      <c r="K36" s="3">
        <v>0.55700000000000005</v>
      </c>
      <c r="L36" s="4"/>
      <c r="M36" s="11">
        <f t="shared" si="0"/>
        <v>5</v>
      </c>
      <c r="N36" s="11">
        <f t="shared" si="1"/>
        <v>10</v>
      </c>
      <c r="P36" s="5">
        <f t="shared" si="2"/>
        <v>3.3600000000000003</v>
      </c>
      <c r="Q36" s="5">
        <f t="shared" si="3"/>
        <v>5.57</v>
      </c>
    </row>
    <row r="37" spans="1:17" s="11" customFormat="1" x14ac:dyDescent="0.25">
      <c r="A37" s="11" t="s">
        <v>146</v>
      </c>
      <c r="B37" s="11">
        <v>1</v>
      </c>
      <c r="C37" s="11" t="s">
        <v>23</v>
      </c>
      <c r="D37" s="12" t="s">
        <v>43</v>
      </c>
      <c r="E37" s="11" t="s">
        <v>147</v>
      </c>
      <c r="F37" s="11" t="s">
        <v>148</v>
      </c>
      <c r="G37" s="11" t="s">
        <v>149</v>
      </c>
      <c r="H37" s="13" t="s">
        <v>150</v>
      </c>
      <c r="I37" s="14">
        <v>1.65</v>
      </c>
      <c r="J37" s="14">
        <v>1.65</v>
      </c>
      <c r="K37" s="3">
        <v>1.52</v>
      </c>
      <c r="L37" s="4"/>
      <c r="M37" s="11">
        <f t="shared" si="0"/>
        <v>5</v>
      </c>
      <c r="N37" s="11">
        <f t="shared" si="1"/>
        <v>10</v>
      </c>
      <c r="P37" s="5">
        <f t="shared" si="2"/>
        <v>8.25</v>
      </c>
      <c r="Q37" s="5">
        <f t="shared" si="3"/>
        <v>15.2</v>
      </c>
    </row>
    <row r="38" spans="1:17" s="11" customFormat="1" x14ac:dyDescent="0.25">
      <c r="A38" s="11" t="s">
        <v>151</v>
      </c>
      <c r="B38" s="11">
        <v>1</v>
      </c>
      <c r="C38" s="11" t="s">
        <v>23</v>
      </c>
      <c r="D38" s="12" t="s">
        <v>43</v>
      </c>
      <c r="E38" s="11" t="s">
        <v>152</v>
      </c>
      <c r="F38" s="11" t="s">
        <v>153</v>
      </c>
      <c r="G38" s="11" t="s">
        <v>154</v>
      </c>
      <c r="H38" s="13" t="s">
        <v>155</v>
      </c>
      <c r="I38" s="14">
        <v>2.0299999999999998</v>
      </c>
      <c r="J38" s="14">
        <v>2.0299999999999998</v>
      </c>
      <c r="K38" s="3">
        <v>1.83</v>
      </c>
      <c r="L38" s="4"/>
      <c r="M38" s="11">
        <f t="shared" si="0"/>
        <v>5</v>
      </c>
      <c r="N38" s="11">
        <f t="shared" si="1"/>
        <v>10</v>
      </c>
      <c r="P38" s="5">
        <f t="shared" si="2"/>
        <v>10.149999999999999</v>
      </c>
      <c r="Q38" s="5">
        <f t="shared" si="3"/>
        <v>18.3</v>
      </c>
    </row>
    <row r="39" spans="1:17" x14ac:dyDescent="0.25">
      <c r="B39">
        <v>1</v>
      </c>
      <c r="C39" s="11" t="s">
        <v>71</v>
      </c>
      <c r="D39" s="12"/>
      <c r="E39" t="s">
        <v>156</v>
      </c>
      <c r="G39" t="s">
        <v>157</v>
      </c>
      <c r="H39" s="13" t="s">
        <v>158</v>
      </c>
      <c r="I39" s="21">
        <v>25.71</v>
      </c>
      <c r="J39" s="21">
        <v>25.71</v>
      </c>
      <c r="K39" s="21">
        <v>25.71</v>
      </c>
      <c r="M39" s="11">
        <f t="shared" si="0"/>
        <v>5</v>
      </c>
      <c r="N39" s="11">
        <f t="shared" si="1"/>
        <v>10</v>
      </c>
      <c r="P39" s="5">
        <f t="shared" si="2"/>
        <v>128.55000000000001</v>
      </c>
      <c r="Q39" s="5">
        <f t="shared" si="3"/>
        <v>257.10000000000002</v>
      </c>
    </row>
    <row r="40" spans="1:17" x14ac:dyDescent="0.25">
      <c r="B40">
        <v>1</v>
      </c>
      <c r="C40" s="11" t="s">
        <v>71</v>
      </c>
      <c r="D40" s="12"/>
      <c r="E40" t="s">
        <v>159</v>
      </c>
      <c r="G40" t="s">
        <v>160</v>
      </c>
      <c r="H40" s="13" t="s">
        <v>161</v>
      </c>
      <c r="I40" s="21">
        <v>14.72</v>
      </c>
      <c r="J40" s="21">
        <v>14.72</v>
      </c>
      <c r="K40" s="21">
        <v>14.72</v>
      </c>
      <c r="M40" s="11">
        <f t="shared" si="0"/>
        <v>5</v>
      </c>
      <c r="N40" s="11">
        <f t="shared" si="1"/>
        <v>10</v>
      </c>
      <c r="P40" s="5">
        <f t="shared" si="2"/>
        <v>73.600000000000009</v>
      </c>
      <c r="Q40" s="5">
        <f t="shared" si="3"/>
        <v>147.20000000000002</v>
      </c>
    </row>
    <row r="41" spans="1:17" x14ac:dyDescent="0.25">
      <c r="B41">
        <v>1</v>
      </c>
      <c r="C41" s="11" t="s">
        <v>71</v>
      </c>
      <c r="D41" s="12"/>
      <c r="E41" t="s">
        <v>162</v>
      </c>
      <c r="G41" s="11" t="s">
        <v>163</v>
      </c>
      <c r="H41" s="13" t="s">
        <v>164</v>
      </c>
      <c r="I41" s="21">
        <v>8.2799999999999994</v>
      </c>
      <c r="J41" s="21">
        <v>8.2799999999999994</v>
      </c>
      <c r="K41" s="21">
        <v>8.2799999999999994</v>
      </c>
      <c r="M41" s="11">
        <f t="shared" si="0"/>
        <v>5</v>
      </c>
      <c r="N41" s="11">
        <f t="shared" si="1"/>
        <v>10</v>
      </c>
      <c r="P41" s="5">
        <f t="shared" si="2"/>
        <v>41.4</v>
      </c>
      <c r="Q41" s="5">
        <f t="shared" si="3"/>
        <v>82.8</v>
      </c>
    </row>
    <row r="42" spans="1:17" x14ac:dyDescent="0.25">
      <c r="B42">
        <v>1</v>
      </c>
      <c r="C42" s="11" t="s">
        <v>71</v>
      </c>
      <c r="D42" s="12"/>
      <c r="E42" t="s">
        <v>165</v>
      </c>
      <c r="G42" t="s">
        <v>166</v>
      </c>
      <c r="H42" s="13" t="s">
        <v>167</v>
      </c>
      <c r="I42" s="3">
        <v>12.75</v>
      </c>
      <c r="J42" s="3">
        <v>12.75</v>
      </c>
      <c r="K42" s="3">
        <v>12.75</v>
      </c>
      <c r="M42" s="11">
        <f t="shared" si="0"/>
        <v>5</v>
      </c>
      <c r="N42" s="11">
        <f t="shared" si="1"/>
        <v>10</v>
      </c>
      <c r="P42" s="5">
        <f t="shared" si="2"/>
        <v>63.75</v>
      </c>
      <c r="Q42" s="5">
        <f t="shared" si="3"/>
        <v>127.5</v>
      </c>
    </row>
    <row r="43" spans="1:17" x14ac:dyDescent="0.25">
      <c r="B43">
        <v>1</v>
      </c>
      <c r="C43" s="11" t="s">
        <v>71</v>
      </c>
      <c r="D43" s="12"/>
      <c r="E43" t="s">
        <v>168</v>
      </c>
      <c r="G43" s="11" t="s">
        <v>169</v>
      </c>
      <c r="H43" s="13" t="s">
        <v>170</v>
      </c>
      <c r="I43" s="14">
        <v>2.36</v>
      </c>
      <c r="J43" s="14">
        <v>2.36</v>
      </c>
      <c r="K43" s="3">
        <v>2.33</v>
      </c>
      <c r="M43" s="11">
        <f t="shared" si="0"/>
        <v>5</v>
      </c>
      <c r="N43" s="11">
        <f t="shared" si="1"/>
        <v>10</v>
      </c>
      <c r="P43" s="5">
        <f t="shared" si="2"/>
        <v>11.799999999999999</v>
      </c>
      <c r="Q43" s="5">
        <f t="shared" si="3"/>
        <v>23.3</v>
      </c>
    </row>
    <row r="44" spans="1:17" s="11" customFormat="1" x14ac:dyDescent="0.25">
      <c r="B44" s="11">
        <v>1</v>
      </c>
      <c r="C44" s="11" t="s">
        <v>71</v>
      </c>
      <c r="D44" s="12"/>
      <c r="G44" s="11" t="s">
        <v>171</v>
      </c>
      <c r="H44" s="13" t="s">
        <v>172</v>
      </c>
      <c r="I44" s="14">
        <v>5.83</v>
      </c>
      <c r="J44" s="3">
        <v>5.25</v>
      </c>
      <c r="K44" s="3">
        <v>5.25</v>
      </c>
      <c r="L44" s="4"/>
      <c r="M44" s="11">
        <f t="shared" si="0"/>
        <v>5</v>
      </c>
      <c r="N44" s="11">
        <f t="shared" si="1"/>
        <v>10</v>
      </c>
      <c r="P44" s="5">
        <f t="shared" si="2"/>
        <v>26.25</v>
      </c>
      <c r="Q44" s="5">
        <f t="shared" si="3"/>
        <v>52.5</v>
      </c>
    </row>
    <row r="45" spans="1:17" s="11" customFormat="1" x14ac:dyDescent="0.25">
      <c r="B45" s="11">
        <v>1</v>
      </c>
      <c r="C45" s="11" t="s">
        <v>71</v>
      </c>
      <c r="D45" s="12"/>
      <c r="G45" s="11" t="s">
        <v>173</v>
      </c>
      <c r="H45" s="13" t="s">
        <v>174</v>
      </c>
      <c r="I45" s="14">
        <v>1.82</v>
      </c>
      <c r="J45" s="3">
        <v>1.82</v>
      </c>
      <c r="K45" s="3">
        <v>1.6439999999999999</v>
      </c>
      <c r="L45" s="4"/>
      <c r="M45" s="11">
        <f t="shared" si="0"/>
        <v>5</v>
      </c>
      <c r="N45" s="11">
        <f t="shared" si="1"/>
        <v>10</v>
      </c>
      <c r="P45" s="5">
        <f t="shared" si="2"/>
        <v>9.1</v>
      </c>
      <c r="Q45" s="5">
        <f t="shared" si="3"/>
        <v>16.439999999999998</v>
      </c>
    </row>
    <row r="46" spans="1:17" s="11" customFormat="1" x14ac:dyDescent="0.25">
      <c r="B46" s="11">
        <v>1</v>
      </c>
      <c r="C46" s="11" t="s">
        <v>71</v>
      </c>
      <c r="D46" s="12"/>
      <c r="G46" s="11" t="s">
        <v>175</v>
      </c>
      <c r="H46" s="13" t="s">
        <v>176</v>
      </c>
      <c r="I46" s="3">
        <v>25.64</v>
      </c>
      <c r="J46" s="3">
        <v>25.64</v>
      </c>
      <c r="K46" s="3">
        <v>25.64</v>
      </c>
      <c r="L46" s="4"/>
      <c r="M46" s="11">
        <f t="shared" si="0"/>
        <v>5</v>
      </c>
      <c r="N46" s="11">
        <f t="shared" si="1"/>
        <v>10</v>
      </c>
      <c r="P46" s="5">
        <f t="shared" si="2"/>
        <v>128.19999999999999</v>
      </c>
      <c r="Q46" s="5">
        <f t="shared" si="3"/>
        <v>256.39999999999998</v>
      </c>
    </row>
    <row r="47" spans="1:17" s="22" customFormat="1" x14ac:dyDescent="0.25">
      <c r="B47" s="22">
        <v>1</v>
      </c>
      <c r="C47" s="22" t="s">
        <v>71</v>
      </c>
      <c r="D47" s="23"/>
      <c r="H47" s="24" t="s">
        <v>177</v>
      </c>
      <c r="I47" s="25">
        <v>14.09</v>
      </c>
      <c r="J47" s="25">
        <v>14.09</v>
      </c>
      <c r="K47" s="25">
        <v>14.09</v>
      </c>
      <c r="L47" s="26"/>
      <c r="P47" s="27"/>
      <c r="Q47" s="27"/>
    </row>
    <row r="49" spans="1:18" x14ac:dyDescent="0.25">
      <c r="A49" s="28" t="s">
        <v>178</v>
      </c>
      <c r="B49">
        <f>SUMIF(C3:C47,"SMD",B3:B47)</f>
        <v>41</v>
      </c>
      <c r="C49" s="28" t="s">
        <v>23</v>
      </c>
      <c r="D49" s="29"/>
      <c r="E49" s="33"/>
      <c r="F49" s="34"/>
      <c r="O49" s="28" t="s">
        <v>179</v>
      </c>
      <c r="P49" s="30">
        <f>SUM(P3:P46)</f>
        <v>583.60799999999995</v>
      </c>
      <c r="Q49" s="30">
        <f>SUM(Q3:Q46)</f>
        <v>1142.0059999999999</v>
      </c>
      <c r="R49" s="30"/>
    </row>
    <row r="50" spans="1:18" x14ac:dyDescent="0.25">
      <c r="A50" s="28" t="s">
        <v>178</v>
      </c>
      <c r="B50">
        <f>SUMIF(C3:C47,"THT",B3:B47)</f>
        <v>8</v>
      </c>
      <c r="C50" s="28" t="s">
        <v>16</v>
      </c>
      <c r="D50" s="29"/>
      <c r="E50" s="33"/>
      <c r="F50" s="34"/>
    </row>
    <row r="51" spans="1:18" x14ac:dyDescent="0.25">
      <c r="A51" s="28" t="s">
        <v>178</v>
      </c>
      <c r="B51">
        <f>SUMIF(C3:C47,"EXT",B3:B47)</f>
        <v>15</v>
      </c>
      <c r="C51" s="28" t="s">
        <v>71</v>
      </c>
      <c r="D51" s="29"/>
      <c r="O51" s="28" t="s">
        <v>180</v>
      </c>
      <c r="P51" s="32">
        <v>7.9</v>
      </c>
      <c r="Q51" s="32"/>
    </row>
    <row r="53" spans="1:18" x14ac:dyDescent="0.25">
      <c r="A53" s="28"/>
      <c r="C53" s="28"/>
      <c r="E53" s="28"/>
      <c r="F53" s="31"/>
      <c r="O53" s="28" t="s">
        <v>181</v>
      </c>
      <c r="P53" s="30">
        <f>SUMIF(H3:H46,"*www.digikey.es*",P3:P46)</f>
        <v>44.62</v>
      </c>
      <c r="Q53" s="30">
        <f>SUMIF(H3:H46,"*www.digikey.es*",Q3:Q46)</f>
        <v>85.36</v>
      </c>
    </row>
    <row r="54" spans="1:18" x14ac:dyDescent="0.25">
      <c r="A54" s="28"/>
      <c r="C54" s="28"/>
      <c r="O54" s="28" t="s">
        <v>182</v>
      </c>
      <c r="P54" s="30">
        <f>SUMIF(H3:H46,"*www.mouser.es*",P3:P46)</f>
        <v>505.53</v>
      </c>
      <c r="Q54" s="30">
        <f>SUMIF(H3:H46,"*www.mouser.es*",Q3:Q46)</f>
        <v>989.7299999999999</v>
      </c>
    </row>
    <row r="55" spans="1:18" x14ac:dyDescent="0.25">
      <c r="A55" s="28"/>
      <c r="C55" s="28"/>
      <c r="O55" s="28" t="s">
        <v>183</v>
      </c>
      <c r="P55" s="30">
        <f>SUMIF(H3:H46,"*www.tme.eu*",P3:P46)</f>
        <v>33.457999999999998</v>
      </c>
      <c r="Q55" s="30">
        <f>SUMIF(H3:H46,"*www.tme.eu*",Q3:Q46)</f>
        <v>66.915999999999997</v>
      </c>
    </row>
    <row r="57" spans="1:18" x14ac:dyDescent="0.25">
      <c r="O57" s="28" t="s">
        <v>184</v>
      </c>
      <c r="P57" s="5">
        <f>SUMIFS(P3:P46,$H$3:$H$46,"*www.digikey.es*",$C$3:$C$46,"THT")</f>
        <v>35.519999999999996</v>
      </c>
      <c r="Q57" s="5">
        <f>SUMIFS(Q3:Q46,$H$3:$H$46,"*www.digikey.es*",$C$3:$C$46,"THT")</f>
        <v>68.92</v>
      </c>
    </row>
    <row r="58" spans="1:18" x14ac:dyDescent="0.25">
      <c r="O58" s="28" t="s">
        <v>185</v>
      </c>
      <c r="P58" s="5">
        <f>SUMIFS(P3:P46,$H$3:$H$46,"*www.mouser.es*",$C$3:$C$46,"THT")</f>
        <v>6.59</v>
      </c>
      <c r="Q58" s="5">
        <f>SUMIFS(Q3:Q46,$H$3:$H$46,"*www.mouser.es*",$C$3:$C$46,"THT")</f>
        <v>10.459999999999999</v>
      </c>
    </row>
    <row r="59" spans="1:18" x14ac:dyDescent="0.25">
      <c r="O59" s="28" t="s">
        <v>186</v>
      </c>
      <c r="P59" s="5">
        <f>SUMIFS(P3:P46,$H$3:$H$46,"*www.tme.eu*",$C$3:$C$46,"THT")</f>
        <v>2.6</v>
      </c>
      <c r="Q59" s="5">
        <f>SUMIFS(Q3:Q46,$H$3:$H$46,"*www.tme.eu*",$C$3:$C$46,"THT")</f>
        <v>5.2</v>
      </c>
    </row>
    <row r="61" spans="1:18" x14ac:dyDescent="0.25">
      <c r="O61" s="28" t="s">
        <v>187</v>
      </c>
      <c r="P61" s="5">
        <f>SUMIFS(P3:P46,$H$3:$H$46,"*www.digikey.es*",$C$3:$C$46,"SMD")</f>
        <v>0</v>
      </c>
      <c r="Q61" s="5">
        <f>SUMIFS(Q3:Q46,$H$3:$H$46,"*www.digikey.es*",$C$3:$C$46,"SMD")</f>
        <v>0</v>
      </c>
    </row>
    <row r="62" spans="1:18" x14ac:dyDescent="0.25">
      <c r="O62" s="28" t="s">
        <v>188</v>
      </c>
      <c r="P62" s="5">
        <f>SUMIFS(P3:P46,$H$3:$H$46,"*www.mouser.es*",$C$3:$C$46,"SMD")</f>
        <v>41.58</v>
      </c>
      <c r="Q62" s="5">
        <f>SUMIFS(Q3:Q46,$H$3:$H$46,"*www.mouser.es*",$C$3:$C$46,"SMD")</f>
        <v>67.709999999999994</v>
      </c>
    </row>
    <row r="63" spans="1:18" x14ac:dyDescent="0.25">
      <c r="O63" s="28" t="s">
        <v>189</v>
      </c>
      <c r="P63" s="5">
        <f>SUMIFS(P3:P46,$H$3:$H$46,"*www.tme.eu*",$C$3:$C$46,"SMD")</f>
        <v>0.33799999999999997</v>
      </c>
      <c r="Q63" s="5">
        <f>SUMIFS(Q3:Q46,$H$3:$H$46,"*www.tme.eu*",$C$3:$C$46,"SMD")</f>
        <v>0.67599999999999993</v>
      </c>
    </row>
    <row r="65" spans="15:17" x14ac:dyDescent="0.25">
      <c r="O65" s="28" t="s">
        <v>190</v>
      </c>
      <c r="P65" s="5">
        <f>SUMIFS(P3:P46,$H$3:$H$46,"*www.digikey.es*",$C$3:$C$46,"EXT")</f>
        <v>9.1</v>
      </c>
      <c r="Q65" s="5">
        <f>SUMIFS(Q3:Q46,$H$3:$H$46,"*www.digikey.es*",$C$3:$C$46,"EXT")</f>
        <v>16.439999999999998</v>
      </c>
    </row>
    <row r="66" spans="15:17" x14ac:dyDescent="0.25">
      <c r="O66" s="28" t="s">
        <v>191</v>
      </c>
      <c r="P66" s="5">
        <f>SUMIFS(P3:P46,$H$3:$H$46,"*www.mouser.es*",$C$3:$C$46,"EXT")</f>
        <v>457.36</v>
      </c>
      <c r="Q66" s="5">
        <f>SUMIFS(Q3:Q46,$H$3:$H$46,"*www.mouser.es*",$C$3:$C$46,"EXT")</f>
        <v>911.56000000000006</v>
      </c>
    </row>
    <row r="67" spans="15:17" x14ac:dyDescent="0.25">
      <c r="O67" s="28" t="s">
        <v>192</v>
      </c>
      <c r="P67" s="5">
        <f>SUMIFS(P3:P46,$H$3:$H$46,"*www.tme.eu*",$C$3:$C$46,"EXT")</f>
        <v>30.52</v>
      </c>
      <c r="Q67" s="5">
        <f>SUMIFS(Q3:Q46,$H$3:$H$46,"*www.tme.eu*",$C$3:$C$46,"EXT")</f>
        <v>61.04</v>
      </c>
    </row>
  </sheetData>
  <mergeCells count="3">
    <mergeCell ref="E49:E50"/>
    <mergeCell ref="F49:F50"/>
    <mergeCell ref="P51:Q51"/>
  </mergeCells>
  <conditionalFormatting sqref="C3:D47">
    <cfRule type="containsText" dxfId="32" priority="5" operator="containsText" text="EXT"/>
    <cfRule type="containsText" dxfId="31" priority="6" operator="containsText" text="SMD"/>
    <cfRule type="containsText" dxfId="30" priority="7" operator="containsText" text="THT"/>
  </conditionalFormatting>
  <conditionalFormatting sqref="D3:D47">
    <cfRule type="containsText" dxfId="29" priority="8" operator="containsText" text="N"/>
    <cfRule type="containsText" dxfId="28" priority="9" operator="containsText" text="Y"/>
  </conditionalFormatting>
  <conditionalFormatting sqref="H3:H47">
    <cfRule type="containsText" dxfId="27" priority="10" operator="containsText" text="tme"/>
    <cfRule type="containsText" dxfId="26" priority="11" operator="containsText" text="mouser"/>
    <cfRule type="containsText" dxfId="25" priority="12" operator="containsText" text="digikey"/>
    <cfRule type="containsText" dxfId="24" priority="13" operator="containsText" text="www.tme.eu"/>
    <cfRule type="containsText" dxfId="23" priority="14" operator="containsText" text="www.mouser.es"/>
    <cfRule type="containsText" dxfId="22" priority="15" operator="containsText" text="www.digikey.es"/>
  </conditionalFormatting>
  <conditionalFormatting sqref="C3:C47">
    <cfRule type="cellIs" dxfId="21" priority="16" operator="equal">
      <formula>"EXT"</formula>
    </cfRule>
    <cfRule type="cellIs" dxfId="20" priority="17" operator="equal">
      <formula>"THT"</formula>
    </cfRule>
    <cfRule type="cellIs" dxfId="19" priority="18" operator="equal">
      <formula>"SMD"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ntainsText" dxfId="0" priority="3" operator="containsText" text="mouser">
      <formula>NOT(ISERROR(SEARCH("mouser",H1)))</formula>
    </cfRule>
    <cfRule type="containsText" dxfId="1" priority="2" operator="containsText" text="tme">
      <formula>NOT(ISERROR(SEARCH("tme",H1)))</formula>
    </cfRule>
    <cfRule type="containsText" dxfId="2" priority="1" operator="containsText" text="digikey">
      <formula>NOT(ISERROR(SEARCH("digikey",H1)))</formula>
    </cfRule>
  </conditionalFormatting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9" r:id="rId17"/>
    <hyperlink ref="H20" r:id="rId18"/>
    <hyperlink ref="H21" r:id="rId19"/>
    <hyperlink ref="H22" r:id="rId20"/>
    <hyperlink ref="H23" r:id="rId21"/>
    <hyperlink ref="H24" r:id="rId22"/>
    <hyperlink ref="H25" r:id="rId23"/>
    <hyperlink ref="H26" r:id="rId24"/>
    <hyperlink ref="H27" r:id="rId25"/>
    <hyperlink ref="H28" r:id="rId26"/>
    <hyperlink ref="H29" r:id="rId27"/>
    <hyperlink ref="H30" r:id="rId28"/>
    <hyperlink ref="H31" r:id="rId29"/>
    <hyperlink ref="H32" r:id="rId30"/>
    <hyperlink ref="H33" r:id="rId31"/>
    <hyperlink ref="H34" r:id="rId32"/>
    <hyperlink ref="H35" r:id="rId33"/>
    <hyperlink ref="H36" r:id="rId34"/>
    <hyperlink ref="H37" r:id="rId35"/>
    <hyperlink ref="H38" r:id="rId36"/>
    <hyperlink ref="H39" r:id="rId37"/>
    <hyperlink ref="H40" r:id="rId38"/>
    <hyperlink ref="H41" r:id="rId39"/>
    <hyperlink ref="H42" r:id="rId40"/>
    <hyperlink ref="H43" r:id="rId41"/>
    <hyperlink ref="H44" r:id="rId42"/>
    <hyperlink ref="H45" r:id="rId43"/>
    <hyperlink ref="H46" r:id="rId44"/>
    <hyperlink ref="H47" r:id="rId45"/>
  </hyperlinks>
  <pageMargins left="0.7" right="0.7" top="0.75" bottom="0.75" header="0.51180555555555496" footer="0.51180555555555496"/>
  <pageSetup paperSize="9" firstPageNumber="0" orientation="portrait" horizontalDpi="300" verticalDpi="3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tabSelected="1" zoomScaleNormal="100" workbookViewId="0">
      <selection activeCell="K8" sqref="K8"/>
    </sheetView>
  </sheetViews>
  <sheetFormatPr baseColWidth="10" defaultColWidth="9.140625" defaultRowHeight="15" x14ac:dyDescent="0.25"/>
  <cols>
    <col min="1" max="1" width="11.85546875" customWidth="1"/>
    <col min="2" max="7" width="10.5703125" customWidth="1"/>
    <col min="8" max="8" width="22.28515625" customWidth="1"/>
    <col min="9" max="13" width="10.5703125" customWidth="1"/>
    <col min="14" max="14" width="18.85546875" customWidth="1"/>
    <col min="15" max="16" width="10.5703125" customWidth="1"/>
    <col min="17" max="17" width="11.85546875" bestFit="1" customWidth="1"/>
    <col min="18" max="1025" width="10.5703125" customWidth="1"/>
  </cols>
  <sheetData>
    <row r="2" spans="1:17" s="4" customFormat="1" x14ac:dyDescent="0.25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9" t="s">
        <v>9</v>
      </c>
      <c r="K2" s="9" t="s">
        <v>10</v>
      </c>
      <c r="M2" s="6" t="s">
        <v>11</v>
      </c>
      <c r="N2" s="6" t="s">
        <v>12</v>
      </c>
      <c r="P2" s="10" t="s">
        <v>13</v>
      </c>
      <c r="Q2" s="10" t="s">
        <v>14</v>
      </c>
    </row>
    <row r="3" spans="1:17" s="11" customFormat="1" x14ac:dyDescent="0.25">
      <c r="A3" s="11" t="s">
        <v>15</v>
      </c>
      <c r="B3" s="11">
        <v>1</v>
      </c>
      <c r="C3" s="11" t="s">
        <v>16</v>
      </c>
      <c r="D3" s="12" t="s">
        <v>17</v>
      </c>
      <c r="E3" s="11" t="s">
        <v>18</v>
      </c>
      <c r="F3" s="11" t="s">
        <v>19</v>
      </c>
      <c r="G3" s="11" t="s">
        <v>20</v>
      </c>
      <c r="H3" s="13" t="s">
        <v>21</v>
      </c>
      <c r="I3" s="14">
        <v>1.01</v>
      </c>
      <c r="J3" s="14">
        <v>1.01</v>
      </c>
      <c r="K3" s="3">
        <v>0.79800000000000004</v>
      </c>
      <c r="L3" s="4"/>
      <c r="M3" s="11">
        <f>5*B3</f>
        <v>5</v>
      </c>
      <c r="N3" s="11">
        <f>10*B3</f>
        <v>10</v>
      </c>
      <c r="P3" s="5">
        <f>IF(M3&gt;5,K3*M3,J3*M3)</f>
        <v>5.05</v>
      </c>
      <c r="Q3" s="5">
        <f>IF(N3&gt;5,K3*N3,J3*N3)</f>
        <v>7.98</v>
      </c>
    </row>
    <row r="4" spans="1:17" s="11" customFormat="1" x14ac:dyDescent="0.25">
      <c r="A4" s="11" t="s">
        <v>134</v>
      </c>
      <c r="B4" s="11">
        <v>2</v>
      </c>
      <c r="C4" s="11" t="s">
        <v>16</v>
      </c>
      <c r="D4" s="12" t="s">
        <v>17</v>
      </c>
      <c r="E4" s="11" t="s">
        <v>135</v>
      </c>
      <c r="F4" s="11" t="s">
        <v>136</v>
      </c>
      <c r="G4" s="11" t="s">
        <v>137</v>
      </c>
      <c r="H4" s="13" t="s">
        <v>138</v>
      </c>
      <c r="I4" s="14">
        <v>1.78</v>
      </c>
      <c r="J4" s="14">
        <v>1.78</v>
      </c>
      <c r="K4" s="14">
        <v>1.593</v>
      </c>
      <c r="L4" s="4"/>
      <c r="M4" s="11">
        <f>5*B4</f>
        <v>10</v>
      </c>
      <c r="N4" s="11">
        <f>10*B4</f>
        <v>20</v>
      </c>
      <c r="P4" s="5">
        <f>IF(M4&gt;5,K4*M4,J4*M4)</f>
        <v>15.93</v>
      </c>
      <c r="Q4" s="5">
        <f>IF(N4&gt;5,K4*N4,J4*N4)</f>
        <v>31.86</v>
      </c>
    </row>
    <row r="5" spans="1:17" s="11" customFormat="1" x14ac:dyDescent="0.25">
      <c r="A5" s="11" t="s">
        <v>134</v>
      </c>
      <c r="B5" s="11">
        <v>2</v>
      </c>
      <c r="C5" s="11" t="s">
        <v>16</v>
      </c>
      <c r="D5" s="12" t="s">
        <v>17</v>
      </c>
      <c r="E5" s="11" t="s">
        <v>135</v>
      </c>
      <c r="F5" s="11" t="s">
        <v>136</v>
      </c>
      <c r="G5" s="11" t="s">
        <v>139</v>
      </c>
      <c r="H5" s="13" t="s">
        <v>140</v>
      </c>
      <c r="I5" s="14">
        <v>1.63</v>
      </c>
      <c r="J5" s="14">
        <v>1.63</v>
      </c>
      <c r="K5" s="3">
        <v>1.454</v>
      </c>
      <c r="L5" s="4"/>
      <c r="M5" s="11">
        <f>5*B5</f>
        <v>10</v>
      </c>
      <c r="N5" s="11">
        <f>10*B5</f>
        <v>20</v>
      </c>
      <c r="P5" s="5">
        <f>IF(M5&gt;5,K5*M5,J5*M5)</f>
        <v>14.54</v>
      </c>
      <c r="Q5" s="5">
        <f>IF(N5&gt;5,K5*N5,J5*N5)</f>
        <v>29.08</v>
      </c>
    </row>
    <row r="6" spans="1:17" s="11" customFormat="1" x14ac:dyDescent="0.25">
      <c r="B6" s="11">
        <v>1</v>
      </c>
      <c r="C6" s="11" t="s">
        <v>71</v>
      </c>
      <c r="D6" s="12"/>
      <c r="G6" s="11" t="s">
        <v>173</v>
      </c>
      <c r="H6" s="13" t="s">
        <v>174</v>
      </c>
      <c r="I6" s="14">
        <v>1.82</v>
      </c>
      <c r="J6" s="3">
        <v>1.82</v>
      </c>
      <c r="K6" s="3">
        <v>1.6439999999999999</v>
      </c>
      <c r="L6" s="4"/>
      <c r="M6" s="11">
        <f>5*B6</f>
        <v>5</v>
      </c>
      <c r="N6" s="11">
        <f>10*B6</f>
        <v>10</v>
      </c>
      <c r="P6" s="5">
        <f>IF(M6&gt;5,K6*M6,J6*M6)</f>
        <v>9.1</v>
      </c>
      <c r="Q6" s="5">
        <f>IF(N6&gt;5,K6*N6,J6*N6)</f>
        <v>16.439999999999998</v>
      </c>
    </row>
    <row r="7" spans="1:17" s="11" customFormat="1" x14ac:dyDescent="0.25">
      <c r="B7" s="11">
        <v>1</v>
      </c>
      <c r="C7" s="11" t="s">
        <v>71</v>
      </c>
      <c r="D7" s="12"/>
      <c r="G7" s="11" t="s">
        <v>173</v>
      </c>
      <c r="H7" s="13" t="s">
        <v>193</v>
      </c>
      <c r="I7" s="14">
        <v>5.19</v>
      </c>
      <c r="J7" s="14">
        <v>5.19</v>
      </c>
      <c r="K7" s="3">
        <v>4.6669999999999998</v>
      </c>
      <c r="L7" s="4"/>
      <c r="M7" s="11">
        <f>5*B7</f>
        <v>5</v>
      </c>
      <c r="N7" s="11">
        <f>10*B7</f>
        <v>10</v>
      </c>
      <c r="P7" s="5">
        <f>IF(M7&gt;5,K7*M7,J7*M7)</f>
        <v>25.950000000000003</v>
      </c>
      <c r="Q7" s="5">
        <f>IF(N7&gt;5,K7*N7,J7*N7)</f>
        <v>46.67</v>
      </c>
    </row>
    <row r="8" spans="1:17" s="22" customFormat="1" x14ac:dyDescent="0.25">
      <c r="B8" s="22">
        <v>1</v>
      </c>
      <c r="C8" s="22" t="s">
        <v>71</v>
      </c>
      <c r="D8" s="23"/>
      <c r="H8" s="24" t="s">
        <v>177</v>
      </c>
      <c r="I8" s="25">
        <v>14.09</v>
      </c>
      <c r="J8" s="25">
        <v>14.09</v>
      </c>
      <c r="K8" s="36">
        <v>14.09</v>
      </c>
      <c r="L8" s="26"/>
      <c r="P8" s="27"/>
      <c r="Q8" s="27"/>
    </row>
  </sheetData>
  <conditionalFormatting sqref="C8:D8 C3:D6">
    <cfRule type="containsText" dxfId="114" priority="2" operator="containsText" text="EXT"/>
    <cfRule type="containsText" dxfId="113" priority="3" operator="containsText" text="SMD"/>
    <cfRule type="containsText" dxfId="112" priority="4" operator="containsText" text="THT"/>
  </conditionalFormatting>
  <conditionalFormatting sqref="D8 D3:D6">
    <cfRule type="containsText" dxfId="111" priority="5" operator="containsText" text="N"/>
    <cfRule type="containsText" dxfId="110" priority="6" operator="containsText" text="Y"/>
  </conditionalFormatting>
  <conditionalFormatting sqref="H8 H3:H6">
    <cfRule type="containsText" dxfId="109" priority="7" operator="containsText" text="tme"/>
    <cfRule type="containsText" dxfId="108" priority="8" operator="containsText" text="mouser"/>
    <cfRule type="containsText" dxfId="107" priority="9" operator="containsText" text="digikey"/>
    <cfRule type="containsText" dxfId="106" priority="10" operator="containsText" text="www.tme.eu"/>
    <cfRule type="containsText" dxfId="105" priority="11" operator="containsText" text="www.mouser.es"/>
    <cfRule type="containsText" dxfId="104" priority="12" operator="containsText" text="www.digikey.es"/>
  </conditionalFormatting>
  <conditionalFormatting sqref="C3:C6 C8">
    <cfRule type="cellIs" dxfId="103" priority="13" operator="equal">
      <formula>"EXT"</formula>
    </cfRule>
    <cfRule type="cellIs" dxfId="102" priority="14" operator="equal">
      <formula>"THT"</formula>
    </cfRule>
    <cfRule type="cellIs" dxfId="101" priority="15" operator="equal">
      <formula>"SMD"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D7">
    <cfRule type="containsText" dxfId="100" priority="17" operator="containsText" text="EXT"/>
    <cfRule type="containsText" dxfId="99" priority="18" operator="containsText" text="SMD"/>
    <cfRule type="containsText" dxfId="98" priority="19" operator="containsText" text="THT"/>
  </conditionalFormatting>
  <conditionalFormatting sqref="D7">
    <cfRule type="containsText" dxfId="97" priority="20" operator="containsText" text="N"/>
    <cfRule type="containsText" dxfId="96" priority="21" operator="containsText" text="Y"/>
  </conditionalFormatting>
  <conditionalFormatting sqref="H7">
    <cfRule type="containsText" dxfId="95" priority="22" operator="containsText" text="tme"/>
    <cfRule type="containsText" dxfId="94" priority="23" operator="containsText" text="mouser"/>
    <cfRule type="containsText" dxfId="93" priority="24" operator="containsText" text="digikey"/>
    <cfRule type="containsText" dxfId="92" priority="25" operator="containsText" text="www.tme.eu"/>
    <cfRule type="containsText" dxfId="91" priority="26" operator="containsText" text="www.mouser.es"/>
    <cfRule type="containsText" dxfId="90" priority="27" operator="containsText" text="www.digikey.es"/>
  </conditionalFormatting>
  <conditionalFormatting sqref="C7">
    <cfRule type="cellIs" dxfId="89" priority="28" operator="equal">
      <formula>"EXT"</formula>
    </cfRule>
    <cfRule type="cellIs" dxfId="88" priority="29" operator="equal">
      <formula>"THT"</formula>
    </cfRule>
    <cfRule type="cellIs" dxfId="87" priority="30" operator="equal">
      <formula>"SMD"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3" r:id="rId1"/>
    <hyperlink ref="H4" r:id="rId2"/>
    <hyperlink ref="H5" r:id="rId3"/>
    <hyperlink ref="H6" r:id="rId4"/>
    <hyperlink ref="H7" r:id="rId5"/>
    <hyperlink ref="H8" r:id="rId6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D1" zoomScaleNormal="100" workbookViewId="0">
      <selection activeCell="E13" sqref="E13"/>
    </sheetView>
  </sheetViews>
  <sheetFormatPr baseColWidth="10" defaultColWidth="9.140625" defaultRowHeight="15" x14ac:dyDescent="0.25"/>
  <cols>
    <col min="1" max="4" width="9.140625" customWidth="1"/>
    <col min="5" max="5" width="17.140625" customWidth="1"/>
    <col min="6" max="6" width="22.28515625" customWidth="1"/>
    <col min="7" max="7" width="22" customWidth="1"/>
    <col min="8" max="8" width="20.42578125" customWidth="1"/>
    <col min="9" max="10" width="12" customWidth="1"/>
    <col min="11" max="11" width="13" customWidth="1"/>
    <col min="12" max="13" width="9.140625" customWidth="1"/>
    <col min="14" max="14" width="18.85546875" bestFit="1" customWidth="1"/>
    <col min="15" max="1025" width="9.140625" customWidth="1"/>
  </cols>
  <sheetData>
    <row r="1" spans="1:17" s="4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  <c r="M1" s="6" t="s">
        <v>11</v>
      </c>
      <c r="N1" s="6" t="s">
        <v>12</v>
      </c>
      <c r="P1" s="10" t="s">
        <v>13</v>
      </c>
      <c r="Q1" s="10" t="s">
        <v>14</v>
      </c>
    </row>
    <row r="2" spans="1:17" s="11" customFormat="1" ht="15" customHeight="1" x14ac:dyDescent="0.25">
      <c r="A2" s="11" t="s">
        <v>61</v>
      </c>
      <c r="B2" s="11">
        <v>1</v>
      </c>
      <c r="C2" s="11" t="s">
        <v>16</v>
      </c>
      <c r="D2" s="12" t="s">
        <v>17</v>
      </c>
      <c r="E2" s="11" t="s">
        <v>62</v>
      </c>
      <c r="F2" s="11" t="s">
        <v>63</v>
      </c>
      <c r="G2" s="11" t="s">
        <v>64</v>
      </c>
      <c r="H2" s="13" t="s">
        <v>65</v>
      </c>
      <c r="I2" s="14">
        <v>0.59499999999999997</v>
      </c>
      <c r="J2" s="14">
        <v>0.59499999999999997</v>
      </c>
      <c r="K2" s="3">
        <v>0.47599999999999998</v>
      </c>
      <c r="L2" s="4"/>
      <c r="M2" s="11">
        <f t="shared" ref="M2:M11" si="0">5*B2</f>
        <v>5</v>
      </c>
      <c r="N2" s="11">
        <f t="shared" ref="N2:N11" si="1">10*B2</f>
        <v>10</v>
      </c>
      <c r="P2" s="5">
        <f t="shared" ref="P2:P11" si="2">IF(M2&gt;5,K2*M2,J2*M2)</f>
        <v>2.9749999999999996</v>
      </c>
      <c r="Q2" s="5">
        <f t="shared" ref="Q2:Q11" si="3">IF(N2&gt;5,K2*N2,J2*N2)</f>
        <v>4.76</v>
      </c>
    </row>
    <row r="3" spans="1:17" s="11" customFormat="1" x14ac:dyDescent="0.25">
      <c r="A3" s="11" t="s">
        <v>81</v>
      </c>
      <c r="B3" s="11">
        <v>1</v>
      </c>
      <c r="C3" s="11" t="s">
        <v>16</v>
      </c>
      <c r="D3" s="12" t="s">
        <v>17</v>
      </c>
      <c r="F3" s="11" t="s">
        <v>82</v>
      </c>
      <c r="H3" s="13" t="s">
        <v>83</v>
      </c>
      <c r="I3" s="14">
        <v>0.72299999999999998</v>
      </c>
      <c r="J3" s="14">
        <v>0.72299999999999998</v>
      </c>
      <c r="K3" s="3">
        <v>0.56999999999999995</v>
      </c>
      <c r="L3" s="4"/>
      <c r="M3" s="11">
        <f t="shared" si="0"/>
        <v>5</v>
      </c>
      <c r="N3" s="11">
        <f t="shared" si="1"/>
        <v>10</v>
      </c>
      <c r="P3" s="5">
        <f t="shared" si="2"/>
        <v>3.6149999999999998</v>
      </c>
      <c r="Q3" s="5">
        <f t="shared" si="3"/>
        <v>5.6999999999999993</v>
      </c>
    </row>
    <row r="4" spans="1:17" x14ac:dyDescent="0.25">
      <c r="B4">
        <v>2</v>
      </c>
      <c r="C4" s="11" t="s">
        <v>71</v>
      </c>
      <c r="D4" s="12"/>
      <c r="E4" t="s">
        <v>84</v>
      </c>
      <c r="F4" t="s">
        <v>85</v>
      </c>
      <c r="G4" t="s">
        <v>86</v>
      </c>
      <c r="H4" s="13" t="s">
        <v>87</v>
      </c>
      <c r="I4" s="14">
        <v>0.67200000000000004</v>
      </c>
      <c r="J4" s="14">
        <v>0.67200000000000004</v>
      </c>
      <c r="K4" s="3">
        <v>0.58099999999999996</v>
      </c>
      <c r="L4" s="4"/>
      <c r="M4" s="11">
        <f t="shared" si="0"/>
        <v>10</v>
      </c>
      <c r="N4" s="11">
        <f t="shared" si="1"/>
        <v>20</v>
      </c>
      <c r="P4" s="5">
        <f t="shared" si="2"/>
        <v>5.81</v>
      </c>
      <c r="Q4" s="5">
        <f t="shared" si="3"/>
        <v>11.62</v>
      </c>
    </row>
    <row r="5" spans="1:17" s="11" customFormat="1" x14ac:dyDescent="0.25">
      <c r="A5" s="11" t="s">
        <v>130</v>
      </c>
      <c r="B5" s="11">
        <v>1</v>
      </c>
      <c r="C5" s="11" t="s">
        <v>71</v>
      </c>
      <c r="D5" s="12"/>
      <c r="E5" s="11" t="s">
        <v>131</v>
      </c>
      <c r="F5" s="11" t="s">
        <v>127</v>
      </c>
      <c r="G5" s="11" t="s">
        <v>132</v>
      </c>
      <c r="H5" s="13" t="s">
        <v>133</v>
      </c>
      <c r="I5" s="14">
        <v>0.85</v>
      </c>
      <c r="J5" s="14">
        <v>0.85</v>
      </c>
      <c r="K5" s="3">
        <v>0.56399999999999995</v>
      </c>
      <c r="L5" s="4"/>
      <c r="M5" s="11">
        <f t="shared" si="0"/>
        <v>5</v>
      </c>
      <c r="N5" s="11">
        <f t="shared" si="1"/>
        <v>10</v>
      </c>
      <c r="P5" s="5">
        <f t="shared" si="2"/>
        <v>4.25</v>
      </c>
      <c r="Q5" s="5">
        <f t="shared" si="3"/>
        <v>5.64</v>
      </c>
    </row>
    <row r="6" spans="1:17" x14ac:dyDescent="0.25">
      <c r="B6">
        <v>1</v>
      </c>
      <c r="C6" s="11" t="s">
        <v>71</v>
      </c>
      <c r="D6" s="12"/>
      <c r="E6" t="s">
        <v>156</v>
      </c>
      <c r="G6" t="s">
        <v>157</v>
      </c>
      <c r="H6" s="13" t="s">
        <v>158</v>
      </c>
      <c r="I6" s="21">
        <v>25.71</v>
      </c>
      <c r="J6" s="21">
        <v>25.71</v>
      </c>
      <c r="K6" s="21">
        <v>25.71</v>
      </c>
      <c r="L6" s="4"/>
      <c r="M6" s="11">
        <f t="shared" si="0"/>
        <v>5</v>
      </c>
      <c r="N6" s="11">
        <f t="shared" si="1"/>
        <v>10</v>
      </c>
      <c r="P6" s="5">
        <f t="shared" si="2"/>
        <v>128.55000000000001</v>
      </c>
      <c r="Q6" s="5">
        <f t="shared" si="3"/>
        <v>257.10000000000002</v>
      </c>
    </row>
    <row r="7" spans="1:17" x14ac:dyDescent="0.25">
      <c r="B7">
        <v>1</v>
      </c>
      <c r="C7" s="11" t="s">
        <v>71</v>
      </c>
      <c r="D7" s="12"/>
      <c r="E7" t="s">
        <v>159</v>
      </c>
      <c r="G7" t="s">
        <v>160</v>
      </c>
      <c r="H7" s="13" t="s">
        <v>161</v>
      </c>
      <c r="I7" s="21">
        <v>14.72</v>
      </c>
      <c r="J7" s="21">
        <v>14.72</v>
      </c>
      <c r="K7" s="21">
        <v>14.72</v>
      </c>
      <c r="L7" s="4"/>
      <c r="M7" s="11">
        <f t="shared" si="0"/>
        <v>5</v>
      </c>
      <c r="N7" s="11">
        <f t="shared" si="1"/>
        <v>10</v>
      </c>
      <c r="P7" s="5">
        <f t="shared" si="2"/>
        <v>73.600000000000009</v>
      </c>
      <c r="Q7" s="5">
        <f t="shared" si="3"/>
        <v>147.20000000000002</v>
      </c>
    </row>
    <row r="8" spans="1:17" x14ac:dyDescent="0.25">
      <c r="B8">
        <v>1</v>
      </c>
      <c r="C8" s="11" t="s">
        <v>71</v>
      </c>
      <c r="D8" s="12"/>
      <c r="E8" t="s">
        <v>162</v>
      </c>
      <c r="G8" s="11" t="s">
        <v>163</v>
      </c>
      <c r="H8" s="13" t="s">
        <v>164</v>
      </c>
      <c r="I8" s="21">
        <v>8.2799999999999994</v>
      </c>
      <c r="J8" s="21">
        <v>8.2799999999999994</v>
      </c>
      <c r="K8" s="21">
        <v>8.2799999999999994</v>
      </c>
      <c r="L8" s="4"/>
      <c r="M8" s="11">
        <f t="shared" si="0"/>
        <v>5</v>
      </c>
      <c r="N8" s="11">
        <f t="shared" si="1"/>
        <v>10</v>
      </c>
      <c r="P8" s="5">
        <f t="shared" si="2"/>
        <v>41.4</v>
      </c>
      <c r="Q8" s="5">
        <f t="shared" si="3"/>
        <v>82.8</v>
      </c>
    </row>
    <row r="9" spans="1:17" x14ac:dyDescent="0.25">
      <c r="B9">
        <v>1</v>
      </c>
      <c r="C9" s="11" t="s">
        <v>71</v>
      </c>
      <c r="D9" s="12"/>
      <c r="E9" t="s">
        <v>165</v>
      </c>
      <c r="G9" t="s">
        <v>166</v>
      </c>
      <c r="H9" s="13" t="s">
        <v>167</v>
      </c>
      <c r="I9" s="3">
        <v>12.75</v>
      </c>
      <c r="J9" s="3">
        <v>12.75</v>
      </c>
      <c r="K9" s="3">
        <v>12.75</v>
      </c>
      <c r="L9" s="4"/>
      <c r="M9" s="11">
        <f t="shared" si="0"/>
        <v>5</v>
      </c>
      <c r="N9" s="11">
        <f t="shared" si="1"/>
        <v>10</v>
      </c>
      <c r="P9" s="5">
        <f t="shared" si="2"/>
        <v>63.75</v>
      </c>
      <c r="Q9" s="5">
        <f t="shared" si="3"/>
        <v>127.5</v>
      </c>
    </row>
    <row r="10" spans="1:17" x14ac:dyDescent="0.25">
      <c r="B10">
        <v>1</v>
      </c>
      <c r="C10" s="11" t="s">
        <v>71</v>
      </c>
      <c r="D10" s="12"/>
      <c r="E10" t="s">
        <v>168</v>
      </c>
      <c r="G10" s="11" t="s">
        <v>169</v>
      </c>
      <c r="H10" s="13" t="s">
        <v>170</v>
      </c>
      <c r="I10" s="14">
        <v>2.36</v>
      </c>
      <c r="J10" s="14">
        <v>2.36</v>
      </c>
      <c r="K10" s="3">
        <v>2.33</v>
      </c>
      <c r="L10" s="4"/>
      <c r="M10" s="11">
        <f t="shared" si="0"/>
        <v>5</v>
      </c>
      <c r="N10" s="11">
        <f t="shared" si="1"/>
        <v>10</v>
      </c>
      <c r="P10" s="5">
        <f t="shared" si="2"/>
        <v>11.799999999999999</v>
      </c>
      <c r="Q10" s="5">
        <f t="shared" si="3"/>
        <v>23.3</v>
      </c>
    </row>
    <row r="11" spans="1:17" s="11" customFormat="1" x14ac:dyDescent="0.25">
      <c r="B11" s="11">
        <v>1</v>
      </c>
      <c r="C11" s="11" t="s">
        <v>71</v>
      </c>
      <c r="D11" s="12"/>
      <c r="G11" s="11" t="s">
        <v>175</v>
      </c>
      <c r="H11" s="13" t="s">
        <v>176</v>
      </c>
      <c r="I11" s="3">
        <v>25.64</v>
      </c>
      <c r="J11" s="3">
        <v>25.64</v>
      </c>
      <c r="K11" s="3">
        <v>25.64</v>
      </c>
      <c r="L11" s="4"/>
      <c r="M11" s="11">
        <f t="shared" si="0"/>
        <v>5</v>
      </c>
      <c r="N11" s="11">
        <f t="shared" si="1"/>
        <v>10</v>
      </c>
      <c r="P11" s="5">
        <f t="shared" si="2"/>
        <v>128.19999999999999</v>
      </c>
      <c r="Q11" s="5">
        <f t="shared" si="3"/>
        <v>256.39999999999998</v>
      </c>
    </row>
    <row r="13" spans="1:17" x14ac:dyDescent="0.25">
      <c r="E13" s="35"/>
    </row>
  </sheetData>
  <conditionalFormatting sqref="C2:D11">
    <cfRule type="containsText" dxfId="86" priority="5" operator="containsText" text="EXT"/>
    <cfRule type="containsText" dxfId="85" priority="6" operator="containsText" text="SMD"/>
    <cfRule type="containsText" dxfId="84" priority="7" operator="containsText" text="THT"/>
  </conditionalFormatting>
  <conditionalFormatting sqref="D2:D11">
    <cfRule type="containsText" dxfId="83" priority="8" operator="containsText" text="N"/>
    <cfRule type="containsText" dxfId="82" priority="9" operator="containsText" text="Y"/>
  </conditionalFormatting>
  <conditionalFormatting sqref="H2:H11">
    <cfRule type="containsText" dxfId="81" priority="10" operator="containsText" text="www.tme.eu"/>
    <cfRule type="containsText" dxfId="80" priority="11" operator="containsText" text="www.mouser.es"/>
    <cfRule type="containsText" dxfId="79" priority="12" operator="containsText" text="www.digikey.es"/>
  </conditionalFormatting>
  <conditionalFormatting sqref="C1:C1048576">
    <cfRule type="cellIs" dxfId="78" priority="1" operator="equal">
      <formula>"SMD"</formula>
    </cfRule>
    <cfRule type="cellIs" dxfId="77" priority="2" operator="equal">
      <formula>"EXT"</formula>
    </cfRule>
    <cfRule type="cellIs" dxfId="76" priority="3" operator="equal">
      <formula>"THT"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workbookViewId="0">
      <selection activeCell="D7" sqref="D7"/>
    </sheetView>
  </sheetViews>
  <sheetFormatPr baseColWidth="10" defaultColWidth="9.140625" defaultRowHeight="15" x14ac:dyDescent="0.25"/>
  <cols>
    <col min="1" max="1" width="19.7109375" customWidth="1"/>
    <col min="2" max="2" width="4.140625" customWidth="1"/>
    <col min="3" max="3" width="5.5703125" customWidth="1"/>
    <col min="4" max="4" width="15.7109375" style="1" customWidth="1"/>
    <col min="5" max="5" width="11.7109375" customWidth="1"/>
    <col min="6" max="6" width="25.140625" customWidth="1"/>
    <col min="7" max="7" width="17.7109375" customWidth="1"/>
    <col min="8" max="8" width="21.5703125" customWidth="1"/>
    <col min="9" max="9" width="10.85546875" style="2" customWidth="1"/>
    <col min="10" max="11" width="9.140625" style="3"/>
    <col min="12" max="12" width="9.140625" style="4"/>
    <col min="13" max="13" width="17.85546875" customWidth="1"/>
    <col min="14" max="14" width="18.85546875" customWidth="1"/>
    <col min="15" max="15" width="15" customWidth="1"/>
    <col min="16" max="17" width="11.85546875" style="5" customWidth="1"/>
    <col min="18" max="1025" width="10.5703125" customWidth="1"/>
  </cols>
  <sheetData>
    <row r="2" spans="1:17" s="4" customFormat="1" x14ac:dyDescent="0.25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9" t="s">
        <v>9</v>
      </c>
      <c r="K2" s="9" t="s">
        <v>10</v>
      </c>
      <c r="M2" s="6" t="s">
        <v>11</v>
      </c>
      <c r="N2" s="6" t="s">
        <v>12</v>
      </c>
      <c r="P2" s="10" t="s">
        <v>13</v>
      </c>
      <c r="Q2" s="10" t="s">
        <v>14</v>
      </c>
    </row>
    <row r="3" spans="1:17" s="11" customFormat="1" x14ac:dyDescent="0.25">
      <c r="A3" s="11" t="s">
        <v>66</v>
      </c>
      <c r="B3" s="11">
        <v>1</v>
      </c>
      <c r="C3" s="11" t="s">
        <v>16</v>
      </c>
      <c r="D3" s="12" t="s">
        <v>17</v>
      </c>
      <c r="E3" s="11" t="s">
        <v>67</v>
      </c>
      <c r="F3" s="11" t="s">
        <v>68</v>
      </c>
      <c r="G3" s="11" t="s">
        <v>69</v>
      </c>
      <c r="H3" s="13" t="s">
        <v>70</v>
      </c>
      <c r="I3" s="14">
        <v>0.52</v>
      </c>
      <c r="J3" s="14">
        <v>0.52</v>
      </c>
      <c r="K3" s="14">
        <v>0.52</v>
      </c>
      <c r="L3" s="4"/>
      <c r="M3" s="11">
        <f t="shared" ref="M3:M6" si="0">5*B3</f>
        <v>5</v>
      </c>
      <c r="N3" s="11">
        <f t="shared" ref="N3:N6" si="1">10*B3</f>
        <v>10</v>
      </c>
      <c r="P3" s="5">
        <f t="shared" ref="P3:P6" si="2">IF(M3&gt;5,K3*M3,J3*M3)</f>
        <v>2.6</v>
      </c>
      <c r="Q3" s="5">
        <f t="shared" ref="Q3:Q6" si="3">IF(N3&gt;5,K3*N3,J3*N3)</f>
        <v>5.2</v>
      </c>
    </row>
    <row r="4" spans="1:17" s="11" customFormat="1" x14ac:dyDescent="0.25">
      <c r="A4" s="11" t="s">
        <v>66</v>
      </c>
      <c r="B4" s="11">
        <v>1</v>
      </c>
      <c r="C4" s="11" t="s">
        <v>71</v>
      </c>
      <c r="D4" s="12"/>
      <c r="E4" s="11" t="s">
        <v>67</v>
      </c>
      <c r="F4" s="11" t="s">
        <v>68</v>
      </c>
      <c r="G4" s="11" t="s">
        <v>72</v>
      </c>
      <c r="H4" s="13" t="s">
        <v>73</v>
      </c>
      <c r="I4" s="14">
        <v>0.254</v>
      </c>
      <c r="J4" s="14">
        <v>0.254</v>
      </c>
      <c r="K4" s="14">
        <v>0.254</v>
      </c>
      <c r="L4" s="4"/>
      <c r="M4" s="11">
        <f t="shared" si="0"/>
        <v>5</v>
      </c>
      <c r="N4" s="11">
        <f t="shared" si="1"/>
        <v>10</v>
      </c>
      <c r="P4" s="5">
        <f t="shared" si="2"/>
        <v>1.27</v>
      </c>
      <c r="Q4" s="5">
        <f t="shared" si="3"/>
        <v>2.54</v>
      </c>
    </row>
    <row r="5" spans="1:17" s="11" customFormat="1" x14ac:dyDescent="0.25">
      <c r="B5" s="11">
        <v>2</v>
      </c>
      <c r="C5" s="11" t="s">
        <v>71</v>
      </c>
      <c r="D5" s="12"/>
      <c r="G5" s="11" t="s">
        <v>79</v>
      </c>
      <c r="H5" s="13" t="s">
        <v>80</v>
      </c>
      <c r="I5" s="14">
        <v>0.3</v>
      </c>
      <c r="J5" s="14">
        <v>0.3</v>
      </c>
      <c r="K5" s="14">
        <v>0.3</v>
      </c>
      <c r="L5" s="4"/>
      <c r="M5" s="11">
        <f t="shared" si="0"/>
        <v>10</v>
      </c>
      <c r="N5" s="11">
        <f t="shared" si="1"/>
        <v>20</v>
      </c>
      <c r="P5" s="5">
        <f t="shared" si="2"/>
        <v>3</v>
      </c>
      <c r="Q5" s="5">
        <f t="shared" si="3"/>
        <v>6</v>
      </c>
    </row>
    <row r="6" spans="1:17" s="11" customFormat="1" x14ac:dyDescent="0.25">
      <c r="B6" s="11">
        <v>1</v>
      </c>
      <c r="C6" s="11" t="s">
        <v>71</v>
      </c>
      <c r="D6" s="12"/>
      <c r="G6" s="11" t="s">
        <v>171</v>
      </c>
      <c r="H6" s="13" t="s">
        <v>172</v>
      </c>
      <c r="I6" s="14">
        <v>5.83</v>
      </c>
      <c r="J6" s="3">
        <v>5.25</v>
      </c>
      <c r="K6" s="3">
        <v>5.25</v>
      </c>
      <c r="L6" s="4"/>
      <c r="M6" s="11">
        <f t="shared" si="0"/>
        <v>5</v>
      </c>
      <c r="N6" s="11">
        <f t="shared" si="1"/>
        <v>10</v>
      </c>
      <c r="P6" s="5">
        <f t="shared" si="2"/>
        <v>26.25</v>
      </c>
      <c r="Q6" s="5">
        <f t="shared" si="3"/>
        <v>52.5</v>
      </c>
    </row>
    <row r="8" spans="1:17" x14ac:dyDescent="0.25">
      <c r="A8" s="28"/>
      <c r="C8" s="28"/>
      <c r="O8" s="28" t="s">
        <v>182</v>
      </c>
      <c r="P8" s="30">
        <f>SUMIF(H3:H6,"*www.mouser.es*",P3:P6)</f>
        <v>0</v>
      </c>
      <c r="Q8" s="30">
        <f>SUMIF(H3:H6,"*www.mouser.es*",Q3:Q6)</f>
        <v>0</v>
      </c>
    </row>
    <row r="9" spans="1:17" x14ac:dyDescent="0.25">
      <c r="A9" s="28"/>
      <c r="C9" s="28"/>
      <c r="O9" s="28" t="s">
        <v>183</v>
      </c>
      <c r="P9" s="30">
        <f>SUMIF(H3:H6,"*www.tme.eu*",P3:P6)</f>
        <v>33.119999999999997</v>
      </c>
      <c r="Q9" s="30">
        <f>SUMIF(H3:H6,"*www.tme.eu*",Q3:Q6)</f>
        <v>66.239999999999995</v>
      </c>
    </row>
    <row r="11" spans="1:17" x14ac:dyDescent="0.25">
      <c r="O11" s="28" t="s">
        <v>184</v>
      </c>
      <c r="P11" s="5">
        <f>SUMIFS(P3:P6,$H$3:$H$6,"*www.digikey.es*",$C$3:$C$6,"THT")</f>
        <v>0</v>
      </c>
      <c r="Q11" s="5">
        <f>SUMIFS(Q3:Q6,$H$3:$H$6,"*www.digikey.es*",$C$3:$C$6,"THT")</f>
        <v>0</v>
      </c>
    </row>
    <row r="12" spans="1:17" x14ac:dyDescent="0.25">
      <c r="O12" s="28" t="s">
        <v>185</v>
      </c>
      <c r="P12" s="5">
        <f>SUMIFS(P3:P6,$H$3:$H$6,"*www.mouser.es*",$C$3:$C$6,"THT")</f>
        <v>0</v>
      </c>
      <c r="Q12" s="5">
        <f>SUMIFS(Q3:Q6,$H$3:$H$6,"*www.mouser.es*",$C$3:$C$6,"THT")</f>
        <v>0</v>
      </c>
    </row>
    <row r="13" spans="1:17" x14ac:dyDescent="0.25">
      <c r="O13" s="28" t="s">
        <v>186</v>
      </c>
      <c r="P13" s="5">
        <f>SUMIFS(P3:P6,$H$3:$H$6,"*www.tme.eu*",$C$3:$C$6,"THT")</f>
        <v>2.6</v>
      </c>
      <c r="Q13" s="5">
        <f>SUMIFS(Q3:Q6,$H$3:$H$6,"*www.tme.eu*",$C$3:$C$6,"THT")</f>
        <v>5.2</v>
      </c>
    </row>
    <row r="15" spans="1:17" x14ac:dyDescent="0.25">
      <c r="O15" s="28" t="s">
        <v>187</v>
      </c>
      <c r="P15" s="5">
        <f>SUMIFS(P3:P6,$H$3:$H$6,"*www.digikey.es*",$C$3:$C$6,"SMD")</f>
        <v>0</v>
      </c>
      <c r="Q15" s="5">
        <f>SUMIFS(Q3:Q6,$H$3:$H$6,"*www.digikey.es*",$C$3:$C$6,"SMD")</f>
        <v>0</v>
      </c>
    </row>
    <row r="16" spans="1:17" x14ac:dyDescent="0.25">
      <c r="O16" s="28" t="s">
        <v>188</v>
      </c>
      <c r="P16" s="5">
        <f>SUMIFS(P3:P6,$H$3:$H$6,"*www.mouser.es*",$C$3:$C$6,"SMD")</f>
        <v>0</v>
      </c>
      <c r="Q16" s="5">
        <f>SUMIFS(Q3:Q6,$H$3:$H$6,"*www.mouser.es*",$C$3:$C$6,"SMD")</f>
        <v>0</v>
      </c>
    </row>
    <row r="17" spans="15:17" x14ac:dyDescent="0.25">
      <c r="O17" s="28" t="s">
        <v>189</v>
      </c>
      <c r="P17" s="5">
        <f>SUMIFS(P3:P6,$H$3:$H$6,"*www.tme.eu*",$C$3:$C$6,"SMD")</f>
        <v>0</v>
      </c>
      <c r="Q17" s="5">
        <f>SUMIFS(Q3:Q6,$H$3:$H$6,"*www.tme.eu*",$C$3:$C$6,"SMD")</f>
        <v>0</v>
      </c>
    </row>
    <row r="19" spans="15:17" x14ac:dyDescent="0.25">
      <c r="O19" s="28" t="s">
        <v>190</v>
      </c>
      <c r="P19" s="5">
        <f>SUMIFS(P3:P6,$H$3:$H$6,"*www.digikey.es*",$C$3:$C$6,"EXT")</f>
        <v>0</v>
      </c>
      <c r="Q19" s="5">
        <f>SUMIFS(Q3:Q6,$H$3:$H$6,"*www.digikey.es*",$C$3:$C$6,"EXT")</f>
        <v>0</v>
      </c>
    </row>
    <row r="20" spans="15:17" x14ac:dyDescent="0.25">
      <c r="O20" s="28" t="s">
        <v>191</v>
      </c>
      <c r="P20" s="5">
        <f>SUMIFS(P3:P6,$H$3:$H$6,"*www.mouser.es*",$C$3:$C$6,"EXT")</f>
        <v>0</v>
      </c>
      <c r="Q20" s="5">
        <f>SUMIFS(Q3:Q6,$H$3:$H$6,"*www.mouser.es*",$C$3:$C$6,"EXT")</f>
        <v>0</v>
      </c>
    </row>
    <row r="21" spans="15:17" x14ac:dyDescent="0.25">
      <c r="O21" s="28" t="s">
        <v>192</v>
      </c>
      <c r="P21" s="5">
        <f>SUMIFS(P3:P6,$H$3:$H$6,"*www.tme.eu*",$C$3:$C$6,"EXT")</f>
        <v>30.52</v>
      </c>
      <c r="Q21" s="5">
        <f>SUMIFS(Q3:Q6,$H$3:$H$6,"*www.tme.eu*",$C$3:$C$6,"EXT")</f>
        <v>61.04</v>
      </c>
    </row>
  </sheetData>
  <conditionalFormatting sqref="C3:D6">
    <cfRule type="containsText" dxfId="75" priority="1" operator="containsText" text="EXT"/>
    <cfRule type="containsText" dxfId="74" priority="2" operator="containsText" text="SMD"/>
    <cfRule type="containsText" dxfId="73" priority="3" operator="containsText" text="THT"/>
  </conditionalFormatting>
  <conditionalFormatting sqref="D3:D6">
    <cfRule type="containsText" dxfId="72" priority="4" operator="containsText" text="N"/>
    <cfRule type="containsText" dxfId="71" priority="5" operator="containsText" text="Y"/>
  </conditionalFormatting>
  <conditionalFormatting sqref="H3:H6">
    <cfRule type="containsText" dxfId="70" priority="6" operator="containsText" text="tme"/>
    <cfRule type="containsText" dxfId="69" priority="7" operator="containsText" text="mouser"/>
    <cfRule type="containsText" dxfId="68" priority="8" operator="containsText" text="digikey"/>
    <cfRule type="containsText" dxfId="67" priority="9" operator="containsText" text="www.tme.eu"/>
    <cfRule type="containsText" dxfId="66" priority="10" operator="containsText" text="www.mouser.es"/>
    <cfRule type="containsText" dxfId="65" priority="11" operator="containsText" text="www.digikey.es"/>
  </conditionalFormatting>
  <conditionalFormatting sqref="C3:C6">
    <cfRule type="cellIs" dxfId="64" priority="99" operator="equal">
      <formula>"EXT"</formula>
    </cfRule>
    <cfRule type="cellIs" dxfId="63" priority="100" operator="equal">
      <formula>"THT"</formula>
    </cfRule>
    <cfRule type="cellIs" dxfId="62" priority="101" operator="equal">
      <formula>"SMD"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3" r:id="rId1"/>
    <hyperlink ref="H4" r:id="rId2"/>
    <hyperlink ref="H5" r:id="rId3"/>
    <hyperlink ref="H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Total</vt:lpstr>
      <vt:lpstr>Digikey</vt:lpstr>
      <vt:lpstr>Mouser</vt:lpstr>
      <vt:lpstr>TME</vt:lpstr>
      <vt:lpstr>Total!SolarNode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Martínez</dc:creator>
  <dc:description/>
  <cp:lastModifiedBy>Manuel Martínez</cp:lastModifiedBy>
  <cp:revision>4</cp:revision>
  <dcterms:created xsi:type="dcterms:W3CDTF">2017-10-18T10:53:04Z</dcterms:created>
  <dcterms:modified xsi:type="dcterms:W3CDTF">2018-01-31T11:37:31Z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