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o" sheetId="1" r:id="rId4"/>
    <sheet state="visible" name="Estudo 2" sheetId="2" r:id="rId5"/>
    <sheet state="visible" name="Modelo" sheetId="3" r:id="rId6"/>
  </sheets>
  <definedNames/>
  <calcPr/>
</workbook>
</file>

<file path=xl/sharedStrings.xml><?xml version="1.0" encoding="utf-8"?>
<sst xmlns="http://schemas.openxmlformats.org/spreadsheetml/2006/main" count="278" uniqueCount="128">
  <si>
    <t xml:space="preserve">PRODUTO: </t>
  </si>
  <si>
    <t>PESQUISA</t>
  </si>
  <si>
    <t>Número de habitantes</t>
  </si>
  <si>
    <t>Percentual que compram/gostam</t>
  </si>
  <si>
    <t>Clientes potenciais</t>
  </si>
  <si>
    <t>Consumo/habitante/mês</t>
  </si>
  <si>
    <t>250g/mês</t>
  </si>
  <si>
    <t>Consumo total (un.)</t>
  </si>
  <si>
    <t>kg</t>
  </si>
  <si>
    <t>INVESTIMENTO INICIAL</t>
  </si>
  <si>
    <t>Descrição</t>
  </si>
  <si>
    <t>Valor (R$)</t>
  </si>
  <si>
    <t>Desengaçadeira</t>
  </si>
  <si>
    <t>Balcão Inox</t>
  </si>
  <si>
    <t>Utensílio</t>
  </si>
  <si>
    <t>Câmara Fria</t>
  </si>
  <si>
    <t>Subtotal</t>
  </si>
  <si>
    <t>Reserva Técnica (10%)</t>
  </si>
  <si>
    <t>Estoque Mínimo Inicial</t>
  </si>
  <si>
    <t>Capital de Giro (1mês de despesas fixas)</t>
  </si>
  <si>
    <t>TOTAL</t>
  </si>
  <si>
    <t>CUSTO DE PRODUÇÃO</t>
  </si>
  <si>
    <t>Item – Lote de 1kg (4 unidades)</t>
  </si>
  <si>
    <t>Unidade</t>
  </si>
  <si>
    <t>Preço/un.</t>
  </si>
  <si>
    <t>Qtdd. Lote</t>
  </si>
  <si>
    <t>Total/Lote</t>
  </si>
  <si>
    <t>Total/Un.</t>
  </si>
  <si>
    <t>Suco Uva</t>
  </si>
  <si>
    <t>l</t>
  </si>
  <si>
    <t>Açúcar</t>
  </si>
  <si>
    <t>Pectina</t>
  </si>
  <si>
    <t>Embalagem</t>
  </si>
  <si>
    <t>1 unidade</t>
  </si>
  <si>
    <t>PREÇO DE VENDA</t>
  </si>
  <si>
    <t>Produto</t>
  </si>
  <si>
    <t>Concorrente A</t>
  </si>
  <si>
    <t>Concorrente B</t>
  </si>
  <si>
    <t>Concorrente C</t>
  </si>
  <si>
    <t>Preço Médio</t>
  </si>
  <si>
    <t>Geleia de Uva</t>
  </si>
  <si>
    <t>CUSTOS FIXOS</t>
  </si>
  <si>
    <t>Aluguel</t>
  </si>
  <si>
    <t>Luz</t>
  </si>
  <si>
    <t>Água</t>
  </si>
  <si>
    <t>Telefone</t>
  </si>
  <si>
    <t>Propaganda</t>
  </si>
  <si>
    <t>Salários</t>
  </si>
  <si>
    <t>Encargos Sociais</t>
  </si>
  <si>
    <t>Pró Labore</t>
  </si>
  <si>
    <t>CUSTOS VARIÁVEIS</t>
  </si>
  <si>
    <t>custo de produção</t>
  </si>
  <si>
    <t>Impostos – 3% sobre preço de venda</t>
  </si>
  <si>
    <t>Distribuição</t>
  </si>
  <si>
    <t>(400 km – 400/10=40*7,00  -  R$ 280,00/7500 = 0,04)</t>
  </si>
  <si>
    <t>RESUMO</t>
  </si>
  <si>
    <t>Venda/Receita</t>
  </si>
  <si>
    <t>Custo Variável – CV</t>
  </si>
  <si>
    <t>Margem de Contribuição – MC</t>
  </si>
  <si>
    <t>Custos Fixos – CF</t>
  </si>
  <si>
    <t>Ponto de Equilíbrio (quantidade)</t>
  </si>
  <si>
    <t>Ponto de Equilíbrio</t>
  </si>
  <si>
    <t>DEMONSTRATIVO DE RESULTADO</t>
  </si>
  <si>
    <t>Cenário – 100%</t>
  </si>
  <si>
    <t>Cenário – 80%</t>
  </si>
  <si>
    <t>Cenário – 60%</t>
  </si>
  <si>
    <t>A – Previsão de Vendas</t>
  </si>
  <si>
    <t>B – Custos Variáveis</t>
  </si>
  <si>
    <t>A-B Margem de Contribuição</t>
  </si>
  <si>
    <t>C – Custo Fixo</t>
  </si>
  <si>
    <t>(A-B)-C Resultado Operacional (Lucro/Prejuízo)</t>
  </si>
  <si>
    <t>Prazo de Retorno do Investimento</t>
  </si>
  <si>
    <t>Rentabilidade</t>
  </si>
  <si>
    <t>Lucratividade</t>
  </si>
  <si>
    <t>PAYBACK</t>
  </si>
  <si>
    <t>T0</t>
  </si>
  <si>
    <t>T1</t>
  </si>
  <si>
    <t>T2</t>
  </si>
  <si>
    <t>T3</t>
  </si>
  <si>
    <t>T4</t>
  </si>
  <si>
    <t>Simples</t>
  </si>
  <si>
    <t>Descontado</t>
  </si>
  <si>
    <t>Acumulado</t>
  </si>
  <si>
    <t>Descontado →</t>
  </si>
  <si>
    <t>VPL</t>
  </si>
  <si>
    <t>Considerando 0,5% a.m.</t>
  </si>
  <si>
    <t>TIR</t>
  </si>
  <si>
    <t>IBC</t>
  </si>
  <si>
    <t>PB</t>
  </si>
  <si>
    <t>três meses e dezessete dias</t>
  </si>
  <si>
    <t>três meses e dezoito dias</t>
  </si>
  <si>
    <t>//</t>
  </si>
  <si>
    <t>Número de Empresas</t>
  </si>
  <si>
    <t>Percentual que utilizam o serviço</t>
  </si>
  <si>
    <t>Instalações</t>
  </si>
  <si>
    <t>Equipamentos</t>
  </si>
  <si>
    <t>Ferramentas</t>
  </si>
  <si>
    <t>Materiais</t>
  </si>
  <si>
    <t>Item – Serviço…</t>
  </si>
  <si>
    <t>Quantidade</t>
  </si>
  <si>
    <t>Total</t>
  </si>
  <si>
    <t>Combustível</t>
  </si>
  <si>
    <t>litro</t>
  </si>
  <si>
    <t>Material</t>
  </si>
  <si>
    <t>metro</t>
  </si>
  <si>
    <t>Mão de obra</t>
  </si>
  <si>
    <t>hora</t>
  </si>
  <si>
    <t>Serviço …</t>
  </si>
  <si>
    <t>Impostos – 2% (ISS)</t>
  </si>
  <si>
    <t>unidades</t>
  </si>
  <si>
    <t>A – Previsão de Serviços</t>
  </si>
  <si>
    <t>Taxa</t>
  </si>
  <si>
    <t>T5</t>
  </si>
  <si>
    <t>T6</t>
  </si>
  <si>
    <t>T7</t>
  </si>
  <si>
    <t>T8</t>
  </si>
  <si>
    <t>T9</t>
  </si>
  <si>
    <t>T10</t>
  </si>
  <si>
    <t>T11</t>
  </si>
  <si>
    <t>T12</t>
  </si>
  <si>
    <t>cinco meses e quatro dias</t>
  </si>
  <si>
    <t>cinco meses e sete dias</t>
  </si>
  <si>
    <t>MISSÃO:</t>
  </si>
  <si>
    <t>VISÃO:</t>
  </si>
  <si>
    <t>VALORES:</t>
  </si>
  <si>
    <t>PRODUTO/SERVIÇO</t>
  </si>
  <si>
    <t xml:space="preserve">Item – </t>
  </si>
  <si>
    <t>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</si>
</sst>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-416]\ #,##0.00;\-[$R$-416]\ #,##0.00"/>
    <numFmt numFmtId="165" formatCode="[$R$-416]\ #,##0.00;[RED]\-[$R$-416]\ 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i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E8E8E8"/>
        <bgColor rgb="FFE8E8E8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  <xf borderId="1" fillId="0" fontId="2" numFmtId="10" xfId="0" applyAlignment="1" applyBorder="1" applyFont="1" applyNumberFormat="1">
      <alignment shrinkToFit="0" vertical="bottom" wrapText="0"/>
    </xf>
    <xf borderId="0" fillId="0" fontId="2" numFmtId="10" xfId="0" applyAlignment="1" applyFont="1" applyNumberForma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2" fontId="2" numFmtId="164" xfId="0" applyAlignment="1" applyBorder="1" applyFont="1" applyNumberForma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2" numFmtId="165" xfId="0" applyAlignment="1" applyBorder="1" applyFont="1" applyNumberFormat="1">
      <alignment shrinkToFit="0" vertical="bottom" wrapText="0"/>
    </xf>
    <xf borderId="1" fillId="0" fontId="2" numFmtId="165" xfId="0" applyAlignment="1" applyBorder="1" applyFont="1" applyNumberFormat="1">
      <alignment shrinkToFit="0" vertical="bottom" wrapText="0"/>
    </xf>
    <xf borderId="1" fillId="3" fontId="2" numFmtId="164" xfId="0" applyAlignment="1" applyBorder="1" applyFont="1" applyNumberForma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4" fontId="2" numFmtId="10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0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1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ill="1" applyFont="1">
      <alignment shrinkToFit="0" vertical="bottom" wrapText="0"/>
    </xf>
    <xf borderId="1" fillId="5" fontId="2" numFmtId="10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1" fillId="0" fontId="2" numFmtId="10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16.13"/>
    <col customWidth="1" min="3" max="3" width="13.5"/>
    <col customWidth="1" min="4" max="4" width="13.0"/>
    <col customWidth="1" min="5" max="6" width="11.63"/>
    <col customWidth="1" min="7" max="13" width="11.5"/>
    <col customWidth="1" min="14" max="26" width="8.63"/>
  </cols>
  <sheetData>
    <row r="1" ht="12.75" customHeight="1"/>
    <row r="2" ht="12.75" customHeight="1">
      <c r="A2" s="1" t="s">
        <v>0</v>
      </c>
    </row>
    <row r="3" ht="12.75" customHeight="1"/>
    <row r="4" ht="12.75" customHeight="1">
      <c r="A4" s="2" t="s">
        <v>1</v>
      </c>
      <c r="B4" s="2"/>
    </row>
    <row r="5" ht="12.75" customHeight="1">
      <c r="A5" s="2" t="s">
        <v>2</v>
      </c>
      <c r="B5" s="2">
        <v>60000.0</v>
      </c>
    </row>
    <row r="6" ht="12.75" customHeight="1">
      <c r="A6" s="2" t="s">
        <v>3</v>
      </c>
      <c r="B6" s="3">
        <v>0.5</v>
      </c>
    </row>
    <row r="7" ht="12.75" customHeight="1">
      <c r="A7" s="2" t="s">
        <v>4</v>
      </c>
      <c r="B7" s="2">
        <f>B5*B6</f>
        <v>30000</v>
      </c>
    </row>
    <row r="8" ht="12.75" customHeight="1">
      <c r="A8" s="2" t="s">
        <v>5</v>
      </c>
      <c r="B8" s="2" t="s">
        <v>6</v>
      </c>
    </row>
    <row r="9" ht="12.75" customHeight="1">
      <c r="A9" s="2" t="s">
        <v>7</v>
      </c>
      <c r="B9" s="2">
        <f>B7*0.25</f>
        <v>7500</v>
      </c>
      <c r="C9" s="1" t="s">
        <v>8</v>
      </c>
    </row>
    <row r="10" ht="12.75" customHeight="1">
      <c r="B10" s="4"/>
    </row>
    <row r="11" ht="12.75" customHeight="1"/>
    <row r="12" ht="12.75" customHeight="1">
      <c r="A12" s="2" t="s">
        <v>9</v>
      </c>
      <c r="B12" s="2"/>
    </row>
    <row r="13" ht="12.75" customHeight="1">
      <c r="A13" s="2"/>
      <c r="B13" s="2"/>
    </row>
    <row r="14" ht="12.75" customHeight="1">
      <c r="A14" s="5" t="s">
        <v>10</v>
      </c>
      <c r="B14" s="5" t="s">
        <v>11</v>
      </c>
    </row>
    <row r="15" ht="12.75" customHeight="1">
      <c r="A15" s="2" t="s">
        <v>12</v>
      </c>
      <c r="B15" s="6">
        <v>4000.0</v>
      </c>
    </row>
    <row r="16" ht="12.75" customHeight="1">
      <c r="A16" s="2" t="s">
        <v>13</v>
      </c>
      <c r="B16" s="6">
        <v>3000.0</v>
      </c>
    </row>
    <row r="17" ht="12.75" customHeight="1">
      <c r="A17" s="2" t="s">
        <v>14</v>
      </c>
      <c r="B17" s="6">
        <v>2500.0</v>
      </c>
    </row>
    <row r="18" ht="12.75" customHeight="1">
      <c r="A18" s="2" t="s">
        <v>15</v>
      </c>
      <c r="B18" s="6">
        <v>6000.0</v>
      </c>
    </row>
    <row r="19" ht="12.75" customHeight="1">
      <c r="A19" s="5" t="s">
        <v>16</v>
      </c>
      <c r="B19" s="7">
        <f>SUM(B15:B18)</f>
        <v>15500</v>
      </c>
    </row>
    <row r="20" ht="12.75" customHeight="1">
      <c r="A20" s="2" t="s">
        <v>17</v>
      </c>
      <c r="B20" s="6">
        <f>B19*0.1</f>
        <v>1550</v>
      </c>
    </row>
    <row r="21" ht="12.75" customHeight="1">
      <c r="A21" s="2" t="s">
        <v>18</v>
      </c>
      <c r="B21" s="6">
        <v>4000.0</v>
      </c>
    </row>
    <row r="22" ht="12.75" customHeight="1">
      <c r="A22" s="2" t="s">
        <v>19</v>
      </c>
      <c r="B22" s="6">
        <f>B51</f>
        <v>10001</v>
      </c>
    </row>
    <row r="23" ht="12.75" customHeight="1">
      <c r="A23" s="5" t="s">
        <v>20</v>
      </c>
      <c r="B23" s="7">
        <f>SUM(B19:B22)</f>
        <v>31051</v>
      </c>
    </row>
    <row r="24" ht="12.75" customHeight="1"/>
    <row r="25" ht="12.75" customHeight="1"/>
    <row r="26" ht="12.75" customHeight="1">
      <c r="A26" s="2" t="s">
        <v>21</v>
      </c>
      <c r="B26" s="2"/>
      <c r="C26" s="2"/>
      <c r="D26" s="2"/>
      <c r="E26" s="2"/>
      <c r="F26" s="2"/>
    </row>
    <row r="27" ht="12.75" customHeight="1">
      <c r="A27" s="2"/>
      <c r="B27" s="2"/>
      <c r="C27" s="2"/>
      <c r="D27" s="2"/>
      <c r="E27" s="2"/>
      <c r="F27" s="2"/>
    </row>
    <row r="28" ht="12.75" customHeight="1">
      <c r="A28" s="8" t="s">
        <v>22</v>
      </c>
      <c r="B28" s="8" t="s">
        <v>23</v>
      </c>
      <c r="C28" s="8" t="s">
        <v>24</v>
      </c>
      <c r="D28" s="8" t="s">
        <v>25</v>
      </c>
      <c r="E28" s="8" t="s">
        <v>26</v>
      </c>
      <c r="F28" s="8" t="s">
        <v>27</v>
      </c>
    </row>
    <row r="29" ht="12.75" customHeight="1">
      <c r="A29" s="2" t="s">
        <v>28</v>
      </c>
      <c r="B29" s="2" t="s">
        <v>29</v>
      </c>
      <c r="C29" s="6">
        <v>2.0</v>
      </c>
      <c r="D29" s="2">
        <v>0.16</v>
      </c>
      <c r="E29" s="6">
        <f t="shared" ref="E29:E32" si="1">C29*D29</f>
        <v>0.32</v>
      </c>
      <c r="F29" s="2"/>
    </row>
    <row r="30" ht="12.75" customHeight="1">
      <c r="A30" s="2" t="s">
        <v>30</v>
      </c>
      <c r="B30" s="2" t="s">
        <v>8</v>
      </c>
      <c r="C30" s="6">
        <v>2.1</v>
      </c>
      <c r="D30" s="2">
        <v>0.16</v>
      </c>
      <c r="E30" s="6">
        <f t="shared" si="1"/>
        <v>0.336</v>
      </c>
      <c r="F30" s="2"/>
    </row>
    <row r="31" ht="12.75" customHeight="1">
      <c r="A31" s="2" t="s">
        <v>31</v>
      </c>
      <c r="B31" s="2" t="s">
        <v>8</v>
      </c>
      <c r="C31" s="6">
        <v>4.0</v>
      </c>
      <c r="D31" s="2">
        <v>0.08</v>
      </c>
      <c r="E31" s="6">
        <f t="shared" si="1"/>
        <v>0.32</v>
      </c>
      <c r="F31" s="2"/>
    </row>
    <row r="32" ht="12.75" customHeight="1">
      <c r="A32" s="2" t="s">
        <v>32</v>
      </c>
      <c r="B32" s="2" t="s">
        <v>33</v>
      </c>
      <c r="C32" s="6">
        <v>0.53</v>
      </c>
      <c r="D32" s="2">
        <v>4.0</v>
      </c>
      <c r="E32" s="6">
        <f t="shared" si="1"/>
        <v>2.12</v>
      </c>
      <c r="F32" s="2"/>
    </row>
    <row r="33" ht="12.75" customHeight="1">
      <c r="A33" s="8" t="s">
        <v>20</v>
      </c>
      <c r="B33" s="8"/>
      <c r="C33" s="8"/>
      <c r="D33" s="8"/>
      <c r="E33" s="9">
        <f>SUM(E29:E32)</f>
        <v>3.096</v>
      </c>
      <c r="F33" s="9">
        <f>E33/4</f>
        <v>0.774</v>
      </c>
    </row>
    <row r="34" ht="12.75" customHeight="1"/>
    <row r="35" ht="12.75" customHeight="1">
      <c r="A35" s="2" t="s">
        <v>34</v>
      </c>
      <c r="B35" s="2"/>
      <c r="C35" s="2"/>
      <c r="D35" s="2"/>
      <c r="E35" s="2"/>
    </row>
    <row r="36" ht="12.75" customHeight="1">
      <c r="A36" s="2"/>
      <c r="B36" s="2"/>
      <c r="C36" s="2"/>
      <c r="D36" s="2"/>
      <c r="E36" s="2"/>
    </row>
    <row r="37" ht="12.75" customHeight="1">
      <c r="A37" s="8" t="s">
        <v>35</v>
      </c>
      <c r="B37" s="8" t="s">
        <v>36</v>
      </c>
      <c r="C37" s="8" t="s">
        <v>37</v>
      </c>
      <c r="D37" s="8" t="s">
        <v>38</v>
      </c>
      <c r="E37" s="8" t="s">
        <v>39</v>
      </c>
    </row>
    <row r="38" ht="12.75" customHeight="1">
      <c r="A38" s="2" t="s">
        <v>40</v>
      </c>
      <c r="B38" s="10">
        <v>3.59</v>
      </c>
      <c r="C38" s="6">
        <v>7.95</v>
      </c>
      <c r="D38" s="6">
        <v>10.95</v>
      </c>
      <c r="E38" s="10">
        <f>(B38+C38+D38)/3</f>
        <v>7.496666667</v>
      </c>
    </row>
    <row r="39" ht="12.75" customHeight="1"/>
    <row r="40" ht="12.75" customHeight="1"/>
    <row r="41" ht="12.75" customHeight="1">
      <c r="A41" s="2" t="s">
        <v>41</v>
      </c>
      <c r="B41" s="2"/>
    </row>
    <row r="42" ht="12.75" customHeight="1">
      <c r="A42" s="8" t="s">
        <v>10</v>
      </c>
      <c r="B42" s="8" t="s">
        <v>11</v>
      </c>
    </row>
    <row r="43" ht="12.75" customHeight="1">
      <c r="A43" s="2" t="s">
        <v>42</v>
      </c>
      <c r="B43" s="6">
        <v>1500.0</v>
      </c>
    </row>
    <row r="44" ht="12.75" customHeight="1">
      <c r="A44" s="2" t="s">
        <v>43</v>
      </c>
      <c r="B44" s="6">
        <v>500.0</v>
      </c>
    </row>
    <row r="45" ht="12.75" customHeight="1">
      <c r="A45" s="2" t="s">
        <v>44</v>
      </c>
      <c r="B45" s="6">
        <v>350.0</v>
      </c>
    </row>
    <row r="46" ht="12.75" customHeight="1">
      <c r="A46" s="2" t="s">
        <v>45</v>
      </c>
      <c r="B46" s="6">
        <v>500.0</v>
      </c>
    </row>
    <row r="47" ht="12.75" customHeight="1">
      <c r="A47" s="2" t="s">
        <v>46</v>
      </c>
      <c r="B47" s="6">
        <v>1000.0</v>
      </c>
    </row>
    <row r="48" ht="12.75" customHeight="1">
      <c r="A48" s="2" t="s">
        <v>47</v>
      </c>
      <c r="B48" s="6">
        <v>3600.0</v>
      </c>
    </row>
    <row r="49" ht="12.75" customHeight="1">
      <c r="A49" s="2" t="s">
        <v>48</v>
      </c>
      <c r="B49" s="6">
        <v>1851.0</v>
      </c>
    </row>
    <row r="50" ht="12.75" customHeight="1">
      <c r="A50" s="2" t="s">
        <v>49</v>
      </c>
      <c r="B50" s="6">
        <v>700.0</v>
      </c>
    </row>
    <row r="51" ht="12.75" customHeight="1">
      <c r="A51" s="8" t="s">
        <v>20</v>
      </c>
      <c r="B51" s="11">
        <f>SUM(B43:B50)</f>
        <v>10001</v>
      </c>
    </row>
    <row r="52" ht="12.75" customHeight="1"/>
    <row r="53" ht="12.75" customHeight="1"/>
    <row r="54" ht="12.75" customHeight="1">
      <c r="A54" s="2" t="s">
        <v>50</v>
      </c>
      <c r="B54" s="2"/>
    </row>
    <row r="55" ht="12.75" customHeight="1">
      <c r="A55" s="8" t="s">
        <v>10</v>
      </c>
      <c r="B55" s="8" t="s">
        <v>11</v>
      </c>
    </row>
    <row r="56" ht="12.75" customHeight="1">
      <c r="A56" s="2" t="s">
        <v>51</v>
      </c>
      <c r="B56" s="6">
        <f>E33</f>
        <v>3.096</v>
      </c>
    </row>
    <row r="57" ht="12.75" customHeight="1">
      <c r="A57" s="2" t="s">
        <v>52</v>
      </c>
      <c r="B57" s="6">
        <f>E38*0.03</f>
        <v>0.2249</v>
      </c>
    </row>
    <row r="58" ht="12.75" customHeight="1">
      <c r="A58" s="2" t="s">
        <v>53</v>
      </c>
      <c r="B58" s="6">
        <v>0.04</v>
      </c>
      <c r="C58" s="1" t="s">
        <v>54</v>
      </c>
    </row>
    <row r="59" ht="12.75" customHeight="1">
      <c r="A59" s="8" t="s">
        <v>20</v>
      </c>
      <c r="B59" s="11">
        <f>SUM(B56:B58)</f>
        <v>3.3609</v>
      </c>
    </row>
    <row r="60" ht="12.75" customHeight="1"/>
    <row r="61" ht="12.75" customHeight="1"/>
    <row r="62" ht="12.75" customHeight="1">
      <c r="A62" s="12" t="s">
        <v>55</v>
      </c>
      <c r="B62" s="2"/>
      <c r="C62" s="2"/>
    </row>
    <row r="63" ht="12.75" customHeight="1">
      <c r="A63" s="2" t="s">
        <v>56</v>
      </c>
      <c r="B63" s="6">
        <f>E38</f>
        <v>7.496666667</v>
      </c>
      <c r="C63" s="2"/>
    </row>
    <row r="64" ht="12.75" customHeight="1">
      <c r="A64" s="2" t="s">
        <v>57</v>
      </c>
      <c r="B64" s="6">
        <f>B59</f>
        <v>3.3609</v>
      </c>
      <c r="C64" s="2"/>
    </row>
    <row r="65" ht="12.75" customHeight="1">
      <c r="A65" s="2" t="s">
        <v>58</v>
      </c>
      <c r="B65" s="6">
        <f>B63-B64</f>
        <v>4.135766667</v>
      </c>
      <c r="C65" s="2"/>
    </row>
    <row r="66" ht="12.75" customHeight="1">
      <c r="A66" s="2" t="s">
        <v>59</v>
      </c>
      <c r="B66" s="6">
        <f>B51</f>
        <v>10001</v>
      </c>
      <c r="C66" s="2"/>
    </row>
    <row r="67" ht="12.75" customHeight="1">
      <c r="A67" s="2" t="s">
        <v>60</v>
      </c>
      <c r="B67" s="2">
        <f>B66/B65</f>
        <v>2418.173172</v>
      </c>
      <c r="C67" s="2" t="s">
        <v>8</v>
      </c>
    </row>
    <row r="68" ht="12.75" customHeight="1">
      <c r="A68" s="2" t="s">
        <v>61</v>
      </c>
      <c r="B68" s="6">
        <f>B67*B63</f>
        <v>18128.23821</v>
      </c>
      <c r="C68" s="2"/>
    </row>
    <row r="69" ht="12.75" customHeight="1"/>
    <row r="70" ht="12.75" customHeight="1"/>
    <row r="71" ht="12.75" customHeight="1">
      <c r="A71" s="12" t="s">
        <v>62</v>
      </c>
      <c r="B71" s="12" t="s">
        <v>63</v>
      </c>
      <c r="C71" s="12" t="s">
        <v>64</v>
      </c>
      <c r="D71" s="12" t="s">
        <v>65</v>
      </c>
    </row>
    <row r="72" ht="12.75" customHeight="1">
      <c r="A72" s="2" t="s">
        <v>66</v>
      </c>
      <c r="B72" s="6">
        <f>B9*B63</f>
        <v>56225</v>
      </c>
      <c r="C72" s="10">
        <f t="shared" ref="C72:C73" si="2">B72-(B72*0.2)</f>
        <v>44980</v>
      </c>
      <c r="D72" s="10">
        <f t="shared" ref="D72:D73" si="3">B72-(B72*0.4)</f>
        <v>33735</v>
      </c>
    </row>
    <row r="73" ht="12.75" customHeight="1">
      <c r="A73" s="2" t="s">
        <v>67</v>
      </c>
      <c r="B73" s="6">
        <f>B64*B9</f>
        <v>25206.75</v>
      </c>
      <c r="C73" s="10">
        <f t="shared" si="2"/>
        <v>20165.4</v>
      </c>
      <c r="D73" s="10">
        <f t="shared" si="3"/>
        <v>15124.05</v>
      </c>
    </row>
    <row r="74" ht="12.75" customHeight="1">
      <c r="A74" s="2" t="s">
        <v>68</v>
      </c>
      <c r="B74" s="6">
        <f t="shared" ref="B74:D74" si="4">B72-B73</f>
        <v>31018.25</v>
      </c>
      <c r="C74" s="10">
        <f t="shared" si="4"/>
        <v>24814.6</v>
      </c>
      <c r="D74" s="10">
        <f t="shared" si="4"/>
        <v>18610.95</v>
      </c>
    </row>
    <row r="75" ht="12.75" customHeight="1">
      <c r="A75" s="2" t="s">
        <v>69</v>
      </c>
      <c r="B75" s="6">
        <f>B66</f>
        <v>10001</v>
      </c>
      <c r="C75" s="10">
        <f>B75</f>
        <v>10001</v>
      </c>
      <c r="D75" s="10">
        <f>B75</f>
        <v>10001</v>
      </c>
    </row>
    <row r="76" ht="12.75" customHeight="1">
      <c r="A76" s="13" t="s">
        <v>70</v>
      </c>
      <c r="B76" s="6">
        <f t="shared" ref="B76:D76" si="5">B74-B75</f>
        <v>21017.25</v>
      </c>
      <c r="C76" s="10">
        <f t="shared" si="5"/>
        <v>14813.6</v>
      </c>
      <c r="D76" s="10">
        <f t="shared" si="5"/>
        <v>8609.95</v>
      </c>
    </row>
    <row r="77" ht="12.75" customHeight="1">
      <c r="A77" s="2"/>
      <c r="B77" s="2"/>
      <c r="C77" s="2"/>
      <c r="D77" s="2"/>
    </row>
    <row r="78" ht="12.75" customHeight="1">
      <c r="A78" s="2"/>
      <c r="B78" s="2"/>
      <c r="C78" s="2"/>
      <c r="D78" s="2"/>
    </row>
    <row r="79" ht="12.75" customHeight="1">
      <c r="A79" s="2"/>
      <c r="B79" s="2"/>
      <c r="C79" s="2"/>
      <c r="D79" s="2"/>
    </row>
    <row r="80" ht="12.75" customHeight="1">
      <c r="A80" s="12" t="s">
        <v>71</v>
      </c>
      <c r="B80" s="12">
        <f>B23/B76</f>
        <v>1.477405465</v>
      </c>
      <c r="C80" s="12">
        <f>B23/C76</f>
        <v>2.096114381</v>
      </c>
      <c r="D80" s="12">
        <f>B23/D76</f>
        <v>3.606408864</v>
      </c>
    </row>
    <row r="81" ht="12.75" customHeight="1">
      <c r="A81" s="12" t="s">
        <v>72</v>
      </c>
      <c r="B81" s="14">
        <f>B76/B23</f>
        <v>0.6768622589</v>
      </c>
      <c r="C81" s="14">
        <f>C76/B23</f>
        <v>0.4770732022</v>
      </c>
      <c r="D81" s="14">
        <f>D76/B23</f>
        <v>0.2772841454</v>
      </c>
    </row>
    <row r="82" ht="12.75" customHeight="1">
      <c r="A82" s="1" t="s">
        <v>73</v>
      </c>
      <c r="B82" s="4">
        <f t="shared" ref="B82:D82" si="6">B76/B72</f>
        <v>0.3738061361</v>
      </c>
      <c r="C82" s="4">
        <f t="shared" si="6"/>
        <v>0.3293374833</v>
      </c>
      <c r="D82" s="4">
        <f t="shared" si="6"/>
        <v>0.2552230621</v>
      </c>
    </row>
    <row r="83" ht="12.75" customHeight="1"/>
    <row r="84" ht="12.75" customHeight="1"/>
    <row r="85" ht="12.75" customHeight="1"/>
    <row r="86" ht="12.75" customHeight="1"/>
    <row r="87" ht="12.75" customHeight="1">
      <c r="I87" s="1" t="s">
        <v>74</v>
      </c>
    </row>
    <row r="88" ht="12.75" customHeight="1">
      <c r="B88" s="15" t="s">
        <v>75</v>
      </c>
      <c r="C88" s="15" t="s">
        <v>76</v>
      </c>
      <c r="D88" s="15" t="s">
        <v>77</v>
      </c>
      <c r="E88" s="15" t="s">
        <v>78</v>
      </c>
      <c r="F88" s="15" t="s">
        <v>79</v>
      </c>
      <c r="I88" s="1" t="s">
        <v>80</v>
      </c>
      <c r="J88" s="1" t="s">
        <v>81</v>
      </c>
      <c r="K88" s="1" t="s">
        <v>82</v>
      </c>
    </row>
    <row r="89" ht="12.75" customHeight="1">
      <c r="B89" s="10">
        <v>-31051.0</v>
      </c>
      <c r="C89" s="10">
        <f>D76</f>
        <v>8609.95</v>
      </c>
      <c r="D89" s="10">
        <f>D76</f>
        <v>8609.95</v>
      </c>
      <c r="E89" s="10">
        <f>D76</f>
        <v>8609.95</v>
      </c>
      <c r="F89" s="10">
        <f>D76</f>
        <v>8609.95</v>
      </c>
      <c r="I89" s="16">
        <f>C89</f>
        <v>8609.95</v>
      </c>
      <c r="J89" s="16">
        <f>C90</f>
        <v>8567.114428</v>
      </c>
      <c r="K89" s="16">
        <f>J89</f>
        <v>8567.114428</v>
      </c>
    </row>
    <row r="90" ht="12.75" customHeight="1">
      <c r="B90" s="2" t="s">
        <v>83</v>
      </c>
      <c r="C90" s="2">
        <f>C89/(1+0.005)^1</f>
        <v>8567.114428</v>
      </c>
      <c r="D90" s="2">
        <f>D89/(1+0.005)^2</f>
        <v>8524.491968</v>
      </c>
      <c r="E90" s="2">
        <f>E89/(1+0.005)^3</f>
        <v>8482.08156</v>
      </c>
      <c r="F90" s="2">
        <f>F89/(1+0.005)^4</f>
        <v>8439.882149</v>
      </c>
      <c r="G90" s="16"/>
      <c r="H90" s="16"/>
      <c r="I90" s="16">
        <f>D89</f>
        <v>8609.95</v>
      </c>
      <c r="J90" s="16">
        <f>D90</f>
        <v>8524.491968</v>
      </c>
      <c r="K90" s="16">
        <f t="shared" ref="K90:K92" si="7">K89+J90</f>
        <v>17091.6064</v>
      </c>
    </row>
    <row r="91" ht="12.75" customHeight="1">
      <c r="I91" s="16">
        <f>E89</f>
        <v>8609.95</v>
      </c>
      <c r="J91" s="16">
        <f>E90</f>
        <v>8482.08156</v>
      </c>
      <c r="K91" s="16">
        <f t="shared" si="7"/>
        <v>25573.68796</v>
      </c>
      <c r="L91" s="16">
        <f>31051-K91</f>
        <v>5477.312044</v>
      </c>
      <c r="M91" s="1">
        <f>3+L91/J92</f>
        <v>3.648979683</v>
      </c>
    </row>
    <row r="92" ht="12.75" customHeight="1">
      <c r="A92" s="17" t="s">
        <v>84</v>
      </c>
      <c r="B92" s="16">
        <f t="array" ref="B92">NPV(0.005,C89:F89)+B89</f>
        <v>2962.570106</v>
      </c>
      <c r="C92" s="18" t="s">
        <v>85</v>
      </c>
      <c r="I92" s="16">
        <f>F89</f>
        <v>8609.95</v>
      </c>
      <c r="J92" s="16">
        <f>F90</f>
        <v>8439.882149</v>
      </c>
      <c r="K92" s="16">
        <f t="shared" si="7"/>
        <v>34013.57011</v>
      </c>
    </row>
    <row r="93" ht="12.75" customHeight="1">
      <c r="A93" s="17" t="s">
        <v>86</v>
      </c>
      <c r="B93" s="4">
        <f>IRR(B89:F89)</f>
        <v>0.04275987916</v>
      </c>
    </row>
    <row r="94" ht="12.75" customHeight="1">
      <c r="A94" s="17"/>
      <c r="B94" s="19" t="s">
        <v>80</v>
      </c>
      <c r="C94" s="20" t="s">
        <v>81</v>
      </c>
    </row>
    <row r="95" ht="12.75" customHeight="1">
      <c r="A95" s="17" t="s">
        <v>87</v>
      </c>
      <c r="B95" s="1">
        <f>(C89+D89+E89+F89)/31051</f>
        <v>1.109136582</v>
      </c>
      <c r="C95" s="1">
        <f>(C90+D90+E90+F90)/31051</f>
        <v>1.095409813</v>
      </c>
    </row>
    <row r="96" ht="12.75" customHeight="1">
      <c r="A96" s="17" t="s">
        <v>88</v>
      </c>
      <c r="B96" s="1">
        <f>3+((31051-C89-D89-E89)/F89)</f>
        <v>3.606408864</v>
      </c>
      <c r="C96" s="1">
        <f>3+((31051-C90-D90-E90)/F90)</f>
        <v>3.648979683</v>
      </c>
    </row>
    <row r="97" ht="12.75" customHeight="1">
      <c r="B97" s="21" t="s">
        <v>89</v>
      </c>
      <c r="C97" s="21" t="s">
        <v>90</v>
      </c>
    </row>
    <row r="98" ht="12.75" customHeight="1"/>
    <row r="99" ht="12.75" customHeight="1">
      <c r="B99" s="1" t="str">
        <f>CONCAT("VPL mostra que é viável. tem retorno do capital investido e há uma sobra de R$ ", B92)</f>
        <v>VPL mostra que é viável. tem retorno do capital investido e há uma sobra de R$ 2962,57010557291</v>
      </c>
    </row>
    <row r="100" ht="12.75" customHeight="1">
      <c r="B100" s="1" t="str">
        <f>CONCAT("A TIR também mostra que é viável. Tem uma taxa de ",B93*100," % maior que a taxa mínima de atratividade de 0,5% ao mês.")</f>
        <v>#N/A</v>
      </c>
    </row>
    <row r="101" ht="12.75" customHeight="1">
      <c r="B101" s="1" t="str">
        <f>CONCAT("O IBC mostra ser viável. Para cada R$ 1,00 investido, existe um retorno de R$ ",B95, " e para valores descontados , será de R$ ",C95)</f>
        <v>#N/A</v>
      </c>
    </row>
    <row r="102" ht="12.75" customHeight="1">
      <c r="B102" s="1" t="str">
        <f>CONCAT("PB mostra que o retorno será em ",B97, " e para o descontado, ",C97)</f>
        <v>#N/A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>
      <c r="A109" s="1" t="s">
        <v>91</v>
      </c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590277777777778" footer="0.0" header="0.0" left="0.7875" right="0.7875" top="0.59027777777777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16.13"/>
    <col customWidth="1" min="3" max="3" width="13.5"/>
    <col customWidth="1" min="4" max="4" width="13.0"/>
    <col customWidth="1" min="5" max="6" width="11.63"/>
    <col customWidth="1" min="7" max="13" width="11.5"/>
    <col customWidth="1" min="14" max="14" width="12.5"/>
    <col customWidth="1" min="15" max="15" width="13.5"/>
    <col customWidth="1" min="16" max="16" width="11.5"/>
    <col customWidth="1" min="17" max="26" width="8.63"/>
  </cols>
  <sheetData>
    <row r="1" ht="12.75" customHeight="1"/>
    <row r="2" ht="12.75" customHeight="1">
      <c r="A2" s="1" t="s">
        <v>0</v>
      </c>
    </row>
    <row r="3" ht="12.75" customHeight="1"/>
    <row r="4" ht="12.75" customHeight="1">
      <c r="A4" s="2" t="s">
        <v>1</v>
      </c>
      <c r="B4" s="2"/>
    </row>
    <row r="5" ht="12.75" customHeight="1">
      <c r="A5" s="2" t="s">
        <v>92</v>
      </c>
      <c r="B5" s="2">
        <v>1000.0</v>
      </c>
    </row>
    <row r="6" ht="12.75" customHeight="1">
      <c r="A6" s="2" t="s">
        <v>93</v>
      </c>
      <c r="B6" s="3">
        <v>0.5</v>
      </c>
    </row>
    <row r="7" ht="12.75" customHeight="1">
      <c r="A7" s="2" t="s">
        <v>4</v>
      </c>
      <c r="B7" s="2">
        <f>B5*B6</f>
        <v>500</v>
      </c>
    </row>
    <row r="8" ht="12.75" customHeight="1">
      <c r="B8" s="4"/>
    </row>
    <row r="9" ht="12.75" customHeight="1"/>
    <row r="10" ht="12.75" customHeight="1">
      <c r="A10" s="2" t="s">
        <v>9</v>
      </c>
      <c r="B10" s="2"/>
    </row>
    <row r="11" ht="12.75" customHeight="1">
      <c r="A11" s="2"/>
      <c r="B11" s="2"/>
    </row>
    <row r="12" ht="12.75" customHeight="1">
      <c r="A12" s="5" t="s">
        <v>10</v>
      </c>
      <c r="B12" s="5" t="s">
        <v>11</v>
      </c>
    </row>
    <row r="13" ht="12.75" customHeight="1">
      <c r="A13" s="2" t="s">
        <v>94</v>
      </c>
      <c r="B13" s="6">
        <v>4000.0</v>
      </c>
    </row>
    <row r="14" ht="12.75" customHeight="1">
      <c r="A14" s="2" t="s">
        <v>95</v>
      </c>
      <c r="B14" s="6">
        <v>13000.0</v>
      </c>
    </row>
    <row r="15" ht="12.75" customHeight="1">
      <c r="A15" s="2" t="s">
        <v>96</v>
      </c>
      <c r="B15" s="6">
        <v>2500.0</v>
      </c>
    </row>
    <row r="16" ht="12.75" customHeight="1">
      <c r="A16" s="2" t="s">
        <v>97</v>
      </c>
      <c r="B16" s="6">
        <v>10000.0</v>
      </c>
    </row>
    <row r="17" ht="12.75" customHeight="1">
      <c r="A17" s="5" t="s">
        <v>16</v>
      </c>
      <c r="B17" s="7">
        <f>SUM(B13:B16)</f>
        <v>29500</v>
      </c>
    </row>
    <row r="18" ht="12.75" customHeight="1">
      <c r="A18" s="2" t="s">
        <v>17</v>
      </c>
      <c r="B18" s="6">
        <f>B17*0.1</f>
        <v>2950</v>
      </c>
    </row>
    <row r="19" ht="12.75" customHeight="1">
      <c r="A19" s="2" t="s">
        <v>18</v>
      </c>
      <c r="B19" s="6">
        <v>5000.0</v>
      </c>
    </row>
    <row r="20" ht="12.75" customHeight="1">
      <c r="A20" s="2" t="s">
        <v>19</v>
      </c>
      <c r="B20" s="6">
        <f>B48</f>
        <v>11301</v>
      </c>
    </row>
    <row r="21" ht="12.75" customHeight="1">
      <c r="A21" s="5" t="s">
        <v>20</v>
      </c>
      <c r="B21" s="7">
        <f>SUM(B17:B20)</f>
        <v>48751</v>
      </c>
    </row>
    <row r="22" ht="12.75" customHeight="1"/>
    <row r="23" ht="12.75" customHeight="1"/>
    <row r="24" ht="12.75" customHeight="1">
      <c r="A24" s="2" t="s">
        <v>21</v>
      </c>
      <c r="B24" s="2"/>
      <c r="C24" s="2"/>
      <c r="D24" s="2"/>
      <c r="E24" s="2"/>
      <c r="F24" s="2"/>
    </row>
    <row r="25" ht="12.75" customHeight="1">
      <c r="A25" s="2"/>
      <c r="B25" s="2"/>
      <c r="C25" s="2"/>
      <c r="D25" s="2"/>
      <c r="E25" s="2"/>
      <c r="F25" s="2"/>
    </row>
    <row r="26" ht="12.75" customHeight="1">
      <c r="A26" s="8" t="s">
        <v>98</v>
      </c>
      <c r="B26" s="8" t="s">
        <v>23</v>
      </c>
      <c r="C26" s="8" t="s">
        <v>24</v>
      </c>
      <c r="D26" s="8" t="s">
        <v>99</v>
      </c>
      <c r="E26" s="22" t="s">
        <v>100</v>
      </c>
      <c r="F26" s="8"/>
    </row>
    <row r="27" ht="12.75" customHeight="1">
      <c r="A27" s="2" t="s">
        <v>101</v>
      </c>
      <c r="B27" s="2" t="s">
        <v>102</v>
      </c>
      <c r="C27" s="6">
        <v>7.09</v>
      </c>
      <c r="D27" s="2">
        <v>2.0</v>
      </c>
      <c r="E27" s="6">
        <f t="shared" ref="E27:E29" si="1">C27*D27</f>
        <v>14.18</v>
      </c>
      <c r="F27" s="2"/>
    </row>
    <row r="28" ht="12.75" customHeight="1">
      <c r="A28" s="2" t="s">
        <v>103</v>
      </c>
      <c r="B28" s="2" t="s">
        <v>104</v>
      </c>
      <c r="C28" s="6">
        <v>2.0</v>
      </c>
      <c r="D28" s="2">
        <v>2.0</v>
      </c>
      <c r="E28" s="6">
        <f t="shared" si="1"/>
        <v>4</v>
      </c>
      <c r="F28" s="2"/>
    </row>
    <row r="29" ht="12.75" customHeight="1">
      <c r="A29" s="2" t="s">
        <v>105</v>
      </c>
      <c r="B29" s="2" t="s">
        <v>106</v>
      </c>
      <c r="C29" s="6">
        <v>100.0</v>
      </c>
      <c r="D29" s="2">
        <v>2.0</v>
      </c>
      <c r="E29" s="6">
        <f t="shared" si="1"/>
        <v>200</v>
      </c>
      <c r="F29" s="2"/>
    </row>
    <row r="30" ht="12.75" customHeight="1">
      <c r="A30" s="8"/>
      <c r="B30" s="8"/>
      <c r="C30" s="8"/>
      <c r="D30" s="8"/>
      <c r="E30" s="9">
        <f>SUM(E27:E29)</f>
        <v>218.18</v>
      </c>
      <c r="F30" s="9"/>
    </row>
    <row r="31" ht="12.75" customHeight="1"/>
    <row r="32" ht="12.75" customHeight="1">
      <c r="A32" s="2" t="s">
        <v>34</v>
      </c>
      <c r="B32" s="2"/>
      <c r="C32" s="2"/>
      <c r="D32" s="2"/>
      <c r="E32" s="2"/>
    </row>
    <row r="33" ht="12.75" customHeight="1">
      <c r="A33" s="2"/>
      <c r="B33" s="2"/>
      <c r="C33" s="2"/>
      <c r="D33" s="2"/>
      <c r="E33" s="2"/>
    </row>
    <row r="34" ht="12.75" customHeight="1">
      <c r="A34" s="8" t="s">
        <v>35</v>
      </c>
      <c r="B34" s="8" t="s">
        <v>36</v>
      </c>
      <c r="C34" s="8" t="s">
        <v>37</v>
      </c>
      <c r="D34" s="8" t="s">
        <v>38</v>
      </c>
      <c r="E34" s="8" t="s">
        <v>39</v>
      </c>
    </row>
    <row r="35" ht="12.75" customHeight="1">
      <c r="A35" s="2" t="s">
        <v>107</v>
      </c>
      <c r="B35" s="10">
        <v>250.0</v>
      </c>
      <c r="C35" s="6">
        <v>290.0</v>
      </c>
      <c r="D35" s="6">
        <v>340.0</v>
      </c>
      <c r="E35" s="10">
        <f>(B35+C35+D35)/3</f>
        <v>293.3333333</v>
      </c>
    </row>
    <row r="36" ht="12.75" customHeight="1"/>
    <row r="37" ht="12.75" customHeight="1"/>
    <row r="38" ht="12.75" customHeight="1">
      <c r="A38" s="2" t="s">
        <v>41</v>
      </c>
      <c r="B38" s="2"/>
    </row>
    <row r="39" ht="12.75" customHeight="1">
      <c r="A39" s="8" t="s">
        <v>10</v>
      </c>
      <c r="B39" s="8" t="s">
        <v>11</v>
      </c>
    </row>
    <row r="40" ht="12.75" customHeight="1">
      <c r="A40" s="2" t="s">
        <v>42</v>
      </c>
      <c r="B40" s="6">
        <v>1500.0</v>
      </c>
    </row>
    <row r="41" ht="12.75" customHeight="1">
      <c r="A41" s="2" t="s">
        <v>43</v>
      </c>
      <c r="B41" s="6">
        <v>500.0</v>
      </c>
    </row>
    <row r="42" ht="12.75" customHeight="1">
      <c r="A42" s="2" t="s">
        <v>44</v>
      </c>
      <c r="B42" s="6">
        <v>350.0</v>
      </c>
    </row>
    <row r="43" ht="12.75" customHeight="1">
      <c r="A43" s="2" t="s">
        <v>45</v>
      </c>
      <c r="B43" s="6">
        <v>500.0</v>
      </c>
    </row>
    <row r="44" ht="12.75" customHeight="1">
      <c r="A44" s="2" t="s">
        <v>46</v>
      </c>
      <c r="B44" s="6">
        <v>1000.0</v>
      </c>
    </row>
    <row r="45" ht="12.75" customHeight="1">
      <c r="A45" s="2" t="s">
        <v>47</v>
      </c>
      <c r="B45" s="6">
        <v>3600.0</v>
      </c>
    </row>
    <row r="46" ht="12.75" customHeight="1">
      <c r="A46" s="2" t="s">
        <v>48</v>
      </c>
      <c r="B46" s="6">
        <v>1851.0</v>
      </c>
    </row>
    <row r="47" ht="12.75" customHeight="1">
      <c r="A47" s="2" t="s">
        <v>49</v>
      </c>
      <c r="B47" s="6">
        <v>2000.0</v>
      </c>
    </row>
    <row r="48" ht="12.75" customHeight="1">
      <c r="A48" s="8" t="s">
        <v>20</v>
      </c>
      <c r="B48" s="11">
        <f>SUM(B40:B47)</f>
        <v>11301</v>
      </c>
    </row>
    <row r="49" ht="12.75" customHeight="1"/>
    <row r="50" ht="12.75" customHeight="1"/>
    <row r="51" ht="12.75" customHeight="1">
      <c r="A51" s="2" t="s">
        <v>50</v>
      </c>
      <c r="B51" s="2"/>
    </row>
    <row r="52" ht="12.75" customHeight="1">
      <c r="A52" s="8" t="s">
        <v>10</v>
      </c>
      <c r="B52" s="8" t="s">
        <v>11</v>
      </c>
    </row>
    <row r="53" ht="12.75" customHeight="1">
      <c r="A53" s="2" t="s">
        <v>51</v>
      </c>
      <c r="B53" s="6">
        <f>E30</f>
        <v>218.18</v>
      </c>
    </row>
    <row r="54" ht="12.75" customHeight="1">
      <c r="A54" s="2" t="s">
        <v>108</v>
      </c>
      <c r="B54" s="6">
        <f>E35*0.02</f>
        <v>5.866666667</v>
      </c>
    </row>
    <row r="55" ht="12.75" customHeight="1">
      <c r="A55" s="8" t="s">
        <v>20</v>
      </c>
      <c r="B55" s="11">
        <f>SUM(B53:B54)</f>
        <v>224.0466667</v>
      </c>
    </row>
    <row r="56" ht="12.75" customHeight="1"/>
    <row r="57" ht="12.75" customHeight="1"/>
    <row r="58" ht="12.75" customHeight="1">
      <c r="A58" s="12" t="s">
        <v>55</v>
      </c>
      <c r="B58" s="2"/>
      <c r="C58" s="2"/>
    </row>
    <row r="59" ht="12.75" customHeight="1">
      <c r="A59" s="2" t="s">
        <v>56</v>
      </c>
      <c r="B59" s="6">
        <f>E35</f>
        <v>293.3333333</v>
      </c>
      <c r="C59" s="2"/>
    </row>
    <row r="60" ht="12.75" customHeight="1">
      <c r="A60" s="2" t="s">
        <v>57</v>
      </c>
      <c r="B60" s="6">
        <f>B55</f>
        <v>224.0466667</v>
      </c>
      <c r="C60" s="2"/>
    </row>
    <row r="61" ht="12.75" customHeight="1">
      <c r="A61" s="2" t="s">
        <v>58</v>
      </c>
      <c r="B61" s="6">
        <f>B59-B60</f>
        <v>69.28666667</v>
      </c>
      <c r="C61" s="2"/>
    </row>
    <row r="62" ht="12.75" customHeight="1">
      <c r="A62" s="2" t="s">
        <v>59</v>
      </c>
      <c r="B62" s="6">
        <f>B48</f>
        <v>11301</v>
      </c>
      <c r="C62" s="2"/>
    </row>
    <row r="63" ht="12.75" customHeight="1">
      <c r="A63" s="2" t="s">
        <v>60</v>
      </c>
      <c r="B63" s="2">
        <f>B62/B61</f>
        <v>163.1049745</v>
      </c>
      <c r="C63" s="2" t="s">
        <v>109</v>
      </c>
    </row>
    <row r="64" ht="12.75" customHeight="1">
      <c r="A64" s="2" t="s">
        <v>61</v>
      </c>
      <c r="B64" s="6">
        <f>B63*B59</f>
        <v>47844.12585</v>
      </c>
      <c r="C64" s="2"/>
    </row>
    <row r="65" ht="12.75" customHeight="1"/>
    <row r="66" ht="12.75" customHeight="1"/>
    <row r="67" ht="12.75" customHeight="1">
      <c r="A67" s="12" t="s">
        <v>62</v>
      </c>
      <c r="B67" s="12" t="s">
        <v>63</v>
      </c>
      <c r="C67" s="12" t="s">
        <v>64</v>
      </c>
      <c r="D67" s="12" t="s">
        <v>65</v>
      </c>
    </row>
    <row r="68" ht="12.75" customHeight="1">
      <c r="A68" s="2" t="s">
        <v>110</v>
      </c>
      <c r="B68" s="6">
        <f>B7*B59</f>
        <v>146666.6667</v>
      </c>
      <c r="C68" s="10">
        <f t="shared" ref="C68:C69" si="2">B68-(B68*0.2)</f>
        <v>117333.3333</v>
      </c>
      <c r="D68" s="10">
        <f t="shared" ref="D68:D69" si="3">B68-(B68*0.4)</f>
        <v>88000</v>
      </c>
    </row>
    <row r="69" ht="12.75" customHeight="1">
      <c r="A69" s="2" t="s">
        <v>67</v>
      </c>
      <c r="B69" s="6">
        <f>B60*B7</f>
        <v>112023.3333</v>
      </c>
      <c r="C69" s="10">
        <f t="shared" si="2"/>
        <v>89618.66667</v>
      </c>
      <c r="D69" s="10">
        <f t="shared" si="3"/>
        <v>67214</v>
      </c>
    </row>
    <row r="70" ht="12.75" customHeight="1">
      <c r="A70" s="2" t="s">
        <v>68</v>
      </c>
      <c r="B70" s="6">
        <f t="shared" ref="B70:D70" si="4">B68-B69</f>
        <v>34643.33333</v>
      </c>
      <c r="C70" s="10">
        <f t="shared" si="4"/>
        <v>27714.66667</v>
      </c>
      <c r="D70" s="10">
        <f t="shared" si="4"/>
        <v>20786</v>
      </c>
    </row>
    <row r="71" ht="12.75" customHeight="1">
      <c r="A71" s="2" t="s">
        <v>69</v>
      </c>
      <c r="B71" s="6">
        <f>B62</f>
        <v>11301</v>
      </c>
      <c r="C71" s="10">
        <f>B71</f>
        <v>11301</v>
      </c>
      <c r="D71" s="10">
        <f>B71</f>
        <v>11301</v>
      </c>
    </row>
    <row r="72" ht="12.75" customHeight="1">
      <c r="A72" s="13" t="s">
        <v>70</v>
      </c>
      <c r="B72" s="6">
        <f t="shared" ref="B72:D72" si="5">B70-B71</f>
        <v>23342.33333</v>
      </c>
      <c r="C72" s="10">
        <f t="shared" si="5"/>
        <v>16413.66667</v>
      </c>
      <c r="D72" s="10">
        <f t="shared" si="5"/>
        <v>9485</v>
      </c>
    </row>
    <row r="73" ht="12.75" customHeight="1">
      <c r="A73" s="2"/>
      <c r="B73" s="2"/>
      <c r="C73" s="2"/>
      <c r="D73" s="2"/>
    </row>
    <row r="74" ht="12.75" customHeight="1">
      <c r="A74" s="2"/>
      <c r="B74" s="2"/>
      <c r="C74" s="2"/>
      <c r="D74" s="2"/>
    </row>
    <row r="75" ht="12.75" customHeight="1">
      <c r="A75" s="2"/>
      <c r="B75" s="2"/>
      <c r="C75" s="2"/>
      <c r="D75" s="2"/>
    </row>
    <row r="76" ht="12.75" customHeight="1">
      <c r="A76" s="12" t="s">
        <v>71</v>
      </c>
      <c r="B76" s="12">
        <f>B21/B72</f>
        <v>2.088522998</v>
      </c>
      <c r="C76" s="12">
        <f>B21/C72</f>
        <v>2.970146829</v>
      </c>
      <c r="D76" s="12">
        <f>B21/D72</f>
        <v>5.139799684</v>
      </c>
    </row>
    <row r="77" ht="12.75" customHeight="1">
      <c r="A77" s="12" t="s">
        <v>72</v>
      </c>
      <c r="B77" s="14">
        <f>B72/B21</f>
        <v>0.4788072723</v>
      </c>
      <c r="C77" s="14">
        <f>C72/B21</f>
        <v>0.336683692</v>
      </c>
      <c r="D77" s="14">
        <f>D72/B21</f>
        <v>0.1945601116</v>
      </c>
    </row>
    <row r="78" ht="12.75" customHeight="1">
      <c r="A78" s="23" t="s">
        <v>73</v>
      </c>
      <c r="B78" s="24">
        <f t="shared" ref="B78:D78" si="6">B72/B68</f>
        <v>0.1591522727</v>
      </c>
      <c r="C78" s="24">
        <f t="shared" si="6"/>
        <v>0.1398892045</v>
      </c>
      <c r="D78" s="24">
        <f t="shared" si="6"/>
        <v>0.1077840909</v>
      </c>
    </row>
    <row r="79" ht="12.75" customHeight="1"/>
    <row r="80" ht="12.75" customHeight="1"/>
    <row r="81" ht="12.75" customHeight="1"/>
    <row r="82" ht="12.75" customHeight="1">
      <c r="B82" s="25" t="s">
        <v>111</v>
      </c>
      <c r="C82" s="26">
        <v>0.005</v>
      </c>
    </row>
    <row r="83" ht="12.75" customHeight="1"/>
    <row r="84" ht="12.75" customHeight="1">
      <c r="B84" s="15" t="s">
        <v>75</v>
      </c>
      <c r="C84" s="15" t="s">
        <v>76</v>
      </c>
      <c r="D84" s="15" t="s">
        <v>77</v>
      </c>
      <c r="E84" s="15" t="s">
        <v>78</v>
      </c>
      <c r="F84" s="15" t="s">
        <v>79</v>
      </c>
      <c r="G84" s="1" t="s">
        <v>112</v>
      </c>
      <c r="H84" s="1" t="s">
        <v>113</v>
      </c>
      <c r="I84" s="1" t="s">
        <v>114</v>
      </c>
      <c r="J84" s="1" t="s">
        <v>115</v>
      </c>
      <c r="K84" s="1" t="s">
        <v>116</v>
      </c>
      <c r="L84" s="1" t="s">
        <v>117</v>
      </c>
      <c r="M84" s="1" t="s">
        <v>118</v>
      </c>
      <c r="N84" s="1" t="s">
        <v>119</v>
      </c>
      <c r="O84" s="1" t="s">
        <v>20</v>
      </c>
    </row>
    <row r="85" ht="12.75" customHeight="1">
      <c r="B85" s="10">
        <f>-B21</f>
        <v>-48751</v>
      </c>
      <c r="C85" s="10">
        <f t="shared" ref="C85:N85" si="7">$D72</f>
        <v>9485</v>
      </c>
      <c r="D85" s="10">
        <f t="shared" si="7"/>
        <v>9485</v>
      </c>
      <c r="E85" s="10">
        <f t="shared" si="7"/>
        <v>9485</v>
      </c>
      <c r="F85" s="10">
        <f t="shared" si="7"/>
        <v>9485</v>
      </c>
      <c r="G85" s="10">
        <f t="shared" si="7"/>
        <v>9485</v>
      </c>
      <c r="H85" s="10">
        <f t="shared" si="7"/>
        <v>9485</v>
      </c>
      <c r="I85" s="10">
        <f t="shared" si="7"/>
        <v>9485</v>
      </c>
      <c r="J85" s="10">
        <f t="shared" si="7"/>
        <v>9485</v>
      </c>
      <c r="K85" s="10">
        <f t="shared" si="7"/>
        <v>9485</v>
      </c>
      <c r="L85" s="10">
        <f t="shared" si="7"/>
        <v>9485</v>
      </c>
      <c r="M85" s="10">
        <f t="shared" si="7"/>
        <v>9485</v>
      </c>
      <c r="N85" s="10">
        <f t="shared" si="7"/>
        <v>9485</v>
      </c>
      <c r="O85" s="16">
        <f t="shared" ref="O85:O86" si="8">SUM(C85:N85)</f>
        <v>113820</v>
      </c>
    </row>
    <row r="86" ht="12.75" customHeight="1">
      <c r="B86" s="2" t="s">
        <v>83</v>
      </c>
      <c r="C86" s="10">
        <f>C85/(1+0.005)^1</f>
        <v>9437.810945</v>
      </c>
      <c r="D86" s="10">
        <f>D85/(1+0.005)^2</f>
        <v>9390.856662</v>
      </c>
      <c r="E86" s="10">
        <f>E85/(1+0.005)^3</f>
        <v>9344.135982</v>
      </c>
      <c r="F86" s="10">
        <f>F85/(1+0.005)^4</f>
        <v>9297.647743</v>
      </c>
      <c r="G86" s="10">
        <f>G85/(1+0.005)^5</f>
        <v>9251.390789</v>
      </c>
      <c r="H86" s="10">
        <f>H85/(1+0.005)^6</f>
        <v>9205.36397</v>
      </c>
      <c r="I86" s="10">
        <f>I85/(1+0.005)^7</f>
        <v>9159.566139</v>
      </c>
      <c r="J86" s="10">
        <f>J85/(1+0.005)^8</f>
        <v>9113.996158</v>
      </c>
      <c r="K86" s="10">
        <f>K85/(1+0.005)^9</f>
        <v>9068.652894</v>
      </c>
      <c r="L86" s="10">
        <f>L85/(1+0.005)^10</f>
        <v>9023.535218</v>
      </c>
      <c r="M86" s="10">
        <f>M85/(1+0.005)^11</f>
        <v>8978.642007</v>
      </c>
      <c r="N86" s="10">
        <f>N85/(1+0.005)^12</f>
        <v>8933.972147</v>
      </c>
      <c r="O86" s="16">
        <f t="shared" si="8"/>
        <v>110205.5707</v>
      </c>
    </row>
    <row r="87" ht="12.75" customHeight="1"/>
    <row r="88" ht="12.75" customHeight="1">
      <c r="A88" s="17" t="s">
        <v>84</v>
      </c>
      <c r="B88" s="16">
        <f t="array" ref="B88">NPV(C82,C85:N85)+B85</f>
        <v>61454.57065</v>
      </c>
      <c r="C88" s="18" t="s">
        <v>85</v>
      </c>
    </row>
    <row r="89" ht="12.75" customHeight="1">
      <c r="A89" s="17" t="s">
        <v>86</v>
      </c>
      <c r="B89" s="4">
        <f>IRR(B85:N85)</f>
        <v>0.1626787363</v>
      </c>
      <c r="L89" s="1" t="s">
        <v>74</v>
      </c>
    </row>
    <row r="90" ht="12.75" customHeight="1">
      <c r="A90" s="17"/>
      <c r="B90" s="19" t="s">
        <v>80</v>
      </c>
      <c r="C90" s="20" t="s">
        <v>81</v>
      </c>
      <c r="L90" s="1" t="s">
        <v>80</v>
      </c>
      <c r="M90" s="1" t="s">
        <v>81</v>
      </c>
      <c r="N90" s="1" t="s">
        <v>82</v>
      </c>
    </row>
    <row r="91" ht="12.75" customHeight="1">
      <c r="A91" s="17" t="s">
        <v>87</v>
      </c>
      <c r="B91" s="16">
        <f>O85/ABS(B85)</f>
        <v>2.334721339</v>
      </c>
      <c r="C91" s="16">
        <f>O86/ABS(B85)</f>
        <v>2.260580719</v>
      </c>
      <c r="L91" s="16">
        <f>C85</f>
        <v>9485</v>
      </c>
      <c r="M91" s="16">
        <f>C86</f>
        <v>9437.810945</v>
      </c>
      <c r="N91" s="16">
        <f>M91</f>
        <v>9437.810945</v>
      </c>
    </row>
    <row r="92" ht="12.75" customHeight="1">
      <c r="A92" s="17" t="s">
        <v>88</v>
      </c>
      <c r="B92" s="1">
        <f>5+((-B85-C85-D85-E85-F85-G85)/H85)</f>
        <v>5.139799684</v>
      </c>
      <c r="C92" s="1">
        <f>5+((-B85-N95)/M96)</f>
        <v>5.220432118</v>
      </c>
      <c r="L92" s="16">
        <f>D85</f>
        <v>9485</v>
      </c>
      <c r="M92" s="16">
        <f>D86</f>
        <v>9390.856662</v>
      </c>
      <c r="N92" s="16">
        <f t="shared" ref="N92:N102" si="9">N91+M92</f>
        <v>18828.66761</v>
      </c>
    </row>
    <row r="93" ht="12.75" customHeight="1">
      <c r="B93" s="21" t="s">
        <v>120</v>
      </c>
      <c r="C93" s="21" t="s">
        <v>121</v>
      </c>
      <c r="L93" s="16">
        <f>E85</f>
        <v>9485</v>
      </c>
      <c r="M93" s="16">
        <f>E86</f>
        <v>9344.135982</v>
      </c>
      <c r="N93" s="16">
        <f t="shared" si="9"/>
        <v>28172.80359</v>
      </c>
      <c r="O93" s="16"/>
    </row>
    <row r="94" ht="12.75" customHeight="1">
      <c r="L94" s="16">
        <f>F85</f>
        <v>9485</v>
      </c>
      <c r="M94" s="16">
        <f>F86</f>
        <v>9297.647743</v>
      </c>
      <c r="N94" s="16">
        <f t="shared" si="9"/>
        <v>37470.45133</v>
      </c>
    </row>
    <row r="95" ht="12.75" customHeight="1">
      <c r="B95" s="1" t="str">
        <f>CONCAT("VPL mostra que é viável. tem retorno do capital investido e há uma sobra de R$ ", B88)</f>
        <v>VPL mostra que é viável. tem retorno do capital investido e há uma sobra de R$ 61454,5706537537</v>
      </c>
      <c r="I95" s="16"/>
      <c r="L95" s="16">
        <f>G85</f>
        <v>9485</v>
      </c>
      <c r="M95" s="16">
        <f>G86</f>
        <v>9251.390789</v>
      </c>
      <c r="N95" s="16">
        <f t="shared" si="9"/>
        <v>46721.84212</v>
      </c>
      <c r="O95" s="16">
        <f>-B85-N95</f>
        <v>2029.157878</v>
      </c>
      <c r="P95" s="1">
        <f>O95/M96</f>
        <v>0.2204321181</v>
      </c>
    </row>
    <row r="96" ht="12.75" customHeight="1">
      <c r="B96" s="1" t="str">
        <f>CONCAT("A TIR também mostra que é viável. Tem uma taxa de ",B89*100," % maior que a taxa mínima de atratividade de 0,5% ao mês.")</f>
        <v>#N/A</v>
      </c>
      <c r="I96" s="16"/>
      <c r="L96" s="16">
        <f>H85</f>
        <v>9485</v>
      </c>
      <c r="M96" s="16">
        <f>H86</f>
        <v>9205.36397</v>
      </c>
      <c r="N96" s="16">
        <f t="shared" si="9"/>
        <v>55927.20609</v>
      </c>
    </row>
    <row r="97" ht="12.75" customHeight="1">
      <c r="B97" s="1" t="str">
        <f>CONCAT("O IBC mostra ser viável. Para cada R$ 1,00 investido, existe um retorno de R$ ",B91, " e para valores descontados , será de R$ ",C91)</f>
        <v>#N/A</v>
      </c>
      <c r="I97" s="16"/>
      <c r="L97" s="16">
        <f>I85</f>
        <v>9485</v>
      </c>
      <c r="M97" s="16">
        <f>I86</f>
        <v>9159.566139</v>
      </c>
      <c r="N97" s="16">
        <f t="shared" si="9"/>
        <v>65086.77223</v>
      </c>
    </row>
    <row r="98" ht="12.75" customHeight="1">
      <c r="B98" s="1" t="str">
        <f>CONCAT("PB mostra que o retorno será em ",B93, " e para o descontado, ",C93)</f>
        <v>#N/A</v>
      </c>
      <c r="I98" s="16"/>
      <c r="L98" s="16">
        <f>J85</f>
        <v>9485</v>
      </c>
      <c r="M98" s="16">
        <f>J86</f>
        <v>9113.996158</v>
      </c>
      <c r="N98" s="16">
        <f t="shared" si="9"/>
        <v>74200.76839</v>
      </c>
    </row>
    <row r="99" ht="12.75" customHeight="1">
      <c r="I99" s="16"/>
      <c r="L99" s="16">
        <f>K85</f>
        <v>9485</v>
      </c>
      <c r="M99" s="16">
        <f>K86</f>
        <v>9068.652894</v>
      </c>
      <c r="N99" s="16">
        <f t="shared" si="9"/>
        <v>83269.42128</v>
      </c>
    </row>
    <row r="100" ht="12.75" customHeight="1">
      <c r="L100" s="16">
        <f>L85</f>
        <v>9485</v>
      </c>
      <c r="M100" s="16">
        <f>L86</f>
        <v>9023.535218</v>
      </c>
      <c r="N100" s="16">
        <f t="shared" si="9"/>
        <v>92292.9565</v>
      </c>
    </row>
    <row r="101" ht="12.75" customHeight="1">
      <c r="L101" s="16">
        <f>M85</f>
        <v>9485</v>
      </c>
      <c r="M101" s="16">
        <f>M86</f>
        <v>8978.642007</v>
      </c>
      <c r="N101" s="16">
        <f t="shared" si="9"/>
        <v>101271.5985</v>
      </c>
    </row>
    <row r="102" ht="12.75" customHeight="1">
      <c r="L102" s="16">
        <f>N85</f>
        <v>9485</v>
      </c>
      <c r="M102" s="16">
        <f>N86</f>
        <v>8933.972147</v>
      </c>
      <c r="N102" s="16">
        <f t="shared" si="9"/>
        <v>110205.5707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590277777777778" footer="0.0" header="0.0" left="0.7875" right="0.7875" top="0.590277777777778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16.13"/>
    <col customWidth="1" min="3" max="3" width="13.5"/>
    <col customWidth="1" min="4" max="4" width="13.0"/>
    <col customWidth="1" min="5" max="6" width="11.63"/>
    <col customWidth="1" min="7" max="9" width="11.5"/>
    <col customWidth="1" min="10" max="26" width="8.63"/>
  </cols>
  <sheetData>
    <row r="1" ht="12.75" customHeight="1">
      <c r="A1" s="20" t="s">
        <v>122</v>
      </c>
    </row>
    <row r="2" ht="12.75" customHeight="1">
      <c r="A2" s="20" t="s">
        <v>123</v>
      </c>
    </row>
    <row r="3" ht="12.75" customHeight="1">
      <c r="A3" s="20" t="s">
        <v>124</v>
      </c>
    </row>
    <row r="4" ht="12.75" customHeight="1"/>
    <row r="5" ht="12.75" customHeight="1">
      <c r="A5" s="20" t="s">
        <v>125</v>
      </c>
    </row>
    <row r="6" ht="12.75" customHeight="1"/>
    <row r="7" ht="12.75" customHeight="1">
      <c r="A7" s="2" t="s">
        <v>1</v>
      </c>
      <c r="B7" s="2"/>
    </row>
    <row r="8" ht="12.75" customHeight="1">
      <c r="A8" s="2" t="s">
        <v>2</v>
      </c>
      <c r="B8" s="2"/>
    </row>
    <row r="9" ht="12.75" customHeight="1">
      <c r="A9" s="2" t="s">
        <v>3</v>
      </c>
      <c r="B9" s="3"/>
    </row>
    <row r="10" ht="12.75" customHeight="1">
      <c r="A10" s="2" t="s">
        <v>4</v>
      </c>
      <c r="B10" s="2"/>
    </row>
    <row r="11" ht="12.75" customHeight="1">
      <c r="A11" s="2" t="s">
        <v>5</v>
      </c>
      <c r="B11" s="2"/>
    </row>
    <row r="12" ht="12.75" customHeight="1">
      <c r="A12" s="2" t="s">
        <v>7</v>
      </c>
      <c r="B12" s="2"/>
    </row>
    <row r="13" ht="12.75" customHeight="1">
      <c r="B13" s="4"/>
    </row>
    <row r="14" ht="12.75" customHeight="1"/>
    <row r="15" ht="12.75" customHeight="1">
      <c r="A15" s="2" t="s">
        <v>9</v>
      </c>
      <c r="B15" s="2"/>
    </row>
    <row r="16" ht="12.75" customHeight="1">
      <c r="A16" s="2"/>
      <c r="B16" s="2"/>
    </row>
    <row r="17" ht="12.75" customHeight="1">
      <c r="A17" s="5" t="s">
        <v>10</v>
      </c>
      <c r="B17" s="5" t="s">
        <v>11</v>
      </c>
    </row>
    <row r="18" ht="12.75" customHeight="1">
      <c r="A18" s="2"/>
      <c r="B18" s="6"/>
    </row>
    <row r="19" ht="12.75" customHeight="1">
      <c r="A19" s="2"/>
      <c r="B19" s="6"/>
    </row>
    <row r="20" ht="12.75" customHeight="1">
      <c r="A20" s="2"/>
      <c r="B20" s="6"/>
    </row>
    <row r="21" ht="12.75" customHeight="1">
      <c r="A21" s="2"/>
      <c r="B21" s="6"/>
    </row>
    <row r="22" ht="12.75" customHeight="1">
      <c r="A22" s="5" t="s">
        <v>16</v>
      </c>
      <c r="B22" s="7"/>
    </row>
    <row r="23" ht="12.75" customHeight="1">
      <c r="A23" s="2" t="s">
        <v>17</v>
      </c>
      <c r="B23" s="6"/>
    </row>
    <row r="24" ht="12.75" customHeight="1">
      <c r="A24" s="2" t="s">
        <v>18</v>
      </c>
      <c r="B24" s="6"/>
    </row>
    <row r="25" ht="12.75" customHeight="1">
      <c r="A25" s="2" t="s">
        <v>19</v>
      </c>
      <c r="B25" s="6"/>
    </row>
    <row r="26" ht="12.75" customHeight="1">
      <c r="A26" s="5" t="s">
        <v>20</v>
      </c>
      <c r="B26" s="7"/>
    </row>
    <row r="27" ht="12.75" customHeight="1"/>
    <row r="28" ht="12.75" customHeight="1"/>
    <row r="29" ht="12.75" customHeight="1">
      <c r="A29" s="2" t="s">
        <v>21</v>
      </c>
      <c r="B29" s="2"/>
      <c r="C29" s="2"/>
      <c r="D29" s="2"/>
      <c r="E29" s="2"/>
      <c r="F29" s="2"/>
    </row>
    <row r="30" ht="12.75" customHeight="1">
      <c r="A30" s="2"/>
      <c r="B30" s="2"/>
      <c r="C30" s="2"/>
      <c r="D30" s="2"/>
      <c r="E30" s="2"/>
      <c r="F30" s="2"/>
    </row>
    <row r="31" ht="12.75" customHeight="1">
      <c r="A31" s="8" t="s">
        <v>126</v>
      </c>
      <c r="B31" s="8" t="s">
        <v>23</v>
      </c>
      <c r="C31" s="8" t="s">
        <v>24</v>
      </c>
      <c r="D31" s="8" t="s">
        <v>25</v>
      </c>
      <c r="E31" s="8" t="s">
        <v>26</v>
      </c>
      <c r="F31" s="8" t="s">
        <v>27</v>
      </c>
    </row>
    <row r="32" ht="12.75" customHeight="1">
      <c r="A32" s="2"/>
      <c r="B32" s="2"/>
      <c r="C32" s="6"/>
      <c r="D32" s="2"/>
      <c r="E32" s="6"/>
      <c r="F32" s="2"/>
    </row>
    <row r="33" ht="12.75" customHeight="1">
      <c r="A33" s="2"/>
      <c r="B33" s="2"/>
      <c r="C33" s="6"/>
      <c r="D33" s="2"/>
      <c r="E33" s="6"/>
      <c r="F33" s="2"/>
    </row>
    <row r="34" ht="12.75" customHeight="1">
      <c r="A34" s="2"/>
      <c r="B34" s="2"/>
      <c r="C34" s="6"/>
      <c r="D34" s="2"/>
      <c r="E34" s="6"/>
      <c r="F34" s="2"/>
    </row>
    <row r="35" ht="12.75" customHeight="1">
      <c r="A35" s="2"/>
      <c r="B35" s="2"/>
      <c r="C35" s="6"/>
      <c r="D35" s="2"/>
      <c r="E35" s="6"/>
      <c r="F35" s="2"/>
    </row>
    <row r="36" ht="12.75" customHeight="1">
      <c r="A36" s="8" t="s">
        <v>20</v>
      </c>
      <c r="B36" s="8"/>
      <c r="C36" s="8"/>
      <c r="D36" s="8"/>
      <c r="E36" s="8"/>
      <c r="F36" s="8"/>
    </row>
    <row r="37" ht="12.75" customHeight="1"/>
    <row r="38" ht="12.75" customHeight="1">
      <c r="A38" s="2" t="s">
        <v>34</v>
      </c>
      <c r="B38" s="2"/>
      <c r="C38" s="2"/>
      <c r="D38" s="2"/>
      <c r="E38" s="2"/>
    </row>
    <row r="39" ht="12.75" customHeight="1">
      <c r="A39" s="2"/>
      <c r="B39" s="2"/>
      <c r="C39" s="2"/>
      <c r="D39" s="2"/>
      <c r="E39" s="2"/>
    </row>
    <row r="40" ht="12.75" customHeight="1">
      <c r="A40" s="8" t="s">
        <v>35</v>
      </c>
      <c r="B40" s="8" t="s">
        <v>36</v>
      </c>
      <c r="C40" s="8" t="s">
        <v>37</v>
      </c>
      <c r="D40" s="8" t="s">
        <v>38</v>
      </c>
      <c r="E40" s="8" t="s">
        <v>39</v>
      </c>
    </row>
    <row r="41" ht="12.75" customHeight="1">
      <c r="A41" s="2"/>
      <c r="B41" s="2"/>
      <c r="C41" s="6"/>
      <c r="D41" s="6"/>
      <c r="E41" s="2"/>
    </row>
    <row r="42" ht="12.75" customHeight="1"/>
    <row r="43" ht="12.75" customHeight="1"/>
    <row r="44" ht="12.75" customHeight="1">
      <c r="A44" s="2" t="s">
        <v>41</v>
      </c>
      <c r="B44" s="2"/>
    </row>
    <row r="45" ht="12.75" customHeight="1">
      <c r="A45" s="8" t="s">
        <v>10</v>
      </c>
      <c r="B45" s="8" t="s">
        <v>11</v>
      </c>
    </row>
    <row r="46" ht="12.75" customHeight="1">
      <c r="A46" s="2"/>
      <c r="B46" s="6"/>
    </row>
    <row r="47" ht="12.75" customHeight="1">
      <c r="A47" s="2"/>
      <c r="B47" s="6"/>
    </row>
    <row r="48" ht="12.75" customHeight="1">
      <c r="A48" s="2"/>
      <c r="B48" s="6"/>
    </row>
    <row r="49" ht="12.75" customHeight="1">
      <c r="A49" s="2"/>
      <c r="B49" s="6"/>
    </row>
    <row r="50" ht="12.75" customHeight="1">
      <c r="A50" s="2"/>
      <c r="B50" s="6"/>
    </row>
    <row r="51" ht="12.75" customHeight="1">
      <c r="A51" s="2"/>
      <c r="B51" s="6"/>
    </row>
    <row r="52" ht="12.75" customHeight="1">
      <c r="A52" s="2"/>
      <c r="B52" s="6"/>
    </row>
    <row r="53" ht="12.75" customHeight="1">
      <c r="A53" s="2"/>
      <c r="B53" s="6"/>
    </row>
    <row r="54" ht="12.75" customHeight="1">
      <c r="A54" s="8" t="s">
        <v>20</v>
      </c>
      <c r="B54" s="11"/>
    </row>
    <row r="55" ht="12.75" customHeight="1"/>
    <row r="56" ht="12.75" customHeight="1"/>
    <row r="57" ht="12.75" customHeight="1">
      <c r="A57" s="2" t="s">
        <v>50</v>
      </c>
      <c r="B57" s="2"/>
    </row>
    <row r="58" ht="12.75" customHeight="1">
      <c r="A58" s="8" t="s">
        <v>10</v>
      </c>
      <c r="B58" s="8" t="s">
        <v>11</v>
      </c>
    </row>
    <row r="59" ht="12.75" customHeight="1">
      <c r="A59" s="2"/>
      <c r="B59" s="6"/>
    </row>
    <row r="60" ht="12.75" customHeight="1">
      <c r="A60" s="2"/>
      <c r="B60" s="6"/>
    </row>
    <row r="61" ht="12.75" customHeight="1">
      <c r="A61" s="2"/>
      <c r="B61" s="6"/>
    </row>
    <row r="62" ht="12.75" customHeight="1">
      <c r="A62" s="8" t="s">
        <v>20</v>
      </c>
      <c r="B62" s="11"/>
    </row>
    <row r="63" ht="12.75" customHeight="1"/>
    <row r="64" ht="12.75" customHeight="1"/>
    <row r="65" ht="12.75" customHeight="1">
      <c r="A65" s="12" t="s">
        <v>55</v>
      </c>
      <c r="B65" s="2"/>
      <c r="C65" s="2"/>
    </row>
    <row r="66" ht="12.75" customHeight="1">
      <c r="A66" s="2" t="s">
        <v>56</v>
      </c>
      <c r="B66" s="6"/>
      <c r="C66" s="2"/>
    </row>
    <row r="67" ht="12.75" customHeight="1">
      <c r="A67" s="2" t="s">
        <v>57</v>
      </c>
      <c r="B67" s="6"/>
      <c r="C67" s="2"/>
    </row>
    <row r="68" ht="12.75" customHeight="1">
      <c r="A68" s="2" t="s">
        <v>58</v>
      </c>
      <c r="B68" s="6"/>
      <c r="C68" s="2"/>
    </row>
    <row r="69" ht="12.75" customHeight="1">
      <c r="A69" s="2" t="s">
        <v>59</v>
      </c>
      <c r="B69" s="6"/>
      <c r="C69" s="2"/>
    </row>
    <row r="70" ht="12.75" customHeight="1">
      <c r="A70" s="2" t="s">
        <v>60</v>
      </c>
      <c r="B70" s="2"/>
      <c r="C70" s="2"/>
    </row>
    <row r="71" ht="12.75" customHeight="1">
      <c r="A71" s="2" t="s">
        <v>61</v>
      </c>
      <c r="B71" s="6"/>
      <c r="C71" s="2"/>
    </row>
    <row r="72" ht="12.75" customHeight="1"/>
    <row r="73" ht="12.75" customHeight="1"/>
    <row r="74" ht="12.75" customHeight="1">
      <c r="A74" s="12" t="s">
        <v>62</v>
      </c>
      <c r="B74" s="12" t="s">
        <v>63</v>
      </c>
      <c r="C74" s="12" t="s">
        <v>64</v>
      </c>
      <c r="D74" s="12" t="s">
        <v>65</v>
      </c>
    </row>
    <row r="75" ht="12.75" customHeight="1">
      <c r="A75" s="2" t="s">
        <v>66</v>
      </c>
      <c r="B75" s="6"/>
      <c r="C75" s="2"/>
      <c r="D75" s="2"/>
    </row>
    <row r="76" ht="12.75" customHeight="1">
      <c r="A76" s="2" t="s">
        <v>67</v>
      </c>
      <c r="B76" s="6"/>
      <c r="C76" s="2"/>
      <c r="D76" s="2"/>
    </row>
    <row r="77" ht="12.75" customHeight="1">
      <c r="A77" s="2" t="s">
        <v>68</v>
      </c>
      <c r="B77" s="6"/>
      <c r="C77" s="2"/>
      <c r="D77" s="2"/>
    </row>
    <row r="78" ht="12.75" customHeight="1">
      <c r="A78" s="2" t="s">
        <v>69</v>
      </c>
      <c r="B78" s="6"/>
      <c r="C78" s="2"/>
      <c r="D78" s="2"/>
    </row>
    <row r="79" ht="12.75" customHeight="1">
      <c r="A79" s="13" t="s">
        <v>70</v>
      </c>
      <c r="B79" s="6"/>
      <c r="C79" s="2"/>
      <c r="D79" s="2"/>
    </row>
    <row r="80" ht="12.75" customHeight="1">
      <c r="A80" s="2"/>
      <c r="B80" s="2"/>
      <c r="C80" s="2"/>
      <c r="D80" s="2"/>
    </row>
    <row r="81" ht="12.75" customHeight="1">
      <c r="A81" s="2"/>
      <c r="B81" s="2"/>
      <c r="C81" s="2"/>
      <c r="D81" s="2"/>
    </row>
    <row r="82" ht="12.75" customHeight="1">
      <c r="A82" s="2"/>
      <c r="B82" s="2"/>
      <c r="C82" s="2"/>
      <c r="D82" s="2"/>
    </row>
    <row r="83" ht="12.75" customHeight="1">
      <c r="A83" s="12" t="s">
        <v>71</v>
      </c>
      <c r="B83" s="12"/>
      <c r="C83" s="12"/>
      <c r="D83" s="12"/>
    </row>
    <row r="84" ht="12.75" customHeight="1">
      <c r="A84" s="12" t="s">
        <v>72</v>
      </c>
      <c r="B84" s="14"/>
      <c r="C84" s="14"/>
      <c r="D84" s="14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>
      <c r="B91" s="15" t="s">
        <v>75</v>
      </c>
      <c r="C91" s="15" t="s">
        <v>76</v>
      </c>
      <c r="D91" s="15" t="s">
        <v>77</v>
      </c>
      <c r="E91" s="15" t="s">
        <v>78</v>
      </c>
      <c r="F91" s="15" t="s">
        <v>79</v>
      </c>
      <c r="G91" s="15" t="s">
        <v>112</v>
      </c>
      <c r="H91" s="15" t="s">
        <v>113</v>
      </c>
      <c r="I91" s="1" t="s">
        <v>127</v>
      </c>
    </row>
    <row r="92" ht="12.75" customHeight="1">
      <c r="B92" s="10"/>
      <c r="C92" s="2"/>
      <c r="D92" s="2"/>
      <c r="E92" s="2"/>
      <c r="F92" s="2"/>
      <c r="G92" s="2"/>
      <c r="H92" s="2"/>
    </row>
    <row r="93" ht="12.75" customHeight="1">
      <c r="B93" s="2" t="s">
        <v>83</v>
      </c>
      <c r="C93" s="2"/>
      <c r="D93" s="2"/>
      <c r="E93" s="2"/>
      <c r="F93" s="2"/>
      <c r="G93" s="2"/>
      <c r="H93" s="2"/>
    </row>
    <row r="94" ht="12.75" customHeight="1"/>
    <row r="95" ht="12.75" customHeight="1">
      <c r="A95" s="17" t="s">
        <v>84</v>
      </c>
      <c r="B95" s="16"/>
    </row>
    <row r="96" ht="12.75" customHeight="1">
      <c r="A96" s="17" t="s">
        <v>86</v>
      </c>
      <c r="B96" s="4"/>
    </row>
    <row r="97" ht="12.75" customHeight="1">
      <c r="A97" s="17" t="s">
        <v>87</v>
      </c>
    </row>
    <row r="98" ht="12.75" customHeight="1">
      <c r="A98" s="17" t="s">
        <v>88</v>
      </c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590277777777778" footer="0.0" header="0.0" left="0.7875" right="0.7875" top="0.590277777777778"/>
  <pageSetup paperSize="9" orientation="landscape"/>
  <drawing r:id="rId1"/>
</worksheet>
</file>