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Tulyahikayo Tevin\Desktop\"/>
    </mc:Choice>
  </mc:AlternateContent>
  <bookViews>
    <workbookView xWindow="0" yWindow="0" windowWidth="12345" windowHeight="5670" activeTab="1"/>
  </bookViews>
  <sheets>
    <sheet name="DASH BOARD" sheetId="1" r:id="rId1"/>
    <sheet name="SALES" sheetId="2" r:id="rId2"/>
    <sheet name="EXPENSES" sheetId="4" r:id="rId3"/>
    <sheet name="CUSTOMERS" sheetId="9" r:id="rId4"/>
  </sheets>
  <externalReferences>
    <externalReference r:id="rId5"/>
    <externalReference r:id="rId6"/>
  </externalReferences>
  <definedNames>
    <definedName name="_xlnm._FilterDatabase" localSheetId="2" hidden="1">EXPENSES!$A$1:$D$116</definedName>
    <definedName name="_xlnm._FilterDatabase" localSheetId="1" hidden="1">SALES!$A$1:$G$570</definedName>
    <definedName name="CalendarYear">#REF!</definedName>
    <definedName name="ColumnTitle13">[1]!EmployeeName[[#Headers],[Employee Names]]</definedName>
    <definedName name="CompanyName">[2]Invoice!$B$1</definedName>
    <definedName name="CustomerLookup">#REF!</definedName>
    <definedName name="Employee_Absence_Title">#REF!</definedName>
    <definedName name="Invoice_No">[2]!InvoicesMain[Invoice '#]</definedName>
    <definedName name="InvoiceNoDetails">"InvoiceDetails[Invoice No]"</definedName>
    <definedName name="Key_name">#REF!</definedName>
    <definedName name="KeyCustom1">#REF!</definedName>
    <definedName name="KeyCustom1Label">#REF!</definedName>
    <definedName name="KeyCustom2">#REF!</definedName>
    <definedName name="KeyCustom2Label">#REF!</definedName>
    <definedName name="KeyPersonal">#REF!</definedName>
    <definedName name="KeyPersonalLabel">#REF!</definedName>
    <definedName name="KeySick">#REF!</definedName>
    <definedName name="KeySickLabel">#REF!</definedName>
    <definedName name="KeyVacation">#REF!</definedName>
    <definedName name="KeyVacationLabel">#REF!</definedName>
    <definedName name="MonthName" localSheetId="0">'DASH BOARD'!#REF!</definedName>
    <definedName name="rngInvoice">[2]Invoice!$G$4</definedName>
    <definedName name="Title1">#REF!</definedName>
    <definedName name="Title10">[1]!October[[#Headers],[Employee Name]]</definedName>
    <definedName name="Title11">[1]!November[[#Headers],[Employee Name]]</definedName>
    <definedName name="Title12">[1]!December[[#Headers],[Employee Name]]</definedName>
    <definedName name="Title2">#REF!</definedName>
    <definedName name="Title3">[1]!March[[#Headers],[Employee Name]]</definedName>
    <definedName name="Title4">[1]!April[[#Headers],[Employee Name]]</definedName>
    <definedName name="Title5">[1]!May[[#Headers],[Employee Name]]</definedName>
    <definedName name="Title6">[1]!June[[#Headers],[Employee Name]]</definedName>
    <definedName name="Title7">[1]!July[[#Headers],[Employee Name]]</definedName>
    <definedName name="Title8">[1]!August[[#Headers],[Employee Name]]</definedName>
    <definedName name="Title9">[1]!September[[#Headers],[Employee Name]]</definedName>
  </definedNames>
  <calcPr calcId="152511"/>
</workbook>
</file>

<file path=xl/calcChain.xml><?xml version="1.0" encoding="utf-8"?>
<calcChain xmlns="http://schemas.openxmlformats.org/spreadsheetml/2006/main">
  <c r="G8" i="2" l="1"/>
  <c r="G40" i="2"/>
  <c r="G41" i="2"/>
  <c r="G42" i="2"/>
  <c r="G43" i="2"/>
  <c r="G46" i="2"/>
  <c r="G47" i="2"/>
  <c r="G48" i="2"/>
  <c r="G49" i="2"/>
  <c r="G50" i="2"/>
  <c r="G51" i="2"/>
  <c r="G52" i="2"/>
  <c r="G53" i="2"/>
  <c r="G54" i="2"/>
  <c r="G55" i="2"/>
  <c r="G56" i="2"/>
  <c r="G59" i="2"/>
  <c r="G60" i="2"/>
  <c r="G61" i="2"/>
  <c r="G62" i="2"/>
  <c r="G65" i="2"/>
  <c r="G66" i="2"/>
  <c r="G67" i="2"/>
  <c r="G68" i="2"/>
  <c r="G69" i="2"/>
  <c r="G70" i="2"/>
  <c r="G71" i="2"/>
  <c r="G72" i="2"/>
  <c r="G74" i="2"/>
  <c r="G76" i="2"/>
  <c r="G77" i="2"/>
  <c r="G82" i="2"/>
  <c r="G84" i="2"/>
  <c r="G86" i="2"/>
  <c r="G87" i="2"/>
  <c r="G91" i="2"/>
  <c r="G92" i="2"/>
  <c r="G93" i="2"/>
  <c r="G96" i="2"/>
  <c r="G97" i="2"/>
  <c r="G98" i="2"/>
  <c r="G99" i="2"/>
  <c r="G100" i="2"/>
  <c r="G108" i="2"/>
  <c r="G112" i="2"/>
  <c r="G113" i="2"/>
  <c r="G114" i="2"/>
  <c r="G116" i="2"/>
  <c r="G117" i="2"/>
  <c r="G118" i="2"/>
  <c r="G125" i="2"/>
  <c r="G127" i="2"/>
  <c r="G128" i="2"/>
  <c r="G129" i="2"/>
  <c r="G130" i="2"/>
  <c r="G132" i="2"/>
  <c r="G135" i="2"/>
  <c r="G136" i="2"/>
  <c r="G137" i="2"/>
  <c r="G140" i="2"/>
  <c r="G143" i="2"/>
  <c r="G144" i="2"/>
  <c r="G147" i="2"/>
  <c r="G154" i="2"/>
  <c r="G155" i="2"/>
  <c r="G163" i="2"/>
  <c r="G165" i="2"/>
  <c r="G166" i="2"/>
  <c r="G179" i="2"/>
  <c r="G180" i="2"/>
  <c r="G181" i="2"/>
  <c r="G186" i="2"/>
  <c r="G187" i="2"/>
  <c r="G188" i="2"/>
  <c r="G192" i="2"/>
  <c r="G193" i="2"/>
  <c r="G195" i="2"/>
  <c r="G196" i="2"/>
  <c r="G197" i="2"/>
  <c r="G198" i="2"/>
  <c r="G199" i="2"/>
  <c r="G201" i="2"/>
  <c r="G202" i="2"/>
  <c r="G203" i="2"/>
  <c r="G204" i="2"/>
  <c r="G206" i="2"/>
  <c r="G207" i="2"/>
  <c r="G210" i="2"/>
  <c r="G211" i="2"/>
  <c r="G213" i="2"/>
  <c r="G214" i="2"/>
  <c r="G215" i="2"/>
  <c r="G216" i="2"/>
  <c r="G217" i="2"/>
  <c r="G218" i="2"/>
  <c r="G219" i="2"/>
  <c r="G220" i="2"/>
  <c r="G221" i="2"/>
  <c r="G222" i="2"/>
  <c r="G225" i="2"/>
  <c r="G226" i="2"/>
  <c r="G227" i="2"/>
  <c r="G228" i="2"/>
  <c r="G229" i="2"/>
  <c r="G230" i="2"/>
  <c r="G231" i="2"/>
  <c r="G233" i="2"/>
  <c r="G234" i="2"/>
  <c r="G235" i="2"/>
  <c r="G236" i="2"/>
  <c r="G237" i="2"/>
  <c r="G238" i="2"/>
  <c r="G240" i="2"/>
  <c r="G241" i="2"/>
  <c r="G242" i="2"/>
  <c r="G244" i="2"/>
  <c r="G245" i="2"/>
  <c r="G246" i="2"/>
  <c r="G247" i="2"/>
  <c r="G249" i="2"/>
  <c r="G250" i="2"/>
  <c r="G251" i="2"/>
  <c r="G252" i="2"/>
  <c r="G255" i="2"/>
  <c r="G256" i="2"/>
  <c r="G258" i="2"/>
  <c r="G259" i="2"/>
  <c r="G260" i="2"/>
  <c r="G261" i="2"/>
  <c r="G262" i="2"/>
  <c r="G264" i="2"/>
  <c r="G265" i="2"/>
  <c r="G266" i="2"/>
  <c r="G267" i="2"/>
  <c r="G268" i="2"/>
  <c r="G270" i="2"/>
  <c r="G271" i="2"/>
  <c r="G272" i="2"/>
  <c r="G273" i="2"/>
  <c r="G274" i="2"/>
  <c r="G275" i="2"/>
  <c r="G276" i="2"/>
  <c r="G277" i="2"/>
  <c r="G278" i="2"/>
  <c r="G279" i="2"/>
  <c r="G280" i="2"/>
  <c r="G282" i="2"/>
  <c r="G283" i="2"/>
  <c r="G286" i="2"/>
  <c r="G287" i="2"/>
  <c r="G288" i="2"/>
  <c r="G289" i="2"/>
  <c r="G290" i="2"/>
  <c r="G295" i="2"/>
  <c r="G296" i="2"/>
  <c r="G297" i="2"/>
  <c r="G298" i="2"/>
  <c r="G299" i="2"/>
  <c r="G300" i="2"/>
  <c r="G301" i="2"/>
  <c r="G302" i="2"/>
  <c r="G303" i="2"/>
  <c r="G304" i="2"/>
  <c r="G305" i="2"/>
  <c r="G306" i="2"/>
  <c r="G307" i="2"/>
  <c r="G308" i="2"/>
  <c r="G309" i="2"/>
  <c r="G310" i="2"/>
  <c r="G311" i="2"/>
  <c r="G312" i="2"/>
  <c r="G313" i="2"/>
  <c r="G314" i="2"/>
  <c r="G315" i="2"/>
  <c r="G316" i="2"/>
  <c r="G317" i="2"/>
  <c r="G318" i="2"/>
  <c r="G319" i="2"/>
  <c r="G320" i="2"/>
  <c r="G321" i="2"/>
  <c r="G322" i="2"/>
  <c r="G323" i="2"/>
  <c r="G327" i="2"/>
  <c r="G328" i="2"/>
  <c r="G329" i="2"/>
  <c r="G330" i="2"/>
  <c r="G331" i="2"/>
  <c r="G335" i="2"/>
  <c r="G336" i="2"/>
  <c r="G337" i="2"/>
  <c r="G338" i="2"/>
  <c r="G339" i="2"/>
  <c r="G340" i="2"/>
  <c r="G341" i="2"/>
  <c r="G342" i="2"/>
  <c r="G343" i="2"/>
  <c r="G344" i="2"/>
  <c r="G345" i="2"/>
  <c r="G346" i="2"/>
  <c r="G347" i="2"/>
  <c r="G348" i="2"/>
  <c r="G349" i="2"/>
  <c r="G350" i="2"/>
  <c r="G351" i="2"/>
  <c r="G352" i="2"/>
  <c r="G353" i="2"/>
  <c r="G354" i="2"/>
  <c r="G355" i="2"/>
  <c r="G365" i="2"/>
  <c r="G366" i="2"/>
  <c r="G384" i="2"/>
  <c r="G389" i="2"/>
  <c r="G393" i="2"/>
  <c r="G395" i="2"/>
  <c r="G397" i="2"/>
  <c r="G398" i="2"/>
  <c r="G409" i="2"/>
  <c r="G417" i="2"/>
  <c r="G419" i="2"/>
  <c r="G420" i="2"/>
  <c r="G421" i="2"/>
  <c r="G424" i="2"/>
  <c r="G426" i="2"/>
  <c r="G427" i="2"/>
  <c r="G428" i="2"/>
  <c r="G431" i="2"/>
  <c r="G434" i="2"/>
  <c r="G439" i="2"/>
  <c r="G440" i="2"/>
  <c r="G441" i="2"/>
  <c r="G443" i="2"/>
  <c r="G445" i="2"/>
  <c r="G447" i="2"/>
  <c r="G449" i="2"/>
  <c r="G450" i="2"/>
  <c r="G451" i="2"/>
  <c r="G452" i="2"/>
  <c r="G463" i="2"/>
  <c r="G464" i="2"/>
  <c r="G465" i="2"/>
  <c r="G468" i="2"/>
  <c r="G472" i="2"/>
  <c r="G473" i="2"/>
  <c r="G476" i="2"/>
  <c r="G485" i="2"/>
  <c r="G489" i="2"/>
  <c r="G490" i="2"/>
  <c r="G491" i="2"/>
  <c r="G492" i="2"/>
  <c r="G494" i="2"/>
  <c r="G502" i="2"/>
  <c r="G510" i="2"/>
  <c r="G512" i="2"/>
  <c r="G518" i="2"/>
  <c r="G519" i="2"/>
  <c r="G523" i="2"/>
  <c r="G527" i="2"/>
  <c r="G528" i="2"/>
  <c r="G529" i="2"/>
  <c r="G532" i="2"/>
  <c r="G533" i="2"/>
  <c r="G534" i="2"/>
  <c r="G535" i="2"/>
  <c r="G537" i="2"/>
  <c r="G538" i="2"/>
  <c r="G541" i="2"/>
  <c r="G542" i="2"/>
  <c r="G543" i="2"/>
  <c r="G544" i="2"/>
  <c r="G545" i="2"/>
  <c r="G546" i="2"/>
  <c r="G548" i="2"/>
  <c r="G549" i="2"/>
  <c r="G550" i="2"/>
  <c r="G551" i="2"/>
  <c r="G552" i="2"/>
  <c r="G555" i="2"/>
  <c r="G556" i="2"/>
  <c r="G559" i="2"/>
  <c r="G560" i="2"/>
  <c r="G561" i="2"/>
  <c r="G562" i="2"/>
  <c r="G563" i="2"/>
  <c r="G564" i="2"/>
  <c r="G565" i="2"/>
  <c r="G566" i="2"/>
  <c r="G567" i="2"/>
  <c r="G569" i="2"/>
  <c r="F44" i="2"/>
  <c r="G44" i="2" s="1"/>
  <c r="F45" i="2"/>
  <c r="G45" i="2" s="1"/>
  <c r="F55" i="2"/>
  <c r="F57" i="2"/>
  <c r="G57" i="2" s="1"/>
  <c r="F58" i="2"/>
  <c r="G58" i="2" s="1"/>
  <c r="F24" i="2"/>
  <c r="G24" i="2" s="1"/>
  <c r="F25" i="2"/>
  <c r="G25" i="2" s="1"/>
  <c r="F26" i="2"/>
  <c r="G26" i="2" s="1"/>
  <c r="F27" i="2"/>
  <c r="G27" i="2" s="1"/>
  <c r="F28" i="2"/>
  <c r="G28" i="2" s="1"/>
  <c r="F29" i="2"/>
  <c r="G29" i="2" s="1"/>
  <c r="F30" i="2"/>
  <c r="G30" i="2" s="1"/>
  <c r="F31" i="2"/>
  <c r="G31" i="2" s="1"/>
  <c r="F32" i="2"/>
  <c r="G32" i="2" s="1"/>
  <c r="F33" i="2"/>
  <c r="G33" i="2" s="1"/>
  <c r="F34" i="2"/>
  <c r="G34" i="2" s="1"/>
  <c r="F35" i="2"/>
  <c r="G35" i="2" s="1"/>
  <c r="F36" i="2"/>
  <c r="G36" i="2" s="1"/>
  <c r="F37" i="2"/>
  <c r="G37" i="2" s="1"/>
  <c r="F38" i="2"/>
  <c r="G38" i="2" s="1"/>
  <c r="F39" i="2"/>
  <c r="G39" i="2" s="1"/>
  <c r="F17" i="2"/>
  <c r="G17" i="2" s="1"/>
  <c r="F18" i="2"/>
  <c r="G18" i="2" s="1"/>
  <c r="F19" i="2"/>
  <c r="G19" i="2" s="1"/>
  <c r="F20" i="2"/>
  <c r="G20" i="2" s="1"/>
  <c r="F21" i="2"/>
  <c r="G21" i="2" s="1"/>
  <c r="F22" i="2"/>
  <c r="G22" i="2" s="1"/>
  <c r="F23" i="2"/>
  <c r="G23" i="2" s="1"/>
  <c r="F3" i="2"/>
  <c r="G3" i="2" s="1"/>
  <c r="F4" i="2"/>
  <c r="G4" i="2" s="1"/>
  <c r="F5" i="2"/>
  <c r="G5" i="2" s="1"/>
  <c r="F6" i="2"/>
  <c r="G6" i="2" s="1"/>
  <c r="F7" i="2"/>
  <c r="G7" i="2" s="1"/>
  <c r="F9" i="2"/>
  <c r="G9" i="2" s="1"/>
  <c r="F10" i="2"/>
  <c r="G10" i="2" s="1"/>
  <c r="F11" i="2"/>
  <c r="G11" i="2" s="1"/>
  <c r="F12" i="2"/>
  <c r="G12" i="2" s="1"/>
  <c r="F13" i="2"/>
  <c r="G13" i="2" s="1"/>
  <c r="F14" i="2"/>
  <c r="G14" i="2" s="1"/>
  <c r="F15" i="2"/>
  <c r="G15" i="2" s="1"/>
  <c r="F16" i="2"/>
  <c r="G16" i="2" s="1"/>
  <c r="F63" i="2"/>
  <c r="G63" i="2" s="1"/>
  <c r="F64" i="2"/>
  <c r="G64" i="2" s="1"/>
  <c r="F73" i="2"/>
  <c r="G73" i="2" s="1"/>
  <c r="F75" i="2"/>
  <c r="G75" i="2" s="1"/>
  <c r="F78" i="2"/>
  <c r="G78" i="2" s="1"/>
  <c r="F79" i="2"/>
  <c r="G79" i="2" s="1"/>
  <c r="F80" i="2"/>
  <c r="G80" i="2" s="1"/>
  <c r="F81" i="2"/>
  <c r="G81" i="2" s="1"/>
  <c r="F83" i="2"/>
  <c r="G83" i="2" s="1"/>
  <c r="F85" i="2"/>
  <c r="G85" i="2" s="1"/>
  <c r="F88" i="2"/>
  <c r="G88" i="2" s="1"/>
  <c r="F89" i="2"/>
  <c r="G89" i="2" s="1"/>
  <c r="F90" i="2"/>
  <c r="G90" i="2" s="1"/>
  <c r="F94" i="2"/>
  <c r="G94" i="2" s="1"/>
  <c r="F95" i="2"/>
  <c r="G95" i="2" s="1"/>
  <c r="F101" i="2"/>
  <c r="G101" i="2" s="1"/>
  <c r="F102" i="2"/>
  <c r="G102" i="2" s="1"/>
  <c r="F103" i="2"/>
  <c r="G103" i="2" s="1"/>
  <c r="F104" i="2"/>
  <c r="G104" i="2" s="1"/>
  <c r="F105" i="2"/>
  <c r="G105" i="2" s="1"/>
  <c r="F106" i="2"/>
  <c r="G106" i="2" s="1"/>
  <c r="F107" i="2"/>
  <c r="G107" i="2" s="1"/>
  <c r="F109" i="2"/>
  <c r="G109" i="2" s="1"/>
  <c r="F110" i="2"/>
  <c r="G110" i="2" s="1"/>
  <c r="F111" i="2"/>
  <c r="G111" i="2" s="1"/>
  <c r="F115" i="2"/>
  <c r="G115" i="2" s="1"/>
  <c r="F119" i="2"/>
  <c r="G119" i="2" s="1"/>
  <c r="F120" i="2"/>
  <c r="G120" i="2" s="1"/>
  <c r="F121" i="2"/>
  <c r="G121" i="2" s="1"/>
  <c r="F122" i="2"/>
  <c r="G122" i="2" s="1"/>
  <c r="F123" i="2"/>
  <c r="G123" i="2" s="1"/>
  <c r="F124" i="2"/>
  <c r="G124" i="2" s="1"/>
  <c r="F126" i="2"/>
  <c r="G126" i="2" s="1"/>
  <c r="F131" i="2"/>
  <c r="G131" i="2" s="1"/>
  <c r="F133" i="2"/>
  <c r="G133" i="2" s="1"/>
  <c r="F134" i="2"/>
  <c r="G134" i="2" s="1"/>
  <c r="F138" i="2"/>
  <c r="G138" i="2" s="1"/>
  <c r="F139" i="2"/>
  <c r="G139" i="2" s="1"/>
  <c r="F141" i="2"/>
  <c r="G141" i="2" s="1"/>
  <c r="F142" i="2"/>
  <c r="G142" i="2" s="1"/>
  <c r="F145" i="2"/>
  <c r="G145" i="2" s="1"/>
  <c r="F146" i="2"/>
  <c r="G146" i="2" s="1"/>
  <c r="F148" i="2"/>
  <c r="G148" i="2" s="1"/>
  <c r="F149" i="2"/>
  <c r="G149" i="2" s="1"/>
  <c r="F150" i="2"/>
  <c r="G150" i="2" s="1"/>
  <c r="F151" i="2"/>
  <c r="G151" i="2" s="1"/>
  <c r="F152" i="2"/>
  <c r="G152" i="2" s="1"/>
  <c r="F153" i="2"/>
  <c r="G153" i="2" s="1"/>
  <c r="F156" i="2"/>
  <c r="G156" i="2" s="1"/>
  <c r="F157" i="2"/>
  <c r="G157" i="2" s="1"/>
  <c r="F158" i="2"/>
  <c r="G158" i="2" s="1"/>
  <c r="F159" i="2"/>
  <c r="G159" i="2" s="1"/>
  <c r="F160" i="2"/>
  <c r="G160" i="2" s="1"/>
  <c r="F161" i="2"/>
  <c r="G161" i="2" s="1"/>
  <c r="F162" i="2"/>
  <c r="G162" i="2" s="1"/>
  <c r="F164" i="2"/>
  <c r="G164" i="2" s="1"/>
  <c r="F167" i="2"/>
  <c r="G167" i="2" s="1"/>
  <c r="F168" i="2"/>
  <c r="G168" i="2" s="1"/>
  <c r="F169" i="2"/>
  <c r="G169" i="2" s="1"/>
  <c r="F170" i="2"/>
  <c r="G170" i="2" s="1"/>
  <c r="F171" i="2"/>
  <c r="G171" i="2" s="1"/>
  <c r="F172" i="2"/>
  <c r="G172" i="2" s="1"/>
  <c r="F173" i="2"/>
  <c r="G173" i="2" s="1"/>
  <c r="F174" i="2"/>
  <c r="G174" i="2" s="1"/>
  <c r="F175" i="2"/>
  <c r="G175" i="2" s="1"/>
  <c r="F176" i="2"/>
  <c r="G176" i="2" s="1"/>
  <c r="F177" i="2"/>
  <c r="G177" i="2" s="1"/>
  <c r="F178" i="2"/>
  <c r="G178" i="2" s="1"/>
  <c r="F182" i="2"/>
  <c r="G182" i="2" s="1"/>
  <c r="F183" i="2"/>
  <c r="G183" i="2" s="1"/>
  <c r="F184" i="2"/>
  <c r="G184" i="2" s="1"/>
  <c r="F185" i="2"/>
  <c r="G185" i="2" s="1"/>
  <c r="F189" i="2"/>
  <c r="G189" i="2" s="1"/>
  <c r="F190" i="2"/>
  <c r="G190" i="2" s="1"/>
  <c r="F191" i="2"/>
  <c r="G191" i="2" s="1"/>
  <c r="F194" i="2"/>
  <c r="G194" i="2" s="1"/>
  <c r="F200" i="2"/>
  <c r="G200" i="2" s="1"/>
  <c r="F205" i="2"/>
  <c r="G205" i="2" s="1"/>
  <c r="F208" i="2"/>
  <c r="G208" i="2" s="1"/>
  <c r="F209" i="2"/>
  <c r="G209" i="2" s="1"/>
  <c r="F212" i="2"/>
  <c r="G212" i="2" s="1"/>
  <c r="F223" i="2"/>
  <c r="G223" i="2" s="1"/>
  <c r="F224" i="2"/>
  <c r="G224" i="2" s="1"/>
  <c r="F232" i="2"/>
  <c r="G232" i="2" s="1"/>
  <c r="F239" i="2"/>
  <c r="G239" i="2" s="1"/>
  <c r="F243" i="2"/>
  <c r="G243" i="2" s="1"/>
  <c r="F248" i="2"/>
  <c r="G248" i="2" s="1"/>
  <c r="F253" i="2"/>
  <c r="G253" i="2" s="1"/>
  <c r="F254" i="2"/>
  <c r="G254" i="2" s="1"/>
  <c r="F257" i="2"/>
  <c r="G257" i="2" s="1"/>
  <c r="F263" i="2"/>
  <c r="G263" i="2" s="1"/>
  <c r="F269" i="2"/>
  <c r="G269" i="2" s="1"/>
  <c r="F281" i="2"/>
  <c r="G281" i="2" s="1"/>
  <c r="F284" i="2"/>
  <c r="G284" i="2" s="1"/>
  <c r="F285" i="2"/>
  <c r="G285" i="2" s="1"/>
  <c r="F291" i="2"/>
  <c r="G291" i="2" s="1"/>
  <c r="F292" i="2"/>
  <c r="G292" i="2" s="1"/>
  <c r="F293" i="2"/>
  <c r="G293" i="2" s="1"/>
  <c r="F294" i="2"/>
  <c r="G294" i="2" s="1"/>
  <c r="F324" i="2"/>
  <c r="G324" i="2" s="1"/>
  <c r="F325" i="2"/>
  <c r="G325" i="2" s="1"/>
  <c r="F326" i="2"/>
  <c r="G326" i="2" s="1"/>
  <c r="F332" i="2"/>
  <c r="G332" i="2" s="1"/>
  <c r="F333" i="2"/>
  <c r="G333" i="2" s="1"/>
  <c r="F334" i="2"/>
  <c r="G334" i="2" s="1"/>
  <c r="F356" i="2"/>
  <c r="G356" i="2" s="1"/>
  <c r="F357" i="2"/>
  <c r="G357" i="2" s="1"/>
  <c r="F358" i="2"/>
  <c r="G358" i="2" s="1"/>
  <c r="F359" i="2"/>
  <c r="G359" i="2" s="1"/>
  <c r="F360" i="2"/>
  <c r="G360" i="2" s="1"/>
  <c r="F361" i="2"/>
  <c r="G361" i="2" s="1"/>
  <c r="F362" i="2"/>
  <c r="G362" i="2" s="1"/>
  <c r="F363" i="2"/>
  <c r="G363" i="2" s="1"/>
  <c r="F364" i="2"/>
  <c r="G364" i="2" s="1"/>
  <c r="F367" i="2"/>
  <c r="G367" i="2" s="1"/>
  <c r="F368" i="2"/>
  <c r="G368" i="2" s="1"/>
  <c r="F369" i="2"/>
  <c r="G369" i="2" s="1"/>
  <c r="F370" i="2"/>
  <c r="G370" i="2" s="1"/>
  <c r="F371" i="2"/>
  <c r="G371" i="2" s="1"/>
  <c r="F372" i="2"/>
  <c r="G372" i="2" s="1"/>
  <c r="F373" i="2"/>
  <c r="G373" i="2" s="1"/>
  <c r="F374" i="2"/>
  <c r="G374" i="2" s="1"/>
  <c r="F375" i="2"/>
  <c r="G375" i="2" s="1"/>
  <c r="F376" i="2"/>
  <c r="G376" i="2" s="1"/>
  <c r="F377" i="2"/>
  <c r="G377" i="2" s="1"/>
  <c r="F378" i="2"/>
  <c r="G378" i="2" s="1"/>
  <c r="F379" i="2"/>
  <c r="G379" i="2" s="1"/>
  <c r="F380" i="2"/>
  <c r="G380" i="2" s="1"/>
  <c r="F381" i="2"/>
  <c r="G381" i="2" s="1"/>
  <c r="F382" i="2"/>
  <c r="G382" i="2" s="1"/>
  <c r="F383" i="2"/>
  <c r="G383" i="2" s="1"/>
  <c r="F385" i="2"/>
  <c r="G385" i="2" s="1"/>
  <c r="F386" i="2"/>
  <c r="G386" i="2" s="1"/>
  <c r="F387" i="2"/>
  <c r="G387" i="2" s="1"/>
  <c r="F388" i="2"/>
  <c r="G388" i="2" s="1"/>
  <c r="F390" i="2"/>
  <c r="G390" i="2" s="1"/>
  <c r="F391" i="2"/>
  <c r="G391" i="2" s="1"/>
  <c r="F392" i="2"/>
  <c r="G392" i="2" s="1"/>
  <c r="F394" i="2"/>
  <c r="G394" i="2" s="1"/>
  <c r="F396" i="2"/>
  <c r="G396" i="2" s="1"/>
  <c r="F399" i="2"/>
  <c r="G399" i="2" s="1"/>
  <c r="F400" i="2"/>
  <c r="G400" i="2" s="1"/>
  <c r="F401" i="2"/>
  <c r="G401" i="2" s="1"/>
  <c r="F402" i="2"/>
  <c r="G402" i="2" s="1"/>
  <c r="F403" i="2"/>
  <c r="G403" i="2" s="1"/>
  <c r="F404" i="2"/>
  <c r="G404" i="2" s="1"/>
  <c r="F405" i="2"/>
  <c r="G405" i="2" s="1"/>
  <c r="F406" i="2"/>
  <c r="G406" i="2" s="1"/>
  <c r="F407" i="2"/>
  <c r="G407" i="2" s="1"/>
  <c r="F408" i="2"/>
  <c r="G408" i="2" s="1"/>
  <c r="F410" i="2"/>
  <c r="G410" i="2" s="1"/>
  <c r="F411" i="2"/>
  <c r="G411" i="2" s="1"/>
  <c r="F412" i="2"/>
  <c r="G412" i="2" s="1"/>
  <c r="F413" i="2"/>
  <c r="G413" i="2" s="1"/>
  <c r="F414" i="2"/>
  <c r="G414" i="2" s="1"/>
  <c r="F415" i="2"/>
  <c r="G415" i="2" s="1"/>
  <c r="F416" i="2"/>
  <c r="G416" i="2" s="1"/>
  <c r="F418" i="2"/>
  <c r="G418" i="2" s="1"/>
  <c r="F422" i="2"/>
  <c r="G422" i="2" s="1"/>
  <c r="F423" i="2"/>
  <c r="G423" i="2" s="1"/>
  <c r="F425" i="2"/>
  <c r="G425" i="2" s="1"/>
  <c r="F429" i="2"/>
  <c r="G429" i="2" s="1"/>
  <c r="F430" i="2"/>
  <c r="G430" i="2" s="1"/>
  <c r="F432" i="2"/>
  <c r="G432" i="2" s="1"/>
  <c r="F433" i="2"/>
  <c r="G433" i="2" s="1"/>
  <c r="F435" i="2"/>
  <c r="G435" i="2" s="1"/>
  <c r="F436" i="2"/>
  <c r="G436" i="2" s="1"/>
  <c r="F437" i="2"/>
  <c r="G437" i="2" s="1"/>
  <c r="F438" i="2"/>
  <c r="G438" i="2" s="1"/>
  <c r="F442" i="2"/>
  <c r="G442" i="2" s="1"/>
  <c r="F444" i="2"/>
  <c r="G444" i="2" s="1"/>
  <c r="F446" i="2"/>
  <c r="G446" i="2" s="1"/>
  <c r="F448" i="2"/>
  <c r="G448" i="2" s="1"/>
  <c r="F453" i="2"/>
  <c r="G453" i="2" s="1"/>
  <c r="F454" i="2"/>
  <c r="G454" i="2" s="1"/>
  <c r="F455" i="2"/>
  <c r="G455" i="2" s="1"/>
  <c r="F456" i="2"/>
  <c r="G456" i="2" s="1"/>
  <c r="F457" i="2"/>
  <c r="G457" i="2" s="1"/>
  <c r="F458" i="2"/>
  <c r="G458" i="2" s="1"/>
  <c r="F459" i="2"/>
  <c r="G459" i="2" s="1"/>
  <c r="F460" i="2"/>
  <c r="G460" i="2" s="1"/>
  <c r="F461" i="2"/>
  <c r="G461" i="2" s="1"/>
  <c r="F462" i="2"/>
  <c r="G462" i="2" s="1"/>
  <c r="F466" i="2"/>
  <c r="G466" i="2" s="1"/>
  <c r="F467" i="2"/>
  <c r="G467" i="2" s="1"/>
  <c r="F469" i="2"/>
  <c r="G469" i="2" s="1"/>
  <c r="F470" i="2"/>
  <c r="G470" i="2" s="1"/>
  <c r="F471" i="2"/>
  <c r="G471" i="2" s="1"/>
  <c r="F474" i="2"/>
  <c r="G474" i="2" s="1"/>
  <c r="F475" i="2"/>
  <c r="G475" i="2" s="1"/>
  <c r="F477" i="2"/>
  <c r="G477" i="2" s="1"/>
  <c r="F478" i="2"/>
  <c r="G478" i="2" s="1"/>
  <c r="F479" i="2"/>
  <c r="G479" i="2" s="1"/>
  <c r="F480" i="2"/>
  <c r="G480" i="2" s="1"/>
  <c r="F481" i="2"/>
  <c r="G481" i="2" s="1"/>
  <c r="F482" i="2"/>
  <c r="G482" i="2" s="1"/>
  <c r="F483" i="2"/>
  <c r="G483" i="2" s="1"/>
  <c r="F484" i="2"/>
  <c r="G484" i="2" s="1"/>
  <c r="F486" i="2"/>
  <c r="G486" i="2" s="1"/>
  <c r="F487" i="2"/>
  <c r="G487" i="2" s="1"/>
  <c r="F488" i="2"/>
  <c r="G488" i="2" s="1"/>
  <c r="F493" i="2"/>
  <c r="G493" i="2" s="1"/>
  <c r="F495" i="2"/>
  <c r="G495" i="2" s="1"/>
  <c r="F496" i="2"/>
  <c r="G496" i="2" s="1"/>
  <c r="F497" i="2"/>
  <c r="G497" i="2" s="1"/>
  <c r="F498" i="2"/>
  <c r="G498" i="2" s="1"/>
  <c r="F499" i="2"/>
  <c r="G499" i="2" s="1"/>
  <c r="F500" i="2"/>
  <c r="G500" i="2" s="1"/>
  <c r="F501" i="2"/>
  <c r="G501" i="2" s="1"/>
  <c r="F503" i="2"/>
  <c r="G503" i="2" s="1"/>
  <c r="F504" i="2"/>
  <c r="G504" i="2" s="1"/>
  <c r="F505" i="2"/>
  <c r="G505" i="2" s="1"/>
  <c r="F506" i="2"/>
  <c r="G506" i="2" s="1"/>
  <c r="F507" i="2"/>
  <c r="G507" i="2" s="1"/>
  <c r="F508" i="2"/>
  <c r="G508" i="2" s="1"/>
  <c r="F509" i="2"/>
  <c r="G509" i="2" s="1"/>
  <c r="F511" i="2"/>
  <c r="G511" i="2" s="1"/>
  <c r="F513" i="2"/>
  <c r="G513" i="2" s="1"/>
  <c r="F514" i="2"/>
  <c r="G514" i="2" s="1"/>
  <c r="F515" i="2"/>
  <c r="G515" i="2" s="1"/>
  <c r="F516" i="2"/>
  <c r="G516" i="2" s="1"/>
  <c r="F517" i="2"/>
  <c r="G517" i="2" s="1"/>
  <c r="F520" i="2"/>
  <c r="G520" i="2" s="1"/>
  <c r="F521" i="2"/>
  <c r="G521" i="2" s="1"/>
  <c r="F522" i="2"/>
  <c r="G522" i="2" s="1"/>
  <c r="F524" i="2"/>
  <c r="G524" i="2" s="1"/>
  <c r="F525" i="2"/>
  <c r="G525" i="2" s="1"/>
  <c r="F526" i="2"/>
  <c r="G526" i="2" s="1"/>
  <c r="F530" i="2"/>
  <c r="G530" i="2" s="1"/>
  <c r="F531" i="2"/>
  <c r="G531" i="2" s="1"/>
  <c r="F536" i="2"/>
  <c r="G536" i="2" s="1"/>
  <c r="F539" i="2"/>
  <c r="G539" i="2" s="1"/>
  <c r="F540" i="2"/>
  <c r="G540" i="2" s="1"/>
  <c r="F547" i="2"/>
  <c r="G547" i="2" s="1"/>
  <c r="F553" i="2"/>
  <c r="F554" i="2"/>
  <c r="G554" i="2" s="1"/>
  <c r="F557" i="2"/>
  <c r="G557" i="2" s="1"/>
  <c r="F558" i="2"/>
  <c r="G558" i="2" s="1"/>
  <c r="F568" i="2"/>
  <c r="G568" i="2" s="1"/>
  <c r="F570" i="2"/>
  <c r="G570" i="2" s="1"/>
  <c r="G553" i="2" l="1"/>
  <c r="F2" i="2" l="1"/>
  <c r="G2" i="2" s="1"/>
  <c r="K118" i="1" l="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F573" i="1" l="1"/>
  <c r="F566" i="1"/>
  <c r="F559" i="1"/>
  <c r="F546" i="1"/>
  <c r="F533" i="1"/>
  <c r="F530" i="1"/>
  <c r="F529" i="1"/>
  <c r="F525" i="1"/>
  <c r="F521" i="1"/>
  <c r="F518" i="1"/>
  <c r="E515" i="1"/>
  <c r="F499" i="1"/>
  <c r="F494" i="1"/>
  <c r="F479" i="1"/>
  <c r="F465" i="1"/>
  <c r="F441" i="1"/>
  <c r="E440" i="1"/>
  <c r="F432" i="1"/>
  <c r="F430" i="1"/>
  <c r="F428" i="1"/>
  <c r="E427" i="1"/>
  <c r="F427" i="1"/>
  <c r="E420" i="1"/>
  <c r="F396" i="1"/>
  <c r="F389" i="1"/>
  <c r="F373" i="1"/>
  <c r="F371" i="1"/>
  <c r="F369" i="1"/>
  <c r="F365" i="1"/>
  <c r="F361" i="1"/>
  <c r="F357" i="1"/>
  <c r="F355" i="1"/>
  <c r="F346" i="1"/>
  <c r="F342" i="1"/>
  <c r="F341" i="1"/>
  <c r="F339" i="1"/>
  <c r="F337" i="1"/>
  <c r="F336" i="1"/>
  <c r="F333" i="1"/>
  <c r="F327" i="1"/>
  <c r="F326" i="1"/>
  <c r="F325" i="1"/>
  <c r="F324" i="1"/>
  <c r="F320" i="1"/>
  <c r="F317" i="1"/>
  <c r="F316" i="1"/>
  <c r="F315" i="1"/>
  <c r="F314" i="1"/>
  <c r="F313" i="1"/>
  <c r="F312" i="1"/>
  <c r="F311" i="1"/>
  <c r="F310" i="1"/>
  <c r="F309" i="1"/>
  <c r="F308" i="1"/>
  <c r="F307" i="1"/>
  <c r="F306" i="1"/>
  <c r="F305" i="1"/>
  <c r="F304" i="1"/>
  <c r="F303" i="1"/>
  <c r="F302" i="1"/>
  <c r="F301" i="1"/>
  <c r="F300" i="1"/>
  <c r="F299" i="1"/>
  <c r="F298" i="1"/>
  <c r="F290" i="1"/>
  <c r="F289" i="1"/>
  <c r="F287" i="1"/>
  <c r="F286" i="1"/>
  <c r="F285" i="1"/>
  <c r="F284" i="1"/>
  <c r="F283" i="1"/>
  <c r="F282" i="1"/>
  <c r="F279" i="1"/>
  <c r="F278" i="1"/>
  <c r="F275" i="1"/>
  <c r="F267" i="1"/>
  <c r="F266" i="1"/>
  <c r="F263" i="1"/>
  <c r="F262" i="1"/>
  <c r="F261" i="1"/>
  <c r="F260" i="1"/>
  <c r="F259" i="1"/>
  <c r="F256" i="1"/>
  <c r="F254" i="1"/>
  <c r="F252" i="1"/>
  <c r="F251" i="1"/>
  <c r="F250" i="1"/>
  <c r="F247" i="1"/>
  <c r="F245" i="1"/>
  <c r="F243" i="1"/>
  <c r="F241" i="1"/>
  <c r="F240" i="1"/>
  <c r="F239" i="1"/>
  <c r="F236" i="1"/>
  <c r="F232" i="1"/>
  <c r="F231" i="1"/>
  <c r="F229" i="1"/>
  <c r="F227" i="1"/>
  <c r="F223" i="1"/>
  <c r="F189" i="1"/>
  <c r="F188" i="1"/>
  <c r="F187" i="1"/>
  <c r="F186" i="1"/>
  <c r="F185" i="1"/>
  <c r="F182" i="1"/>
  <c r="F181" i="1"/>
  <c r="F180" i="1"/>
  <c r="F179" i="1"/>
  <c r="F175" i="1"/>
  <c r="F172" i="1"/>
  <c r="F168" i="1"/>
  <c r="F167" i="1"/>
  <c r="F166" i="1"/>
  <c r="F165" i="1"/>
  <c r="F163" i="1"/>
  <c r="F159" i="1"/>
  <c r="F155" i="1"/>
  <c r="F154" i="1"/>
  <c r="F148" i="1"/>
  <c r="F147" i="1"/>
  <c r="F144" i="1"/>
  <c r="F143" i="1"/>
  <c r="F142" i="1"/>
  <c r="F140" i="1"/>
  <c r="F139" i="1"/>
  <c r="F137" i="1"/>
  <c r="F136" i="1"/>
  <c r="F135" i="1"/>
  <c r="E134" i="1"/>
  <c r="F133" i="1"/>
  <c r="F132" i="1"/>
  <c r="F130" i="1"/>
  <c r="F129" i="1"/>
  <c r="F128" i="1"/>
  <c r="F127" i="1"/>
  <c r="F125" i="1"/>
  <c r="F124" i="1"/>
  <c r="F119" i="1"/>
  <c r="F118" i="1"/>
  <c r="F117" i="1"/>
  <c r="F116" i="1"/>
  <c r="F114" i="1"/>
  <c r="F113" i="1"/>
  <c r="F112" i="1"/>
  <c r="F108" i="1"/>
  <c r="F105" i="1"/>
  <c r="F103" i="1"/>
  <c r="F100" i="1"/>
  <c r="F99" i="1"/>
  <c r="F98" i="1"/>
  <c r="F97" i="1"/>
  <c r="F96" i="1"/>
  <c r="F95" i="1"/>
  <c r="F94" i="1"/>
  <c r="F93" i="1"/>
  <c r="F92" i="1"/>
  <c r="F91" i="1"/>
  <c r="F89" i="1"/>
  <c r="F87" i="1"/>
  <c r="F86" i="1"/>
  <c r="F85" i="1"/>
  <c r="F84" i="1"/>
  <c r="F83" i="1"/>
  <c r="F82" i="1"/>
  <c r="F78" i="1"/>
  <c r="F77" i="1"/>
  <c r="F76" i="1"/>
  <c r="F74" i="1"/>
  <c r="F73" i="1"/>
  <c r="F72" i="1"/>
  <c r="F71" i="1"/>
  <c r="F70" i="1"/>
  <c r="F68" i="1"/>
  <c r="F67" i="1"/>
  <c r="F66" i="1"/>
  <c r="F65" i="1"/>
  <c r="F64" i="1"/>
  <c r="F63" i="1"/>
  <c r="F62" i="1"/>
  <c r="F61" i="1"/>
  <c r="F60" i="1"/>
  <c r="F59" i="1"/>
  <c r="F58" i="1"/>
  <c r="F57" i="1"/>
  <c r="F56" i="1"/>
  <c r="F55" i="1"/>
  <c r="F54" i="1"/>
  <c r="F53" i="1"/>
  <c r="F52" i="1"/>
  <c r="F51" i="1"/>
  <c r="F50" i="1"/>
  <c r="F49" i="1"/>
  <c r="F48" i="1"/>
  <c r="F47" i="1"/>
  <c r="F46" i="1"/>
  <c r="F45" i="1"/>
  <c r="F44" i="1"/>
  <c r="F43" i="1"/>
  <c r="F42" i="1"/>
  <c r="F40" i="1"/>
  <c r="F39" i="1"/>
  <c r="F38" i="1"/>
  <c r="F37" i="1"/>
  <c r="F36" i="1"/>
  <c r="F35" i="1"/>
  <c r="F34" i="1"/>
  <c r="F33" i="1"/>
  <c r="F32" i="1"/>
  <c r="F31" i="1"/>
  <c r="F30" i="1"/>
  <c r="F29" i="1"/>
  <c r="F28" i="1"/>
  <c r="F27" i="1"/>
  <c r="F26" i="1"/>
  <c r="F25" i="1"/>
  <c r="F24" i="1"/>
  <c r="F574" i="1"/>
  <c r="E574" i="1"/>
  <c r="D574" i="1"/>
  <c r="C574" i="1"/>
  <c r="B574" i="1"/>
  <c r="A574" i="1"/>
  <c r="E573" i="1"/>
  <c r="D573" i="1"/>
  <c r="C573" i="1"/>
  <c r="B573" i="1"/>
  <c r="A573" i="1"/>
  <c r="E572" i="1"/>
  <c r="D572" i="1"/>
  <c r="C572" i="1"/>
  <c r="B572" i="1"/>
  <c r="A572" i="1"/>
  <c r="D571" i="1"/>
  <c r="C571" i="1"/>
  <c r="B571" i="1"/>
  <c r="A571" i="1"/>
  <c r="E570" i="1"/>
  <c r="D570" i="1"/>
  <c r="C570" i="1"/>
  <c r="B570" i="1"/>
  <c r="A570" i="1"/>
  <c r="D569" i="1"/>
  <c r="C569" i="1"/>
  <c r="B569" i="1"/>
  <c r="A569" i="1"/>
  <c r="E568" i="1"/>
  <c r="D568" i="1"/>
  <c r="C568" i="1"/>
  <c r="B568" i="1"/>
  <c r="A568" i="1"/>
  <c r="E567" i="1"/>
  <c r="D567" i="1"/>
  <c r="C567" i="1"/>
  <c r="B567" i="1"/>
  <c r="A567" i="1"/>
  <c r="E566" i="1"/>
  <c r="D566" i="1"/>
  <c r="C566" i="1"/>
  <c r="B566" i="1"/>
  <c r="A566" i="1"/>
  <c r="E565" i="1"/>
  <c r="D565" i="1"/>
  <c r="C565" i="1"/>
  <c r="B565" i="1"/>
  <c r="A565" i="1"/>
  <c r="E564" i="1"/>
  <c r="D564" i="1"/>
  <c r="C564" i="1"/>
  <c r="B564" i="1"/>
  <c r="A564" i="1"/>
  <c r="E563" i="1"/>
  <c r="D563" i="1"/>
  <c r="C563" i="1"/>
  <c r="B563" i="1"/>
  <c r="A563" i="1"/>
  <c r="E562" i="1"/>
  <c r="D562" i="1"/>
  <c r="C562" i="1"/>
  <c r="B562" i="1"/>
  <c r="A562" i="1"/>
  <c r="E561" i="1"/>
  <c r="D561" i="1"/>
  <c r="C561" i="1"/>
  <c r="B561" i="1"/>
  <c r="A561" i="1"/>
  <c r="E560" i="1"/>
  <c r="D560" i="1"/>
  <c r="C560" i="1"/>
  <c r="B560" i="1"/>
  <c r="A560" i="1"/>
  <c r="E559" i="1"/>
  <c r="D559" i="1"/>
  <c r="C559" i="1"/>
  <c r="B559" i="1"/>
  <c r="A559" i="1"/>
  <c r="E558" i="1"/>
  <c r="D558" i="1"/>
  <c r="C558" i="1"/>
  <c r="B558" i="1"/>
  <c r="A558" i="1"/>
  <c r="F557" i="1"/>
  <c r="E557" i="1"/>
  <c r="D557" i="1"/>
  <c r="C557" i="1"/>
  <c r="B557" i="1"/>
  <c r="A557" i="1"/>
  <c r="F556" i="1"/>
  <c r="E556" i="1"/>
  <c r="D556" i="1"/>
  <c r="C556" i="1"/>
  <c r="B556" i="1"/>
  <c r="A556" i="1"/>
  <c r="F555" i="1"/>
  <c r="E555" i="1"/>
  <c r="D555" i="1"/>
  <c r="C555" i="1"/>
  <c r="B555" i="1"/>
  <c r="A555" i="1"/>
  <c r="F554" i="1"/>
  <c r="E554" i="1"/>
  <c r="D554" i="1"/>
  <c r="C554" i="1"/>
  <c r="B554" i="1"/>
  <c r="A554" i="1"/>
  <c r="F553" i="1"/>
  <c r="E553" i="1"/>
  <c r="D553" i="1"/>
  <c r="C553" i="1"/>
  <c r="B553" i="1"/>
  <c r="A553" i="1"/>
  <c r="F552" i="1"/>
  <c r="E552" i="1"/>
  <c r="D552" i="1"/>
  <c r="C552" i="1"/>
  <c r="B552" i="1"/>
  <c r="A552" i="1"/>
  <c r="F551" i="1"/>
  <c r="E551" i="1"/>
  <c r="D551" i="1"/>
  <c r="C551" i="1"/>
  <c r="B551" i="1"/>
  <c r="A551" i="1"/>
  <c r="F550" i="1"/>
  <c r="E550" i="1"/>
  <c r="D550" i="1"/>
  <c r="C550" i="1"/>
  <c r="B550" i="1"/>
  <c r="A550" i="1"/>
  <c r="F549" i="1"/>
  <c r="E549" i="1"/>
  <c r="D549" i="1"/>
  <c r="C549" i="1"/>
  <c r="B549" i="1"/>
  <c r="A549" i="1"/>
  <c r="F548" i="1"/>
  <c r="E548" i="1"/>
  <c r="D548" i="1"/>
  <c r="C548" i="1"/>
  <c r="B548" i="1"/>
  <c r="A548" i="1"/>
  <c r="F547" i="1"/>
  <c r="E547" i="1"/>
  <c r="D547" i="1"/>
  <c r="C547" i="1"/>
  <c r="B547" i="1"/>
  <c r="A547" i="1"/>
  <c r="E546" i="1"/>
  <c r="D546" i="1"/>
  <c r="C546" i="1"/>
  <c r="B546" i="1"/>
  <c r="A546" i="1"/>
  <c r="E545" i="1"/>
  <c r="D545" i="1"/>
  <c r="C545" i="1"/>
  <c r="B545" i="1"/>
  <c r="A545" i="1"/>
  <c r="F544" i="1"/>
  <c r="E544" i="1"/>
  <c r="D544" i="1"/>
  <c r="C544" i="1"/>
  <c r="B544" i="1"/>
  <c r="A544" i="1"/>
  <c r="E543" i="1"/>
  <c r="D543" i="1"/>
  <c r="C543" i="1"/>
  <c r="B543" i="1"/>
  <c r="A543" i="1"/>
  <c r="D542" i="1"/>
  <c r="C542" i="1"/>
  <c r="B542" i="1"/>
  <c r="A542" i="1"/>
  <c r="D541" i="1"/>
  <c r="C541" i="1"/>
  <c r="B541" i="1"/>
  <c r="A541" i="1"/>
  <c r="D540" i="1"/>
  <c r="C540" i="1"/>
  <c r="B540" i="1"/>
  <c r="A540" i="1"/>
  <c r="E539" i="1"/>
  <c r="D539" i="1"/>
  <c r="C539" i="1"/>
  <c r="B539" i="1"/>
  <c r="A539" i="1"/>
  <c r="D538" i="1"/>
  <c r="C538" i="1"/>
  <c r="B538" i="1"/>
  <c r="A538" i="1"/>
  <c r="D537" i="1"/>
  <c r="C537" i="1"/>
  <c r="B537" i="1"/>
  <c r="A537" i="1"/>
  <c r="E536" i="1"/>
  <c r="D536" i="1"/>
  <c r="C536" i="1"/>
  <c r="B536" i="1"/>
  <c r="A536" i="1"/>
  <c r="E535" i="1"/>
  <c r="D535" i="1"/>
  <c r="C535" i="1"/>
  <c r="B535" i="1"/>
  <c r="A535" i="1"/>
  <c r="E534" i="1"/>
  <c r="D534" i="1"/>
  <c r="C534" i="1"/>
  <c r="B534" i="1"/>
  <c r="A534" i="1"/>
  <c r="E533" i="1"/>
  <c r="D533" i="1"/>
  <c r="C533" i="1"/>
  <c r="B533" i="1"/>
  <c r="A533" i="1"/>
  <c r="E532" i="1"/>
  <c r="D532" i="1"/>
  <c r="C532" i="1"/>
  <c r="B532" i="1"/>
  <c r="A532" i="1"/>
  <c r="E531" i="1"/>
  <c r="D531" i="1"/>
  <c r="C531" i="1"/>
  <c r="B531" i="1"/>
  <c r="A531" i="1"/>
  <c r="E530" i="1"/>
  <c r="D530" i="1"/>
  <c r="C530" i="1"/>
  <c r="B530" i="1"/>
  <c r="A530" i="1"/>
  <c r="E529" i="1"/>
  <c r="D529" i="1"/>
  <c r="C529" i="1"/>
  <c r="B529" i="1"/>
  <c r="A529" i="1"/>
  <c r="E528" i="1"/>
  <c r="D528" i="1"/>
  <c r="C528" i="1"/>
  <c r="B528" i="1"/>
  <c r="A528" i="1"/>
  <c r="D527" i="1"/>
  <c r="C527" i="1"/>
  <c r="B527" i="1"/>
  <c r="A527" i="1"/>
  <c r="D526" i="1"/>
  <c r="C526" i="1"/>
  <c r="B526" i="1"/>
  <c r="A526" i="1"/>
  <c r="D525" i="1"/>
  <c r="C525" i="1"/>
  <c r="B525" i="1"/>
  <c r="A525" i="1"/>
  <c r="E524" i="1"/>
  <c r="D524" i="1"/>
  <c r="C524" i="1"/>
  <c r="B524" i="1"/>
  <c r="A524" i="1"/>
  <c r="D523" i="1"/>
  <c r="C523" i="1"/>
  <c r="B523" i="1"/>
  <c r="A523" i="1"/>
  <c r="E522" i="1"/>
  <c r="D522" i="1"/>
  <c r="C522" i="1"/>
  <c r="B522" i="1"/>
  <c r="A522" i="1"/>
  <c r="D521" i="1"/>
  <c r="C521" i="1"/>
  <c r="B521" i="1"/>
  <c r="A521" i="1"/>
  <c r="D520" i="1"/>
  <c r="C520" i="1"/>
  <c r="B520" i="1"/>
  <c r="A520" i="1"/>
  <c r="E519" i="1"/>
  <c r="D519" i="1"/>
  <c r="C519" i="1"/>
  <c r="B519" i="1"/>
  <c r="A519" i="1"/>
  <c r="D518" i="1"/>
  <c r="C518" i="1"/>
  <c r="B518" i="1"/>
  <c r="A518" i="1"/>
  <c r="D517" i="1"/>
  <c r="C517" i="1"/>
  <c r="B517" i="1"/>
  <c r="A517" i="1"/>
  <c r="D516" i="1"/>
  <c r="C516" i="1"/>
  <c r="B516" i="1"/>
  <c r="A516" i="1"/>
  <c r="D515" i="1"/>
  <c r="C515" i="1"/>
  <c r="B515" i="1"/>
  <c r="A515" i="1"/>
  <c r="D514" i="1"/>
  <c r="C514" i="1"/>
  <c r="B514" i="1"/>
  <c r="A514" i="1"/>
  <c r="D513" i="1"/>
  <c r="C513" i="1"/>
  <c r="B513" i="1"/>
  <c r="A513" i="1"/>
  <c r="D512" i="1"/>
  <c r="C512" i="1"/>
  <c r="B512" i="1"/>
  <c r="A512" i="1"/>
  <c r="E511" i="1"/>
  <c r="D511" i="1"/>
  <c r="C511" i="1"/>
  <c r="B511" i="1"/>
  <c r="A511" i="1"/>
  <c r="D510" i="1"/>
  <c r="C510" i="1"/>
  <c r="B510" i="1"/>
  <c r="A510" i="1"/>
  <c r="D509" i="1"/>
  <c r="C509" i="1"/>
  <c r="B509" i="1"/>
  <c r="A509" i="1"/>
  <c r="D508" i="1"/>
  <c r="C508" i="1"/>
  <c r="B508" i="1"/>
  <c r="A508" i="1"/>
  <c r="D507" i="1"/>
  <c r="C507" i="1"/>
  <c r="B507" i="1"/>
  <c r="A507" i="1"/>
  <c r="D506" i="1"/>
  <c r="C506" i="1"/>
  <c r="B506" i="1"/>
  <c r="A506" i="1"/>
  <c r="D505" i="1"/>
  <c r="C505" i="1"/>
  <c r="B505" i="1"/>
  <c r="A505" i="1"/>
  <c r="D504" i="1"/>
  <c r="C504" i="1"/>
  <c r="B504" i="1"/>
  <c r="A504" i="1"/>
  <c r="F503" i="1"/>
  <c r="E503" i="1"/>
  <c r="D503" i="1"/>
  <c r="C503" i="1"/>
  <c r="B503" i="1"/>
  <c r="A503" i="1"/>
  <c r="D502" i="1"/>
  <c r="C502" i="1"/>
  <c r="B502" i="1"/>
  <c r="A502" i="1"/>
  <c r="D501" i="1"/>
  <c r="C501" i="1"/>
  <c r="B501" i="1"/>
  <c r="A501" i="1"/>
  <c r="D500" i="1"/>
  <c r="C500" i="1"/>
  <c r="B500" i="1"/>
  <c r="A500" i="1"/>
  <c r="D499" i="1"/>
  <c r="C499" i="1"/>
  <c r="B499" i="1"/>
  <c r="A499" i="1"/>
  <c r="D498" i="1"/>
  <c r="C498" i="1"/>
  <c r="B498" i="1"/>
  <c r="A498" i="1"/>
  <c r="D497" i="1"/>
  <c r="C497" i="1"/>
  <c r="B497" i="1"/>
  <c r="A497" i="1"/>
  <c r="D496" i="1"/>
  <c r="C496" i="1"/>
  <c r="B496" i="1"/>
  <c r="A496" i="1"/>
  <c r="D495" i="1"/>
  <c r="C495" i="1"/>
  <c r="B495" i="1"/>
  <c r="A495" i="1"/>
  <c r="E494" i="1"/>
  <c r="D494" i="1"/>
  <c r="C494" i="1"/>
  <c r="B494" i="1"/>
  <c r="A494" i="1"/>
  <c r="E493" i="1"/>
  <c r="D493" i="1"/>
  <c r="C493" i="1"/>
  <c r="B493" i="1"/>
  <c r="A493" i="1"/>
  <c r="E492" i="1"/>
  <c r="D492" i="1"/>
  <c r="C492" i="1"/>
  <c r="B492" i="1"/>
  <c r="A492" i="1"/>
  <c r="E491" i="1"/>
  <c r="D491" i="1"/>
  <c r="C491" i="1"/>
  <c r="B491" i="1"/>
  <c r="A491" i="1"/>
  <c r="D490" i="1"/>
  <c r="C490" i="1"/>
  <c r="B490" i="1"/>
  <c r="A490" i="1"/>
  <c r="D489" i="1"/>
  <c r="C489" i="1"/>
  <c r="B489" i="1"/>
  <c r="A489" i="1"/>
  <c r="D488" i="1"/>
  <c r="C488" i="1"/>
  <c r="B488" i="1"/>
  <c r="A488" i="1"/>
  <c r="E487" i="1"/>
  <c r="D487" i="1"/>
  <c r="C487" i="1"/>
  <c r="B487" i="1"/>
  <c r="A487" i="1"/>
  <c r="D486" i="1"/>
  <c r="C486" i="1"/>
  <c r="B486" i="1"/>
  <c r="A486" i="1"/>
  <c r="D485" i="1"/>
  <c r="C485" i="1"/>
  <c r="B485" i="1"/>
  <c r="A485" i="1"/>
  <c r="D484" i="1"/>
  <c r="C484" i="1"/>
  <c r="B484" i="1"/>
  <c r="A484" i="1"/>
  <c r="D483" i="1"/>
  <c r="C483" i="1"/>
  <c r="B483" i="1"/>
  <c r="A483" i="1"/>
  <c r="D482" i="1"/>
  <c r="C482" i="1"/>
  <c r="B482" i="1"/>
  <c r="A482" i="1"/>
  <c r="D481" i="1"/>
  <c r="C481" i="1"/>
  <c r="B481" i="1"/>
  <c r="A481" i="1"/>
  <c r="D480" i="1"/>
  <c r="C480" i="1"/>
  <c r="B480" i="1"/>
  <c r="A480" i="1"/>
  <c r="D479" i="1"/>
  <c r="C479" i="1"/>
  <c r="B479" i="1"/>
  <c r="A479" i="1"/>
  <c r="D478" i="1"/>
  <c r="C478" i="1"/>
  <c r="B478" i="1"/>
  <c r="A478" i="1"/>
  <c r="D477" i="1"/>
  <c r="C477" i="1"/>
  <c r="B477" i="1"/>
  <c r="A477" i="1"/>
  <c r="D476" i="1"/>
  <c r="C476" i="1"/>
  <c r="B476" i="1"/>
  <c r="A476" i="1"/>
  <c r="D475" i="1"/>
  <c r="C475" i="1"/>
  <c r="B475" i="1"/>
  <c r="A475" i="1"/>
  <c r="E474" i="1"/>
  <c r="D474" i="1"/>
  <c r="C474" i="1"/>
  <c r="B474" i="1"/>
  <c r="A474" i="1"/>
  <c r="D473" i="1"/>
  <c r="C473" i="1"/>
  <c r="B473" i="1"/>
  <c r="A473" i="1"/>
  <c r="D472" i="1"/>
  <c r="C472" i="1"/>
  <c r="B472" i="1"/>
  <c r="A472" i="1"/>
  <c r="D471" i="1"/>
  <c r="C471" i="1"/>
  <c r="B471" i="1"/>
  <c r="A471" i="1"/>
  <c r="E470" i="1"/>
  <c r="D470" i="1"/>
  <c r="C470" i="1"/>
  <c r="B470" i="1"/>
  <c r="A470" i="1"/>
  <c r="D469" i="1"/>
  <c r="C469" i="1"/>
  <c r="B469" i="1"/>
  <c r="A469" i="1"/>
  <c r="D468" i="1"/>
  <c r="C468" i="1"/>
  <c r="B468" i="1"/>
  <c r="A468" i="1"/>
  <c r="D467" i="1"/>
  <c r="C467" i="1"/>
  <c r="B467" i="1"/>
  <c r="A467" i="1"/>
  <c r="E466" i="1"/>
  <c r="D466" i="1"/>
  <c r="C466" i="1"/>
  <c r="B466" i="1"/>
  <c r="A466" i="1"/>
  <c r="E465" i="1"/>
  <c r="D465" i="1"/>
  <c r="C465" i="1"/>
  <c r="B465" i="1"/>
  <c r="A465" i="1"/>
  <c r="E464" i="1"/>
  <c r="D464" i="1"/>
  <c r="C464" i="1"/>
  <c r="B464" i="1"/>
  <c r="A464" i="1"/>
  <c r="D463" i="1"/>
  <c r="C463" i="1"/>
  <c r="B463" i="1"/>
  <c r="A463" i="1"/>
  <c r="D462" i="1"/>
  <c r="C462" i="1"/>
  <c r="B462" i="1"/>
  <c r="A462" i="1"/>
  <c r="D461" i="1"/>
  <c r="C461" i="1"/>
  <c r="B461" i="1"/>
  <c r="A461" i="1"/>
  <c r="D460" i="1"/>
  <c r="C460" i="1"/>
  <c r="B460" i="1"/>
  <c r="A460" i="1"/>
  <c r="D459" i="1"/>
  <c r="C459" i="1"/>
  <c r="B459" i="1"/>
  <c r="A459" i="1"/>
  <c r="D458" i="1"/>
  <c r="C458" i="1"/>
  <c r="B458" i="1"/>
  <c r="A458" i="1"/>
  <c r="D457" i="1"/>
  <c r="C457" i="1"/>
  <c r="B457" i="1"/>
  <c r="A457" i="1"/>
  <c r="D456" i="1"/>
  <c r="C456" i="1"/>
  <c r="B456" i="1"/>
  <c r="A456" i="1"/>
  <c r="E455" i="1"/>
  <c r="D455" i="1"/>
  <c r="C455" i="1"/>
  <c r="B455" i="1"/>
  <c r="A455" i="1"/>
  <c r="F454" i="1"/>
  <c r="D454" i="1"/>
  <c r="C454" i="1"/>
  <c r="B454" i="1"/>
  <c r="A454" i="1"/>
  <c r="E453" i="1"/>
  <c r="D453" i="1"/>
  <c r="C453" i="1"/>
  <c r="B453" i="1"/>
  <c r="A453" i="1"/>
  <c r="E452" i="1"/>
  <c r="D452" i="1"/>
  <c r="C452" i="1"/>
  <c r="B452" i="1"/>
  <c r="A452" i="1"/>
  <c r="F451" i="1"/>
  <c r="E451" i="1"/>
  <c r="D451" i="1"/>
  <c r="C451" i="1"/>
  <c r="B451" i="1"/>
  <c r="A451" i="1"/>
  <c r="D450" i="1"/>
  <c r="C450" i="1"/>
  <c r="B450" i="1"/>
  <c r="A450" i="1"/>
  <c r="D449" i="1"/>
  <c r="C449" i="1"/>
  <c r="B449" i="1"/>
  <c r="A449" i="1"/>
  <c r="D448" i="1"/>
  <c r="C448" i="1"/>
  <c r="B448" i="1"/>
  <c r="A448" i="1"/>
  <c r="D447" i="1"/>
  <c r="C447" i="1"/>
  <c r="B447" i="1"/>
  <c r="A447" i="1"/>
  <c r="E446" i="1"/>
  <c r="D446" i="1"/>
  <c r="C446" i="1"/>
  <c r="B446" i="1"/>
  <c r="A446" i="1"/>
  <c r="D445" i="1"/>
  <c r="C445" i="1"/>
  <c r="B445" i="1"/>
  <c r="A445" i="1"/>
  <c r="D444" i="1"/>
  <c r="C444" i="1"/>
  <c r="B444" i="1"/>
  <c r="A444" i="1"/>
  <c r="E443" i="1"/>
  <c r="D443" i="1"/>
  <c r="C443" i="1"/>
  <c r="B443" i="1"/>
  <c r="A443" i="1"/>
  <c r="E442" i="1"/>
  <c r="D442" i="1"/>
  <c r="C442" i="1"/>
  <c r="B442" i="1"/>
  <c r="A442" i="1"/>
  <c r="E441" i="1"/>
  <c r="D441" i="1"/>
  <c r="C441" i="1"/>
  <c r="B441" i="1"/>
  <c r="A441" i="1"/>
  <c r="D440" i="1"/>
  <c r="C440" i="1"/>
  <c r="B440" i="1"/>
  <c r="A440" i="1"/>
  <c r="D439" i="1"/>
  <c r="C439" i="1"/>
  <c r="B439" i="1"/>
  <c r="A439" i="1"/>
  <c r="D438" i="1"/>
  <c r="C438" i="1"/>
  <c r="B438" i="1"/>
  <c r="A438" i="1"/>
  <c r="D437" i="1"/>
  <c r="C437" i="1"/>
  <c r="B437" i="1"/>
  <c r="A437" i="1"/>
  <c r="D436" i="1"/>
  <c r="C436" i="1"/>
  <c r="B436" i="1"/>
  <c r="A436" i="1"/>
  <c r="E435" i="1"/>
  <c r="D435" i="1"/>
  <c r="C435" i="1"/>
  <c r="B435" i="1"/>
  <c r="A435" i="1"/>
  <c r="F434" i="1"/>
  <c r="D434" i="1"/>
  <c r="C434" i="1"/>
  <c r="B434" i="1"/>
  <c r="A434" i="1"/>
  <c r="D433" i="1"/>
  <c r="C433" i="1"/>
  <c r="B433" i="1"/>
  <c r="A433" i="1"/>
  <c r="D432" i="1"/>
  <c r="C432" i="1"/>
  <c r="B432" i="1"/>
  <c r="A432" i="1"/>
  <c r="D431" i="1"/>
  <c r="C431" i="1"/>
  <c r="B431" i="1"/>
  <c r="A431" i="1"/>
  <c r="D430" i="1"/>
  <c r="C430" i="1"/>
  <c r="B430" i="1"/>
  <c r="A430" i="1"/>
  <c r="E429" i="1"/>
  <c r="D429" i="1"/>
  <c r="C429" i="1"/>
  <c r="B429" i="1"/>
  <c r="A429" i="1"/>
  <c r="E428" i="1"/>
  <c r="D428" i="1"/>
  <c r="C428" i="1"/>
  <c r="B428" i="1"/>
  <c r="A428" i="1"/>
  <c r="D427" i="1"/>
  <c r="C427" i="1"/>
  <c r="B427" i="1"/>
  <c r="A427" i="1"/>
  <c r="F426" i="1"/>
  <c r="D426" i="1"/>
  <c r="C426" i="1"/>
  <c r="B426" i="1"/>
  <c r="A426" i="1"/>
  <c r="F425" i="1"/>
  <c r="E425" i="1"/>
  <c r="D425" i="1"/>
  <c r="C425" i="1"/>
  <c r="B425" i="1"/>
  <c r="A425" i="1"/>
  <c r="E424" i="1"/>
  <c r="D424" i="1"/>
  <c r="C424" i="1"/>
  <c r="B424" i="1"/>
  <c r="A424" i="1"/>
  <c r="E423" i="1"/>
  <c r="D423" i="1"/>
  <c r="C423" i="1"/>
  <c r="B423" i="1"/>
  <c r="A423" i="1"/>
  <c r="E422" i="1"/>
  <c r="D422" i="1"/>
  <c r="C422" i="1"/>
  <c r="B422" i="1"/>
  <c r="A422" i="1"/>
  <c r="F421" i="1"/>
  <c r="E421" i="1"/>
  <c r="D421" i="1"/>
  <c r="C421" i="1"/>
  <c r="B421" i="1"/>
  <c r="A421" i="1"/>
  <c r="F420" i="1"/>
  <c r="D420" i="1"/>
  <c r="C420" i="1"/>
  <c r="B420" i="1"/>
  <c r="A420" i="1"/>
  <c r="D419" i="1"/>
  <c r="C419" i="1"/>
  <c r="B419" i="1"/>
  <c r="A419" i="1"/>
  <c r="D418" i="1"/>
  <c r="C418" i="1"/>
  <c r="B418" i="1"/>
  <c r="A418" i="1"/>
  <c r="E417" i="1"/>
  <c r="D417" i="1"/>
  <c r="C417" i="1"/>
  <c r="B417" i="1"/>
  <c r="A417" i="1"/>
  <c r="D416" i="1"/>
  <c r="C416" i="1"/>
  <c r="B416" i="1"/>
  <c r="A416" i="1"/>
  <c r="D415" i="1"/>
  <c r="C415" i="1"/>
  <c r="B415" i="1"/>
  <c r="A415" i="1"/>
  <c r="D414" i="1"/>
  <c r="C414" i="1"/>
  <c r="B414" i="1"/>
  <c r="A414" i="1"/>
  <c r="D413" i="1"/>
  <c r="C413" i="1"/>
  <c r="B413" i="1"/>
  <c r="A413" i="1"/>
  <c r="D412" i="1"/>
  <c r="C412" i="1"/>
  <c r="B412" i="1"/>
  <c r="A412" i="1"/>
  <c r="E411" i="1"/>
  <c r="D411" i="1"/>
  <c r="C411" i="1"/>
  <c r="B411" i="1"/>
  <c r="A411" i="1"/>
  <c r="D410" i="1"/>
  <c r="C410" i="1"/>
  <c r="B410" i="1"/>
  <c r="A410" i="1"/>
  <c r="D409" i="1"/>
  <c r="C409" i="1"/>
  <c r="B409" i="1"/>
  <c r="A409" i="1"/>
  <c r="D408" i="1"/>
  <c r="C408" i="1"/>
  <c r="B408" i="1"/>
  <c r="A408" i="1"/>
  <c r="D407" i="1"/>
  <c r="C407" i="1"/>
  <c r="B407" i="1"/>
  <c r="A407" i="1"/>
  <c r="D406" i="1"/>
  <c r="C406" i="1"/>
  <c r="B406" i="1"/>
  <c r="A406" i="1"/>
  <c r="D405" i="1"/>
  <c r="C405" i="1"/>
  <c r="B405" i="1"/>
  <c r="A405" i="1"/>
  <c r="D404" i="1"/>
  <c r="C404" i="1"/>
  <c r="B404" i="1"/>
  <c r="A404" i="1"/>
  <c r="D403" i="1"/>
  <c r="C403" i="1"/>
  <c r="B403" i="1"/>
  <c r="A403" i="1"/>
  <c r="D402" i="1"/>
  <c r="C402" i="1"/>
  <c r="B402" i="1"/>
  <c r="A402" i="1"/>
  <c r="D401" i="1"/>
  <c r="C401" i="1"/>
  <c r="B401" i="1"/>
  <c r="A401" i="1"/>
  <c r="D400" i="1"/>
  <c r="C400" i="1"/>
  <c r="B400" i="1"/>
  <c r="A400" i="1"/>
  <c r="E399" i="1"/>
  <c r="D399" i="1"/>
  <c r="C399" i="1"/>
  <c r="B399" i="1"/>
  <c r="A399" i="1"/>
  <c r="D398" i="1"/>
  <c r="C398" i="1"/>
  <c r="B398" i="1"/>
  <c r="A398" i="1"/>
  <c r="D397" i="1"/>
  <c r="C397" i="1"/>
  <c r="B397" i="1"/>
  <c r="A397" i="1"/>
  <c r="D396" i="1"/>
  <c r="C396" i="1"/>
  <c r="B396" i="1"/>
  <c r="A396" i="1"/>
  <c r="D395" i="1"/>
  <c r="C395" i="1"/>
  <c r="B395" i="1"/>
  <c r="A395" i="1"/>
  <c r="D394" i="1"/>
  <c r="C394" i="1"/>
  <c r="B394" i="1"/>
  <c r="A394" i="1"/>
  <c r="D393" i="1"/>
  <c r="C393" i="1"/>
  <c r="B393" i="1"/>
  <c r="A393" i="1"/>
  <c r="D392" i="1"/>
  <c r="C392" i="1"/>
  <c r="B392" i="1"/>
  <c r="A392" i="1"/>
  <c r="D391" i="1"/>
  <c r="C391" i="1"/>
  <c r="B391" i="1"/>
  <c r="A391" i="1"/>
  <c r="D390" i="1"/>
  <c r="C390" i="1"/>
  <c r="B390" i="1"/>
  <c r="A390" i="1"/>
  <c r="D389" i="1"/>
  <c r="C389" i="1"/>
  <c r="B389" i="1"/>
  <c r="A389" i="1"/>
  <c r="D388" i="1"/>
  <c r="C388" i="1"/>
  <c r="B388" i="1"/>
  <c r="A388" i="1"/>
  <c r="D387" i="1"/>
  <c r="C387" i="1"/>
  <c r="B387" i="1"/>
  <c r="A387" i="1"/>
  <c r="D386" i="1"/>
  <c r="C386" i="1"/>
  <c r="B386" i="1"/>
  <c r="A386" i="1"/>
  <c r="E385" i="1"/>
  <c r="D385" i="1"/>
  <c r="C385" i="1"/>
  <c r="B385" i="1"/>
  <c r="A385" i="1"/>
  <c r="D384" i="1"/>
  <c r="C384" i="1"/>
  <c r="B384" i="1"/>
  <c r="A384" i="1"/>
  <c r="D383" i="1"/>
  <c r="C383" i="1"/>
  <c r="B383" i="1"/>
  <c r="A383" i="1"/>
  <c r="D382" i="1"/>
  <c r="C382" i="1"/>
  <c r="B382" i="1"/>
  <c r="A382" i="1"/>
  <c r="D381" i="1"/>
  <c r="C381" i="1"/>
  <c r="B381" i="1"/>
  <c r="A381" i="1"/>
  <c r="D380" i="1"/>
  <c r="C380" i="1"/>
  <c r="B380" i="1"/>
  <c r="A380" i="1"/>
  <c r="D379" i="1"/>
  <c r="C379" i="1"/>
  <c r="B379" i="1"/>
  <c r="A379" i="1"/>
  <c r="D378" i="1"/>
  <c r="C378" i="1"/>
  <c r="B378" i="1"/>
  <c r="A378" i="1"/>
  <c r="D377" i="1"/>
  <c r="C377" i="1"/>
  <c r="B377" i="1"/>
  <c r="A377" i="1"/>
  <c r="D376" i="1"/>
  <c r="C376" i="1"/>
  <c r="B376" i="1"/>
  <c r="A376" i="1"/>
  <c r="D375" i="1"/>
  <c r="C375" i="1"/>
  <c r="B375" i="1"/>
  <c r="A375" i="1"/>
  <c r="D374" i="1"/>
  <c r="C374" i="1"/>
  <c r="B374" i="1"/>
  <c r="A374" i="1"/>
  <c r="D373" i="1"/>
  <c r="C373" i="1"/>
  <c r="B373" i="1"/>
  <c r="A373" i="1"/>
  <c r="D372" i="1"/>
  <c r="C372" i="1"/>
  <c r="B372" i="1"/>
  <c r="A372" i="1"/>
  <c r="E371" i="1"/>
  <c r="D371" i="1"/>
  <c r="C371" i="1"/>
  <c r="B371" i="1"/>
  <c r="A371" i="1"/>
  <c r="E370" i="1"/>
  <c r="D370" i="1"/>
  <c r="C370" i="1"/>
  <c r="B370" i="1"/>
  <c r="A370" i="1"/>
  <c r="E369" i="1"/>
  <c r="D369" i="1"/>
  <c r="C369" i="1"/>
  <c r="B369" i="1"/>
  <c r="A369" i="1"/>
  <c r="E368" i="1"/>
  <c r="D368" i="1"/>
  <c r="C368" i="1"/>
  <c r="B368" i="1"/>
  <c r="A368" i="1"/>
  <c r="E367" i="1"/>
  <c r="D367" i="1"/>
  <c r="C367" i="1"/>
  <c r="B367" i="1"/>
  <c r="A367" i="1"/>
  <c r="E366" i="1"/>
  <c r="D366" i="1"/>
  <c r="C366" i="1"/>
  <c r="B366" i="1"/>
  <c r="A366" i="1"/>
  <c r="E365" i="1"/>
  <c r="D365" i="1"/>
  <c r="C365" i="1"/>
  <c r="B365" i="1"/>
  <c r="A365" i="1"/>
  <c r="E364" i="1"/>
  <c r="D364" i="1"/>
  <c r="C364" i="1"/>
  <c r="B364" i="1"/>
  <c r="A364" i="1"/>
  <c r="E363" i="1"/>
  <c r="D363" i="1"/>
  <c r="C363" i="1"/>
  <c r="B363" i="1"/>
  <c r="A363" i="1"/>
  <c r="E362" i="1"/>
  <c r="D362" i="1"/>
  <c r="C362" i="1"/>
  <c r="B362" i="1"/>
  <c r="A362" i="1"/>
  <c r="E361" i="1"/>
  <c r="D361" i="1"/>
  <c r="C361" i="1"/>
  <c r="B361" i="1"/>
  <c r="A361" i="1"/>
  <c r="E360" i="1"/>
  <c r="D360" i="1"/>
  <c r="C360" i="1"/>
  <c r="B360" i="1"/>
  <c r="A360" i="1"/>
  <c r="E359" i="1"/>
  <c r="D359" i="1"/>
  <c r="C359" i="1"/>
  <c r="B359" i="1"/>
  <c r="A359" i="1"/>
  <c r="E358" i="1"/>
  <c r="D358" i="1"/>
  <c r="C358" i="1"/>
  <c r="B358" i="1"/>
  <c r="A358" i="1"/>
  <c r="E357" i="1"/>
  <c r="D357" i="1"/>
  <c r="C357" i="1"/>
  <c r="B357" i="1"/>
  <c r="A357" i="1"/>
  <c r="E356" i="1"/>
  <c r="D356" i="1"/>
  <c r="C356" i="1"/>
  <c r="B356" i="1"/>
  <c r="A356" i="1"/>
  <c r="E355" i="1"/>
  <c r="D355" i="1"/>
  <c r="C355" i="1"/>
  <c r="B355" i="1"/>
  <c r="A355" i="1"/>
  <c r="E354" i="1"/>
  <c r="D354" i="1"/>
  <c r="C354" i="1"/>
  <c r="B354" i="1"/>
  <c r="A354" i="1"/>
  <c r="E353" i="1"/>
  <c r="D353" i="1"/>
  <c r="C353" i="1"/>
  <c r="B353" i="1"/>
  <c r="A353" i="1"/>
  <c r="E352" i="1"/>
  <c r="D352" i="1"/>
  <c r="C352" i="1"/>
  <c r="B352" i="1"/>
  <c r="A352" i="1"/>
  <c r="E351" i="1"/>
  <c r="D351" i="1"/>
  <c r="C351" i="1"/>
  <c r="B351" i="1"/>
  <c r="A351" i="1"/>
  <c r="F350" i="1"/>
  <c r="E350" i="1"/>
  <c r="D350" i="1"/>
  <c r="C350" i="1"/>
  <c r="B350" i="1"/>
  <c r="A350" i="1"/>
  <c r="E349" i="1"/>
  <c r="D349" i="1"/>
  <c r="C349" i="1"/>
  <c r="B349" i="1"/>
  <c r="A349" i="1"/>
  <c r="E348" i="1"/>
  <c r="D348" i="1"/>
  <c r="C348" i="1"/>
  <c r="B348" i="1"/>
  <c r="A348" i="1"/>
  <c r="E347" i="1"/>
  <c r="D347" i="1"/>
  <c r="C347" i="1"/>
  <c r="B347" i="1"/>
  <c r="A347" i="1"/>
  <c r="E346" i="1"/>
  <c r="D346" i="1"/>
  <c r="C346" i="1"/>
  <c r="B346" i="1"/>
  <c r="A346" i="1"/>
  <c r="E345" i="1"/>
  <c r="D345" i="1"/>
  <c r="C345" i="1"/>
  <c r="B345" i="1"/>
  <c r="A345" i="1"/>
  <c r="E344" i="1"/>
  <c r="D344" i="1"/>
  <c r="C344" i="1"/>
  <c r="B344" i="1"/>
  <c r="A344" i="1"/>
  <c r="E343" i="1"/>
  <c r="D343" i="1"/>
  <c r="C343" i="1"/>
  <c r="B343" i="1"/>
  <c r="A343" i="1"/>
  <c r="E342" i="1"/>
  <c r="D342" i="1"/>
  <c r="C342" i="1"/>
  <c r="B342" i="1"/>
  <c r="A342" i="1"/>
  <c r="E341" i="1"/>
  <c r="D341" i="1"/>
  <c r="C341" i="1"/>
  <c r="B341" i="1"/>
  <c r="A341" i="1"/>
  <c r="F340" i="1"/>
  <c r="E340" i="1"/>
  <c r="D340" i="1"/>
  <c r="C340" i="1"/>
  <c r="B340" i="1"/>
  <c r="A340" i="1"/>
  <c r="E339" i="1"/>
  <c r="D339" i="1"/>
  <c r="C339" i="1"/>
  <c r="B339" i="1"/>
  <c r="A339" i="1"/>
  <c r="E338" i="1"/>
  <c r="D338" i="1"/>
  <c r="C338" i="1"/>
  <c r="B338" i="1"/>
  <c r="A338" i="1"/>
  <c r="E337" i="1"/>
  <c r="D337" i="1"/>
  <c r="C337" i="1"/>
  <c r="B337" i="1"/>
  <c r="A337" i="1"/>
  <c r="E336" i="1"/>
  <c r="D336" i="1"/>
  <c r="C336" i="1"/>
  <c r="B336" i="1"/>
  <c r="A336" i="1"/>
  <c r="E335" i="1"/>
  <c r="D335" i="1"/>
  <c r="C335" i="1"/>
  <c r="B335" i="1"/>
  <c r="A335" i="1"/>
  <c r="E334" i="1"/>
  <c r="D334" i="1"/>
  <c r="C334" i="1"/>
  <c r="B334" i="1"/>
  <c r="A334" i="1"/>
  <c r="E333" i="1"/>
  <c r="D333" i="1"/>
  <c r="C333" i="1"/>
  <c r="B333" i="1"/>
  <c r="A333" i="1"/>
  <c r="E332" i="1"/>
  <c r="D332" i="1"/>
  <c r="C332" i="1"/>
  <c r="B332" i="1"/>
  <c r="A332" i="1"/>
  <c r="E331" i="1"/>
  <c r="D331" i="1"/>
  <c r="C331" i="1"/>
  <c r="B331" i="1"/>
  <c r="A331" i="1"/>
  <c r="E330" i="1"/>
  <c r="D330" i="1"/>
  <c r="C330" i="1"/>
  <c r="B330" i="1"/>
  <c r="A330" i="1"/>
  <c r="E329" i="1"/>
  <c r="D329" i="1"/>
  <c r="C329" i="1"/>
  <c r="B329" i="1"/>
  <c r="A329" i="1"/>
  <c r="E328" i="1"/>
  <c r="D328" i="1"/>
  <c r="C328" i="1"/>
  <c r="B328" i="1"/>
  <c r="A328" i="1"/>
  <c r="E327" i="1"/>
  <c r="D327" i="1"/>
  <c r="C327" i="1"/>
  <c r="B327" i="1"/>
  <c r="A327" i="1"/>
  <c r="E326" i="1"/>
  <c r="D326" i="1"/>
  <c r="C326" i="1"/>
  <c r="B326" i="1"/>
  <c r="A326" i="1"/>
  <c r="E325" i="1"/>
  <c r="D325" i="1"/>
  <c r="C325" i="1"/>
  <c r="B325" i="1"/>
  <c r="A325" i="1"/>
  <c r="E324" i="1"/>
  <c r="D324" i="1"/>
  <c r="C324" i="1"/>
  <c r="B324" i="1"/>
  <c r="A324" i="1"/>
  <c r="E323" i="1"/>
  <c r="D323" i="1"/>
  <c r="C323" i="1"/>
  <c r="B323" i="1"/>
  <c r="A323" i="1"/>
  <c r="F322" i="1"/>
  <c r="E322" i="1"/>
  <c r="D322" i="1"/>
  <c r="C322" i="1"/>
  <c r="B322" i="1"/>
  <c r="A322" i="1"/>
  <c r="F321" i="1"/>
  <c r="E321" i="1"/>
  <c r="D321" i="1"/>
  <c r="C321" i="1"/>
  <c r="B321" i="1"/>
  <c r="A321" i="1"/>
  <c r="E320" i="1"/>
  <c r="D320" i="1"/>
  <c r="C320" i="1"/>
  <c r="B320" i="1"/>
  <c r="A320" i="1"/>
  <c r="F319" i="1"/>
  <c r="E319" i="1"/>
  <c r="D319" i="1"/>
  <c r="C319" i="1"/>
  <c r="B319" i="1"/>
  <c r="A319" i="1"/>
  <c r="F318" i="1"/>
  <c r="E318" i="1"/>
  <c r="D318" i="1"/>
  <c r="C318" i="1"/>
  <c r="B318" i="1"/>
  <c r="A318" i="1"/>
  <c r="E317" i="1"/>
  <c r="D317" i="1"/>
  <c r="C317" i="1"/>
  <c r="B317" i="1"/>
  <c r="A317" i="1"/>
  <c r="E316" i="1"/>
  <c r="D316" i="1"/>
  <c r="C316" i="1"/>
  <c r="B316" i="1"/>
  <c r="A316" i="1"/>
  <c r="E315" i="1"/>
  <c r="D315" i="1"/>
  <c r="C315" i="1"/>
  <c r="B315" i="1"/>
  <c r="A315" i="1"/>
  <c r="E314" i="1"/>
  <c r="D314" i="1"/>
  <c r="C314" i="1"/>
  <c r="B314" i="1"/>
  <c r="A314" i="1"/>
  <c r="E313" i="1"/>
  <c r="D313" i="1"/>
  <c r="C313" i="1"/>
  <c r="B313" i="1"/>
  <c r="A313" i="1"/>
  <c r="E312" i="1"/>
  <c r="D312" i="1"/>
  <c r="C312" i="1"/>
  <c r="B312" i="1"/>
  <c r="A312" i="1"/>
  <c r="E311" i="1"/>
  <c r="D311" i="1"/>
  <c r="C311" i="1"/>
  <c r="B311" i="1"/>
  <c r="A311" i="1"/>
  <c r="E310" i="1"/>
  <c r="D310" i="1"/>
  <c r="C310" i="1"/>
  <c r="B310" i="1"/>
  <c r="A310" i="1"/>
  <c r="E309" i="1"/>
  <c r="D309" i="1"/>
  <c r="C309" i="1"/>
  <c r="B309" i="1"/>
  <c r="A309" i="1"/>
  <c r="E308" i="1"/>
  <c r="D308" i="1"/>
  <c r="C308" i="1"/>
  <c r="B308" i="1"/>
  <c r="A308" i="1"/>
  <c r="E307" i="1"/>
  <c r="D307" i="1"/>
  <c r="C307" i="1"/>
  <c r="B307" i="1"/>
  <c r="A307" i="1"/>
  <c r="E306" i="1"/>
  <c r="D306" i="1"/>
  <c r="C306" i="1"/>
  <c r="B306" i="1"/>
  <c r="A306" i="1"/>
  <c r="E305" i="1"/>
  <c r="D305" i="1"/>
  <c r="C305" i="1"/>
  <c r="B305" i="1"/>
  <c r="A305" i="1"/>
  <c r="J304" i="1"/>
  <c r="I304" i="1"/>
  <c r="H304" i="1"/>
  <c r="E304" i="1"/>
  <c r="D304" i="1"/>
  <c r="C304" i="1"/>
  <c r="B304" i="1"/>
  <c r="A304" i="1"/>
  <c r="J303" i="1"/>
  <c r="I303" i="1"/>
  <c r="H303" i="1"/>
  <c r="E303" i="1"/>
  <c r="D303" i="1"/>
  <c r="C303" i="1"/>
  <c r="B303" i="1"/>
  <c r="A303" i="1"/>
  <c r="J302" i="1"/>
  <c r="I302" i="1"/>
  <c r="H302" i="1"/>
  <c r="E302" i="1"/>
  <c r="D302" i="1"/>
  <c r="C302" i="1"/>
  <c r="B302" i="1"/>
  <c r="A302" i="1"/>
  <c r="J301" i="1"/>
  <c r="I301" i="1"/>
  <c r="H301" i="1"/>
  <c r="E301" i="1"/>
  <c r="D301" i="1"/>
  <c r="C301" i="1"/>
  <c r="B301" i="1"/>
  <c r="A301" i="1"/>
  <c r="J300" i="1"/>
  <c r="I300" i="1"/>
  <c r="H300" i="1"/>
  <c r="E300" i="1"/>
  <c r="D300" i="1"/>
  <c r="C300" i="1"/>
  <c r="B300" i="1"/>
  <c r="A300" i="1"/>
  <c r="J299" i="1"/>
  <c r="I299" i="1"/>
  <c r="H299" i="1"/>
  <c r="E299" i="1"/>
  <c r="D299" i="1"/>
  <c r="C299" i="1"/>
  <c r="B299" i="1"/>
  <c r="A299" i="1"/>
  <c r="J298" i="1"/>
  <c r="I298" i="1"/>
  <c r="H298" i="1"/>
  <c r="E298" i="1"/>
  <c r="D298" i="1"/>
  <c r="C298" i="1"/>
  <c r="B298" i="1"/>
  <c r="A298" i="1"/>
  <c r="J297" i="1"/>
  <c r="I297" i="1"/>
  <c r="H297" i="1"/>
  <c r="E297" i="1"/>
  <c r="D297" i="1"/>
  <c r="C297" i="1"/>
  <c r="B297" i="1"/>
  <c r="A297" i="1"/>
  <c r="J296" i="1"/>
  <c r="I296" i="1"/>
  <c r="H296" i="1"/>
  <c r="E296" i="1"/>
  <c r="D296" i="1"/>
  <c r="C296" i="1"/>
  <c r="B296" i="1"/>
  <c r="A296" i="1"/>
  <c r="J295" i="1"/>
  <c r="I295" i="1"/>
  <c r="H295" i="1"/>
  <c r="E295" i="1"/>
  <c r="D295" i="1"/>
  <c r="C295" i="1"/>
  <c r="B295" i="1"/>
  <c r="A295" i="1"/>
  <c r="J294" i="1"/>
  <c r="I294" i="1"/>
  <c r="H294" i="1"/>
  <c r="E294" i="1"/>
  <c r="D294" i="1"/>
  <c r="C294" i="1"/>
  <c r="B294" i="1"/>
  <c r="A294" i="1"/>
  <c r="J293" i="1"/>
  <c r="I293" i="1"/>
  <c r="H293" i="1"/>
  <c r="E293" i="1"/>
  <c r="D293" i="1"/>
  <c r="C293" i="1"/>
  <c r="B293" i="1"/>
  <c r="A293" i="1"/>
  <c r="J292" i="1"/>
  <c r="I292" i="1"/>
  <c r="H292" i="1"/>
  <c r="E292" i="1"/>
  <c r="D292" i="1"/>
  <c r="C292" i="1"/>
  <c r="B292" i="1"/>
  <c r="A292" i="1"/>
  <c r="J291" i="1"/>
  <c r="I291" i="1"/>
  <c r="H291" i="1"/>
  <c r="E291" i="1"/>
  <c r="D291" i="1"/>
  <c r="C291" i="1"/>
  <c r="B291" i="1"/>
  <c r="A291" i="1"/>
  <c r="J290" i="1"/>
  <c r="I290" i="1"/>
  <c r="H290" i="1"/>
  <c r="E290" i="1"/>
  <c r="D290" i="1"/>
  <c r="C290" i="1"/>
  <c r="B290" i="1"/>
  <c r="A290" i="1"/>
  <c r="J289" i="1"/>
  <c r="I289" i="1"/>
  <c r="H289" i="1"/>
  <c r="E289" i="1"/>
  <c r="D289" i="1"/>
  <c r="C289" i="1"/>
  <c r="B289" i="1"/>
  <c r="A289" i="1"/>
  <c r="J288" i="1"/>
  <c r="I288" i="1"/>
  <c r="H288" i="1"/>
  <c r="E288" i="1"/>
  <c r="D288" i="1"/>
  <c r="C288" i="1"/>
  <c r="B288" i="1"/>
  <c r="A288" i="1"/>
  <c r="J287" i="1"/>
  <c r="I287" i="1"/>
  <c r="H287" i="1"/>
  <c r="E287" i="1"/>
  <c r="D287" i="1"/>
  <c r="C287" i="1"/>
  <c r="B287" i="1"/>
  <c r="A287" i="1"/>
  <c r="J286" i="1"/>
  <c r="I286" i="1"/>
  <c r="H286" i="1"/>
  <c r="E286" i="1"/>
  <c r="D286" i="1"/>
  <c r="C286" i="1"/>
  <c r="B286" i="1"/>
  <c r="A286" i="1"/>
  <c r="J285" i="1"/>
  <c r="I285" i="1"/>
  <c r="H285" i="1"/>
  <c r="E285" i="1"/>
  <c r="D285" i="1"/>
  <c r="C285" i="1"/>
  <c r="B285" i="1"/>
  <c r="A285" i="1"/>
  <c r="J284" i="1"/>
  <c r="I284" i="1"/>
  <c r="H284" i="1"/>
  <c r="E284" i="1"/>
  <c r="D284" i="1"/>
  <c r="C284" i="1"/>
  <c r="B284" i="1"/>
  <c r="A284" i="1"/>
  <c r="J283" i="1"/>
  <c r="I283" i="1"/>
  <c r="H283" i="1"/>
  <c r="E283" i="1"/>
  <c r="D283" i="1"/>
  <c r="C283" i="1"/>
  <c r="B283" i="1"/>
  <c r="A283" i="1"/>
  <c r="J282" i="1"/>
  <c r="I282" i="1"/>
  <c r="H282" i="1"/>
  <c r="E282" i="1"/>
  <c r="D282" i="1"/>
  <c r="C282" i="1"/>
  <c r="B282" i="1"/>
  <c r="A282" i="1"/>
  <c r="J281" i="1"/>
  <c r="I281" i="1"/>
  <c r="H281" i="1"/>
  <c r="E281" i="1"/>
  <c r="D281" i="1"/>
  <c r="C281" i="1"/>
  <c r="B281" i="1"/>
  <c r="A281" i="1"/>
  <c r="J280" i="1"/>
  <c r="I280" i="1"/>
  <c r="H280" i="1"/>
  <c r="E280" i="1"/>
  <c r="D280" i="1"/>
  <c r="C280" i="1"/>
  <c r="B280" i="1"/>
  <c r="A280" i="1"/>
  <c r="J279" i="1"/>
  <c r="I279" i="1"/>
  <c r="H279" i="1"/>
  <c r="E279" i="1"/>
  <c r="D279" i="1"/>
  <c r="C279" i="1"/>
  <c r="B279" i="1"/>
  <c r="A279" i="1"/>
  <c r="J278" i="1"/>
  <c r="I278" i="1"/>
  <c r="H278" i="1"/>
  <c r="E278" i="1"/>
  <c r="D278" i="1"/>
  <c r="C278" i="1"/>
  <c r="B278" i="1"/>
  <c r="A278" i="1"/>
  <c r="J277" i="1"/>
  <c r="I277" i="1"/>
  <c r="H277" i="1"/>
  <c r="E277" i="1"/>
  <c r="D277" i="1"/>
  <c r="C277" i="1"/>
  <c r="B277" i="1"/>
  <c r="A277" i="1"/>
  <c r="J276" i="1"/>
  <c r="I276" i="1"/>
  <c r="H276" i="1"/>
  <c r="F276" i="1"/>
  <c r="E276" i="1"/>
  <c r="D276" i="1"/>
  <c r="C276" i="1"/>
  <c r="B276" i="1"/>
  <c r="A276" i="1"/>
  <c r="J275" i="1"/>
  <c r="I275" i="1"/>
  <c r="H275" i="1"/>
  <c r="E275" i="1"/>
  <c r="D275" i="1"/>
  <c r="C275" i="1"/>
  <c r="B275" i="1"/>
  <c r="A275" i="1"/>
  <c r="J274" i="1"/>
  <c r="I274" i="1"/>
  <c r="H274" i="1"/>
  <c r="E274" i="1"/>
  <c r="D274" i="1"/>
  <c r="C274" i="1"/>
  <c r="B274" i="1"/>
  <c r="A274" i="1"/>
  <c r="J273" i="1"/>
  <c r="I273" i="1"/>
  <c r="H273" i="1"/>
  <c r="E273" i="1"/>
  <c r="D273" i="1"/>
  <c r="C273" i="1"/>
  <c r="B273" i="1"/>
  <c r="A273" i="1"/>
  <c r="J272" i="1"/>
  <c r="I272" i="1"/>
  <c r="H272" i="1"/>
  <c r="E272" i="1"/>
  <c r="D272" i="1"/>
  <c r="C272" i="1"/>
  <c r="B272" i="1"/>
  <c r="A272" i="1"/>
  <c r="J271" i="1"/>
  <c r="I271" i="1"/>
  <c r="H271" i="1"/>
  <c r="E271" i="1"/>
  <c r="D271" i="1"/>
  <c r="C271" i="1"/>
  <c r="B271" i="1"/>
  <c r="A271" i="1"/>
  <c r="J270" i="1"/>
  <c r="I270" i="1"/>
  <c r="H270" i="1"/>
  <c r="E270" i="1"/>
  <c r="D270" i="1"/>
  <c r="C270" i="1"/>
  <c r="B270" i="1"/>
  <c r="A270" i="1"/>
  <c r="J269" i="1"/>
  <c r="I269" i="1"/>
  <c r="H269" i="1"/>
  <c r="E269" i="1"/>
  <c r="D269" i="1"/>
  <c r="C269" i="1"/>
  <c r="B269" i="1"/>
  <c r="A269" i="1"/>
  <c r="J268" i="1"/>
  <c r="I268" i="1"/>
  <c r="H268" i="1"/>
  <c r="F268" i="1"/>
  <c r="E268" i="1"/>
  <c r="D268" i="1"/>
  <c r="C268" i="1"/>
  <c r="B268" i="1"/>
  <c r="A268" i="1"/>
  <c r="J267" i="1"/>
  <c r="I267" i="1"/>
  <c r="H267" i="1"/>
  <c r="E267" i="1"/>
  <c r="D267" i="1"/>
  <c r="C267" i="1"/>
  <c r="B267" i="1"/>
  <c r="A267" i="1"/>
  <c r="J266" i="1"/>
  <c r="I266" i="1"/>
  <c r="H266" i="1"/>
  <c r="E266" i="1"/>
  <c r="D266" i="1"/>
  <c r="C266" i="1"/>
  <c r="B266" i="1"/>
  <c r="A266" i="1"/>
  <c r="J265" i="1"/>
  <c r="I265" i="1"/>
  <c r="H265" i="1"/>
  <c r="E265" i="1"/>
  <c r="D265" i="1"/>
  <c r="C265" i="1"/>
  <c r="B265" i="1"/>
  <c r="A265" i="1"/>
  <c r="J264" i="1"/>
  <c r="I264" i="1"/>
  <c r="H264" i="1"/>
  <c r="E264" i="1"/>
  <c r="D264" i="1"/>
  <c r="C264" i="1"/>
  <c r="B264" i="1"/>
  <c r="A264" i="1"/>
  <c r="J263" i="1"/>
  <c r="I263" i="1"/>
  <c r="H263" i="1"/>
  <c r="E263" i="1"/>
  <c r="D263" i="1"/>
  <c r="C263" i="1"/>
  <c r="B263" i="1"/>
  <c r="A263" i="1"/>
  <c r="J262" i="1"/>
  <c r="I262" i="1"/>
  <c r="H262" i="1"/>
  <c r="E262" i="1"/>
  <c r="D262" i="1"/>
  <c r="C262" i="1"/>
  <c r="B262" i="1"/>
  <c r="A262" i="1"/>
  <c r="J261" i="1"/>
  <c r="I261" i="1"/>
  <c r="H261" i="1"/>
  <c r="E261" i="1"/>
  <c r="D261" i="1"/>
  <c r="C261" i="1"/>
  <c r="B261" i="1"/>
  <c r="A261" i="1"/>
  <c r="J260" i="1"/>
  <c r="I260" i="1"/>
  <c r="H260" i="1"/>
  <c r="E260" i="1"/>
  <c r="D260" i="1"/>
  <c r="C260" i="1"/>
  <c r="B260" i="1"/>
  <c r="A260" i="1"/>
  <c r="J259" i="1"/>
  <c r="I259" i="1"/>
  <c r="H259" i="1"/>
  <c r="E259" i="1"/>
  <c r="D259" i="1"/>
  <c r="C259" i="1"/>
  <c r="B259" i="1"/>
  <c r="A259" i="1"/>
  <c r="J258" i="1"/>
  <c r="I258" i="1"/>
  <c r="H258" i="1"/>
  <c r="E258" i="1"/>
  <c r="D258" i="1"/>
  <c r="C258" i="1"/>
  <c r="B258" i="1"/>
  <c r="A258" i="1"/>
  <c r="J257" i="1"/>
  <c r="I257" i="1"/>
  <c r="H257" i="1"/>
  <c r="F257" i="1"/>
  <c r="E257" i="1"/>
  <c r="D257" i="1"/>
  <c r="C257" i="1"/>
  <c r="B257" i="1"/>
  <c r="A257" i="1"/>
  <c r="J256" i="1"/>
  <c r="I256" i="1"/>
  <c r="H256" i="1"/>
  <c r="E256" i="1"/>
  <c r="D256" i="1"/>
  <c r="C256" i="1"/>
  <c r="B256" i="1"/>
  <c r="A256" i="1"/>
  <c r="J255" i="1"/>
  <c r="I255" i="1"/>
  <c r="H255" i="1"/>
  <c r="E255" i="1"/>
  <c r="D255" i="1"/>
  <c r="C255" i="1"/>
  <c r="B255" i="1"/>
  <c r="A255" i="1"/>
  <c r="J254" i="1"/>
  <c r="I254" i="1"/>
  <c r="H254" i="1"/>
  <c r="E254" i="1"/>
  <c r="D254" i="1"/>
  <c r="C254" i="1"/>
  <c r="B254" i="1"/>
  <c r="A254" i="1"/>
  <c r="J253" i="1"/>
  <c r="I253" i="1"/>
  <c r="H253" i="1"/>
  <c r="F253" i="1"/>
  <c r="E253" i="1"/>
  <c r="D253" i="1"/>
  <c r="C253" i="1"/>
  <c r="B253" i="1"/>
  <c r="A253" i="1"/>
  <c r="J252" i="1"/>
  <c r="I252" i="1"/>
  <c r="H252" i="1"/>
  <c r="E252" i="1"/>
  <c r="D252" i="1"/>
  <c r="C252" i="1"/>
  <c r="B252" i="1"/>
  <c r="A252" i="1"/>
  <c r="J251" i="1"/>
  <c r="I251" i="1"/>
  <c r="H251" i="1"/>
  <c r="E251" i="1"/>
  <c r="D251" i="1"/>
  <c r="C251" i="1"/>
  <c r="B251" i="1"/>
  <c r="A251" i="1"/>
  <c r="J250" i="1"/>
  <c r="I250" i="1"/>
  <c r="H250" i="1"/>
  <c r="E250" i="1"/>
  <c r="D250" i="1"/>
  <c r="C250" i="1"/>
  <c r="B250" i="1"/>
  <c r="A250" i="1"/>
  <c r="J249" i="1"/>
  <c r="I249" i="1"/>
  <c r="H249" i="1"/>
  <c r="E249" i="1"/>
  <c r="D249" i="1"/>
  <c r="C249" i="1"/>
  <c r="B249" i="1"/>
  <c r="A249" i="1"/>
  <c r="J248" i="1"/>
  <c r="I248" i="1"/>
  <c r="H248" i="1"/>
  <c r="F248" i="1"/>
  <c r="E248" i="1"/>
  <c r="D248" i="1"/>
  <c r="C248" i="1"/>
  <c r="B248" i="1"/>
  <c r="A248" i="1"/>
  <c r="J247" i="1"/>
  <c r="I247" i="1"/>
  <c r="H247" i="1"/>
  <c r="E247" i="1"/>
  <c r="D247" i="1"/>
  <c r="C247" i="1"/>
  <c r="B247" i="1"/>
  <c r="A247" i="1"/>
  <c r="J246" i="1"/>
  <c r="I246" i="1"/>
  <c r="H246" i="1"/>
  <c r="E246" i="1"/>
  <c r="D246" i="1"/>
  <c r="C246" i="1"/>
  <c r="B246" i="1"/>
  <c r="A246" i="1"/>
  <c r="J245" i="1"/>
  <c r="I245" i="1"/>
  <c r="H245" i="1"/>
  <c r="E245" i="1"/>
  <c r="D245" i="1"/>
  <c r="C245" i="1"/>
  <c r="B245" i="1"/>
  <c r="A245" i="1"/>
  <c r="J244" i="1"/>
  <c r="I244" i="1"/>
  <c r="H244" i="1"/>
  <c r="E244" i="1"/>
  <c r="D244" i="1"/>
  <c r="C244" i="1"/>
  <c r="B244" i="1"/>
  <c r="A244" i="1"/>
  <c r="J243" i="1"/>
  <c r="I243" i="1"/>
  <c r="H243" i="1"/>
  <c r="E243" i="1"/>
  <c r="D243" i="1"/>
  <c r="C243" i="1"/>
  <c r="B243" i="1"/>
  <c r="A243" i="1"/>
  <c r="J242" i="1"/>
  <c r="I242" i="1"/>
  <c r="H242" i="1"/>
  <c r="E242" i="1"/>
  <c r="D242" i="1"/>
  <c r="C242" i="1"/>
  <c r="B242" i="1"/>
  <c r="A242" i="1"/>
  <c r="J241" i="1"/>
  <c r="I241" i="1"/>
  <c r="H241" i="1"/>
  <c r="E241" i="1"/>
  <c r="D241" i="1"/>
  <c r="C241" i="1"/>
  <c r="B241" i="1"/>
  <c r="A241" i="1"/>
  <c r="J240" i="1"/>
  <c r="I240" i="1"/>
  <c r="H240" i="1"/>
  <c r="E240" i="1"/>
  <c r="D240" i="1"/>
  <c r="C240" i="1"/>
  <c r="B240" i="1"/>
  <c r="A240" i="1"/>
  <c r="J239" i="1"/>
  <c r="I239" i="1"/>
  <c r="H239" i="1"/>
  <c r="E239" i="1"/>
  <c r="D239" i="1"/>
  <c r="C239" i="1"/>
  <c r="B239" i="1"/>
  <c r="A239" i="1"/>
  <c r="J238" i="1"/>
  <c r="I238" i="1"/>
  <c r="H238" i="1"/>
  <c r="E238" i="1"/>
  <c r="D238" i="1"/>
  <c r="C238" i="1"/>
  <c r="B238" i="1"/>
  <c r="A238" i="1"/>
  <c r="J237" i="1"/>
  <c r="I237" i="1"/>
  <c r="H237" i="1"/>
  <c r="E237" i="1"/>
  <c r="D237" i="1"/>
  <c r="C237" i="1"/>
  <c r="B237" i="1"/>
  <c r="A237" i="1"/>
  <c r="J236" i="1"/>
  <c r="I236" i="1"/>
  <c r="H236" i="1"/>
  <c r="E236" i="1"/>
  <c r="D236" i="1"/>
  <c r="C236" i="1"/>
  <c r="B236" i="1"/>
  <c r="A236" i="1"/>
  <c r="J235" i="1"/>
  <c r="I235" i="1"/>
  <c r="H235" i="1"/>
  <c r="E235" i="1"/>
  <c r="D235" i="1"/>
  <c r="C235" i="1"/>
  <c r="B235" i="1"/>
  <c r="A235" i="1"/>
  <c r="J234" i="1"/>
  <c r="I234" i="1"/>
  <c r="H234" i="1"/>
  <c r="E234" i="1"/>
  <c r="D234" i="1"/>
  <c r="C234" i="1"/>
  <c r="B234" i="1"/>
  <c r="A234" i="1"/>
  <c r="J233" i="1"/>
  <c r="I233" i="1"/>
  <c r="H233" i="1"/>
  <c r="D233" i="1"/>
  <c r="C233" i="1"/>
  <c r="B233" i="1"/>
  <c r="A233" i="1"/>
  <c r="J232" i="1"/>
  <c r="I232" i="1"/>
  <c r="H232" i="1"/>
  <c r="E232" i="1"/>
  <c r="D232" i="1"/>
  <c r="C232" i="1"/>
  <c r="B232" i="1"/>
  <c r="A232" i="1"/>
  <c r="J231" i="1"/>
  <c r="I231" i="1"/>
  <c r="H231" i="1"/>
  <c r="E231" i="1"/>
  <c r="D231" i="1"/>
  <c r="C231" i="1"/>
  <c r="B231" i="1"/>
  <c r="A231" i="1"/>
  <c r="J230" i="1"/>
  <c r="I230" i="1"/>
  <c r="H230" i="1"/>
  <c r="E230" i="1"/>
  <c r="D230" i="1"/>
  <c r="C230" i="1"/>
  <c r="B230" i="1"/>
  <c r="A230" i="1"/>
  <c r="J229" i="1"/>
  <c r="I229" i="1"/>
  <c r="H229" i="1"/>
  <c r="E229" i="1"/>
  <c r="D229" i="1"/>
  <c r="C229" i="1"/>
  <c r="B229" i="1"/>
  <c r="A229" i="1"/>
  <c r="J228" i="1"/>
  <c r="I228" i="1"/>
  <c r="H228" i="1"/>
  <c r="E228" i="1"/>
  <c r="D228" i="1"/>
  <c r="C228" i="1"/>
  <c r="B228" i="1"/>
  <c r="A228" i="1"/>
  <c r="J227" i="1"/>
  <c r="I227" i="1"/>
  <c r="H227" i="1"/>
  <c r="E227" i="1"/>
  <c r="D227" i="1"/>
  <c r="C227" i="1"/>
  <c r="B227" i="1"/>
  <c r="A227" i="1"/>
  <c r="J226" i="1"/>
  <c r="I226" i="1"/>
  <c r="H226" i="1"/>
  <c r="E226" i="1"/>
  <c r="D226" i="1"/>
  <c r="C226" i="1"/>
  <c r="B226" i="1"/>
  <c r="A226" i="1"/>
  <c r="J225" i="1"/>
  <c r="I225" i="1"/>
  <c r="H225" i="1"/>
  <c r="D225" i="1"/>
  <c r="C225" i="1"/>
  <c r="B225" i="1"/>
  <c r="A225" i="1"/>
  <c r="J224" i="1"/>
  <c r="I224" i="1"/>
  <c r="H224" i="1"/>
  <c r="D224" i="1"/>
  <c r="C224" i="1"/>
  <c r="B224" i="1"/>
  <c r="A224" i="1"/>
  <c r="J223" i="1"/>
  <c r="I223" i="1"/>
  <c r="H223" i="1"/>
  <c r="E223" i="1"/>
  <c r="D223" i="1"/>
  <c r="C223" i="1"/>
  <c r="B223" i="1"/>
  <c r="A223" i="1"/>
  <c r="J222" i="1"/>
  <c r="I222" i="1"/>
  <c r="H222" i="1"/>
  <c r="F222" i="1"/>
  <c r="E222" i="1"/>
  <c r="D222" i="1"/>
  <c r="C222" i="1"/>
  <c r="B222" i="1"/>
  <c r="A222" i="1"/>
  <c r="J221" i="1"/>
  <c r="I221" i="1"/>
  <c r="H221" i="1"/>
  <c r="F221" i="1"/>
  <c r="E221" i="1"/>
  <c r="D221" i="1"/>
  <c r="C221" i="1"/>
  <c r="B221" i="1"/>
  <c r="A221" i="1"/>
  <c r="J220" i="1"/>
  <c r="I220" i="1"/>
  <c r="H220" i="1"/>
  <c r="F220" i="1"/>
  <c r="E220" i="1"/>
  <c r="D220" i="1"/>
  <c r="C220" i="1"/>
  <c r="B220" i="1"/>
  <c r="A220" i="1"/>
  <c r="J219" i="1"/>
  <c r="I219" i="1"/>
  <c r="H219" i="1"/>
  <c r="F219" i="1"/>
  <c r="E219" i="1"/>
  <c r="D219" i="1"/>
  <c r="C219" i="1"/>
  <c r="B219" i="1"/>
  <c r="A219" i="1"/>
  <c r="J218" i="1"/>
  <c r="I218" i="1"/>
  <c r="H218" i="1"/>
  <c r="F218" i="1"/>
  <c r="E218" i="1"/>
  <c r="D218" i="1"/>
  <c r="C218" i="1"/>
  <c r="B218" i="1"/>
  <c r="A218" i="1"/>
  <c r="J217" i="1"/>
  <c r="I217" i="1"/>
  <c r="H217" i="1"/>
  <c r="F217" i="1"/>
  <c r="E217" i="1"/>
  <c r="D217" i="1"/>
  <c r="C217" i="1"/>
  <c r="B217" i="1"/>
  <c r="A217" i="1"/>
  <c r="J216" i="1"/>
  <c r="I216" i="1"/>
  <c r="H216" i="1"/>
  <c r="F216" i="1"/>
  <c r="E216" i="1"/>
  <c r="D216" i="1"/>
  <c r="C216" i="1"/>
  <c r="B216" i="1"/>
  <c r="A216" i="1"/>
  <c r="J215" i="1"/>
  <c r="I215" i="1"/>
  <c r="H215" i="1"/>
  <c r="F215" i="1"/>
  <c r="E215" i="1"/>
  <c r="D215" i="1"/>
  <c r="C215" i="1"/>
  <c r="B215" i="1"/>
  <c r="A215" i="1"/>
  <c r="J214" i="1"/>
  <c r="I214" i="1"/>
  <c r="H214" i="1"/>
  <c r="F214" i="1"/>
  <c r="E214" i="1"/>
  <c r="D214" i="1"/>
  <c r="C214" i="1"/>
  <c r="B214" i="1"/>
  <c r="A214" i="1"/>
  <c r="J213" i="1"/>
  <c r="I213" i="1"/>
  <c r="H213" i="1"/>
  <c r="F213" i="1"/>
  <c r="E213" i="1"/>
  <c r="D213" i="1"/>
  <c r="C213" i="1"/>
  <c r="B213" i="1"/>
  <c r="A213" i="1"/>
  <c r="J212" i="1"/>
  <c r="I212" i="1"/>
  <c r="H212" i="1"/>
  <c r="F212" i="1"/>
  <c r="E212" i="1"/>
  <c r="D212" i="1"/>
  <c r="C212" i="1"/>
  <c r="B212" i="1"/>
  <c r="A212" i="1"/>
  <c r="J211" i="1"/>
  <c r="I211" i="1"/>
  <c r="H211" i="1"/>
  <c r="F211" i="1"/>
  <c r="E211" i="1"/>
  <c r="D211" i="1"/>
  <c r="C211" i="1"/>
  <c r="B211" i="1"/>
  <c r="A211" i="1"/>
  <c r="J210" i="1"/>
  <c r="I210" i="1"/>
  <c r="H210" i="1"/>
  <c r="F210" i="1"/>
  <c r="E210" i="1"/>
  <c r="D210" i="1"/>
  <c r="C210" i="1"/>
  <c r="B210" i="1"/>
  <c r="A210" i="1"/>
  <c r="J209" i="1"/>
  <c r="I209" i="1"/>
  <c r="H209" i="1"/>
  <c r="F209" i="1"/>
  <c r="E209" i="1"/>
  <c r="D209" i="1"/>
  <c r="C209" i="1"/>
  <c r="B209" i="1"/>
  <c r="A209" i="1"/>
  <c r="J208" i="1"/>
  <c r="I208" i="1"/>
  <c r="H208" i="1"/>
  <c r="F208" i="1"/>
  <c r="E208" i="1"/>
  <c r="D208" i="1"/>
  <c r="C208" i="1"/>
  <c r="B208" i="1"/>
  <c r="A208" i="1"/>
  <c r="J207" i="1"/>
  <c r="I207" i="1"/>
  <c r="H207" i="1"/>
  <c r="F207" i="1"/>
  <c r="E207" i="1"/>
  <c r="D207" i="1"/>
  <c r="C207" i="1"/>
  <c r="B207" i="1"/>
  <c r="A207" i="1"/>
  <c r="J206" i="1"/>
  <c r="I206" i="1"/>
  <c r="H206" i="1"/>
  <c r="F206" i="1"/>
  <c r="E206" i="1"/>
  <c r="D206" i="1"/>
  <c r="C206" i="1"/>
  <c r="B206" i="1"/>
  <c r="A206" i="1"/>
  <c r="J205" i="1"/>
  <c r="I205" i="1"/>
  <c r="H205" i="1"/>
  <c r="F205" i="1"/>
  <c r="E205" i="1"/>
  <c r="D205" i="1"/>
  <c r="C205" i="1"/>
  <c r="B205" i="1"/>
  <c r="A205" i="1"/>
  <c r="J204" i="1"/>
  <c r="I204" i="1"/>
  <c r="H204" i="1"/>
  <c r="F204" i="1"/>
  <c r="E204" i="1"/>
  <c r="D204" i="1"/>
  <c r="C204" i="1"/>
  <c r="B204" i="1"/>
  <c r="A204" i="1"/>
  <c r="J203" i="1"/>
  <c r="I203" i="1"/>
  <c r="H203" i="1"/>
  <c r="F203" i="1"/>
  <c r="E203" i="1"/>
  <c r="D203" i="1"/>
  <c r="C203" i="1"/>
  <c r="B203" i="1"/>
  <c r="A203" i="1"/>
  <c r="J202" i="1"/>
  <c r="I202" i="1"/>
  <c r="H202" i="1"/>
  <c r="F202" i="1"/>
  <c r="E202" i="1"/>
  <c r="D202" i="1"/>
  <c r="C202" i="1"/>
  <c r="B202" i="1"/>
  <c r="A202" i="1"/>
  <c r="J201" i="1"/>
  <c r="I201" i="1"/>
  <c r="H201" i="1"/>
  <c r="F201" i="1"/>
  <c r="E201" i="1"/>
  <c r="D201" i="1"/>
  <c r="C201" i="1"/>
  <c r="B201" i="1"/>
  <c r="A201" i="1"/>
  <c r="J200" i="1"/>
  <c r="I200" i="1"/>
  <c r="H200" i="1"/>
  <c r="F200" i="1"/>
  <c r="E200" i="1"/>
  <c r="D200" i="1"/>
  <c r="C200" i="1"/>
  <c r="B200" i="1"/>
  <c r="A200" i="1"/>
  <c r="J199" i="1"/>
  <c r="I199" i="1"/>
  <c r="H199" i="1"/>
  <c r="F199" i="1"/>
  <c r="E199" i="1"/>
  <c r="D199" i="1"/>
  <c r="C199" i="1"/>
  <c r="B199" i="1"/>
  <c r="A199" i="1"/>
  <c r="J198" i="1"/>
  <c r="I198" i="1"/>
  <c r="H198" i="1"/>
  <c r="F198" i="1"/>
  <c r="E198" i="1"/>
  <c r="D198" i="1"/>
  <c r="C198" i="1"/>
  <c r="B198" i="1"/>
  <c r="A198" i="1"/>
  <c r="J197" i="1"/>
  <c r="I197" i="1"/>
  <c r="H197" i="1"/>
  <c r="F197" i="1"/>
  <c r="E197" i="1"/>
  <c r="D197" i="1"/>
  <c r="C197" i="1"/>
  <c r="B197" i="1"/>
  <c r="A197" i="1"/>
  <c r="J196" i="1"/>
  <c r="I196" i="1"/>
  <c r="H196" i="1"/>
  <c r="F196" i="1"/>
  <c r="E196" i="1"/>
  <c r="D196" i="1"/>
  <c r="C196" i="1"/>
  <c r="B196" i="1"/>
  <c r="A196" i="1"/>
  <c r="J195" i="1"/>
  <c r="I195" i="1"/>
  <c r="H195" i="1"/>
  <c r="F195" i="1"/>
  <c r="E195" i="1"/>
  <c r="D195" i="1"/>
  <c r="C195" i="1"/>
  <c r="B195" i="1"/>
  <c r="A195" i="1"/>
  <c r="J194" i="1"/>
  <c r="I194" i="1"/>
  <c r="H194" i="1"/>
  <c r="F194" i="1"/>
  <c r="E194" i="1"/>
  <c r="D194" i="1"/>
  <c r="C194" i="1"/>
  <c r="B194" i="1"/>
  <c r="A194" i="1"/>
  <c r="J193" i="1"/>
  <c r="I193" i="1"/>
  <c r="H193" i="1"/>
  <c r="F193" i="1"/>
  <c r="E193" i="1"/>
  <c r="D193" i="1"/>
  <c r="C193" i="1"/>
  <c r="B193" i="1"/>
  <c r="A193" i="1"/>
  <c r="J192" i="1"/>
  <c r="I192" i="1"/>
  <c r="H192" i="1"/>
  <c r="F192" i="1"/>
  <c r="E192" i="1"/>
  <c r="D192" i="1"/>
  <c r="C192" i="1"/>
  <c r="B192" i="1"/>
  <c r="A192" i="1"/>
  <c r="J191" i="1"/>
  <c r="I191" i="1"/>
  <c r="H191" i="1"/>
  <c r="F191" i="1"/>
  <c r="E191" i="1"/>
  <c r="D191" i="1"/>
  <c r="C191" i="1"/>
  <c r="B191" i="1"/>
  <c r="A191" i="1"/>
  <c r="J190" i="1"/>
  <c r="I190" i="1"/>
  <c r="H190" i="1"/>
  <c r="D190" i="1"/>
  <c r="C190" i="1"/>
  <c r="B190" i="1"/>
  <c r="A190" i="1"/>
  <c r="J189" i="1"/>
  <c r="I189" i="1"/>
  <c r="H189" i="1"/>
  <c r="D189" i="1"/>
  <c r="C189" i="1"/>
  <c r="B189" i="1"/>
  <c r="A189" i="1"/>
  <c r="J188" i="1"/>
  <c r="I188" i="1"/>
  <c r="H188" i="1"/>
  <c r="E188" i="1"/>
  <c r="D188" i="1"/>
  <c r="C188" i="1"/>
  <c r="B188" i="1"/>
  <c r="A188" i="1"/>
  <c r="J187" i="1"/>
  <c r="I187" i="1"/>
  <c r="H187" i="1"/>
  <c r="E187" i="1"/>
  <c r="D187" i="1"/>
  <c r="C187" i="1"/>
  <c r="B187" i="1"/>
  <c r="A187" i="1"/>
  <c r="J186" i="1"/>
  <c r="I186" i="1"/>
  <c r="H186" i="1"/>
  <c r="E186" i="1"/>
  <c r="D186" i="1"/>
  <c r="C186" i="1"/>
  <c r="B186" i="1"/>
  <c r="A186" i="1"/>
  <c r="J185" i="1"/>
  <c r="I185" i="1"/>
  <c r="H185" i="1"/>
  <c r="D185" i="1"/>
  <c r="C185" i="1"/>
  <c r="B185" i="1"/>
  <c r="A185" i="1"/>
  <c r="J184" i="1"/>
  <c r="I184" i="1"/>
  <c r="H184" i="1"/>
  <c r="D184" i="1"/>
  <c r="C184" i="1"/>
  <c r="B184" i="1"/>
  <c r="A184" i="1"/>
  <c r="J183" i="1"/>
  <c r="I183" i="1"/>
  <c r="H183" i="1"/>
  <c r="D183" i="1"/>
  <c r="C183" i="1"/>
  <c r="B183" i="1"/>
  <c r="A183" i="1"/>
  <c r="J182" i="1"/>
  <c r="I182" i="1"/>
  <c r="H182" i="1"/>
  <c r="D182" i="1"/>
  <c r="C182" i="1"/>
  <c r="B182" i="1"/>
  <c r="A182" i="1"/>
  <c r="J181" i="1"/>
  <c r="I181" i="1"/>
  <c r="H181" i="1"/>
  <c r="E181" i="1"/>
  <c r="D181" i="1"/>
  <c r="C181" i="1"/>
  <c r="B181" i="1"/>
  <c r="A181" i="1"/>
  <c r="J180" i="1"/>
  <c r="I180" i="1"/>
  <c r="H180" i="1"/>
  <c r="E180" i="1"/>
  <c r="D180" i="1"/>
  <c r="C180" i="1"/>
  <c r="B180" i="1"/>
  <c r="A180" i="1"/>
  <c r="J179" i="1"/>
  <c r="I179" i="1"/>
  <c r="H179" i="1"/>
  <c r="E179" i="1"/>
  <c r="D179" i="1"/>
  <c r="C179" i="1"/>
  <c r="B179" i="1"/>
  <c r="A179" i="1"/>
  <c r="J178" i="1"/>
  <c r="I178" i="1"/>
  <c r="H178" i="1"/>
  <c r="D178" i="1"/>
  <c r="C178" i="1"/>
  <c r="B178" i="1"/>
  <c r="A178" i="1"/>
  <c r="J177" i="1"/>
  <c r="I177" i="1"/>
  <c r="H177" i="1"/>
  <c r="D177" i="1"/>
  <c r="C177" i="1"/>
  <c r="B177" i="1"/>
  <c r="A177" i="1"/>
  <c r="EP176" i="1"/>
  <c r="EO176" i="1"/>
  <c r="EN176" i="1"/>
  <c r="EM176" i="1"/>
  <c r="J176" i="1"/>
  <c r="I176" i="1"/>
  <c r="H176" i="1"/>
  <c r="D176" i="1"/>
  <c r="C176" i="1"/>
  <c r="B176" i="1"/>
  <c r="A176" i="1"/>
  <c r="EP175" i="1"/>
  <c r="EO175" i="1"/>
  <c r="EN175" i="1"/>
  <c r="EM175" i="1"/>
  <c r="J175" i="1"/>
  <c r="I175" i="1"/>
  <c r="H175" i="1"/>
  <c r="D175" i="1"/>
  <c r="C175" i="1"/>
  <c r="B175" i="1"/>
  <c r="A175" i="1"/>
  <c r="EP174" i="1"/>
  <c r="EO174" i="1"/>
  <c r="EN174" i="1"/>
  <c r="EM174" i="1"/>
  <c r="J174" i="1"/>
  <c r="I174" i="1"/>
  <c r="H174" i="1"/>
  <c r="D174" i="1"/>
  <c r="C174" i="1"/>
  <c r="B174" i="1"/>
  <c r="A174" i="1"/>
  <c r="EP173" i="1"/>
  <c r="EO173" i="1"/>
  <c r="EN173" i="1"/>
  <c r="EM173" i="1"/>
  <c r="J173" i="1"/>
  <c r="I173" i="1"/>
  <c r="H173" i="1"/>
  <c r="D173" i="1"/>
  <c r="C173" i="1"/>
  <c r="B173" i="1"/>
  <c r="A173" i="1"/>
  <c r="EP172" i="1"/>
  <c r="EO172" i="1"/>
  <c r="EN172" i="1"/>
  <c r="EM172" i="1"/>
  <c r="J172" i="1"/>
  <c r="I172" i="1"/>
  <c r="H172" i="1"/>
  <c r="D172" i="1"/>
  <c r="C172" i="1"/>
  <c r="B172" i="1"/>
  <c r="A172" i="1"/>
  <c r="EP171" i="1"/>
  <c r="EO171" i="1"/>
  <c r="EN171" i="1"/>
  <c r="EM171" i="1"/>
  <c r="J171" i="1"/>
  <c r="I171" i="1"/>
  <c r="H171" i="1"/>
  <c r="D171" i="1"/>
  <c r="C171" i="1"/>
  <c r="B171" i="1"/>
  <c r="A171" i="1"/>
  <c r="EP170" i="1"/>
  <c r="EO170" i="1"/>
  <c r="EN170" i="1"/>
  <c r="EM170" i="1"/>
  <c r="J170" i="1"/>
  <c r="I170" i="1"/>
  <c r="H170" i="1"/>
  <c r="D170" i="1"/>
  <c r="C170" i="1"/>
  <c r="B170" i="1"/>
  <c r="A170" i="1"/>
  <c r="EP169" i="1"/>
  <c r="EO169" i="1"/>
  <c r="EN169" i="1"/>
  <c r="EM169" i="1"/>
  <c r="J169" i="1"/>
  <c r="I169" i="1"/>
  <c r="H169" i="1"/>
  <c r="D169" i="1"/>
  <c r="C169" i="1"/>
  <c r="B169" i="1"/>
  <c r="A169" i="1"/>
  <c r="EP168" i="1"/>
  <c r="EO168" i="1"/>
  <c r="EN168" i="1"/>
  <c r="EM168" i="1"/>
  <c r="J168" i="1"/>
  <c r="I168" i="1"/>
  <c r="H168" i="1"/>
  <c r="D168" i="1"/>
  <c r="C168" i="1"/>
  <c r="B168" i="1"/>
  <c r="A168" i="1"/>
  <c r="EP167" i="1"/>
  <c r="EO167" i="1"/>
  <c r="EN167" i="1"/>
  <c r="EM167" i="1"/>
  <c r="J167" i="1"/>
  <c r="I167" i="1"/>
  <c r="H167" i="1"/>
  <c r="D167" i="1"/>
  <c r="C167" i="1"/>
  <c r="B167" i="1"/>
  <c r="A167" i="1"/>
  <c r="EP166" i="1"/>
  <c r="EO166" i="1"/>
  <c r="EN166" i="1"/>
  <c r="EM166" i="1"/>
  <c r="J166" i="1"/>
  <c r="I166" i="1"/>
  <c r="H166" i="1"/>
  <c r="E166" i="1"/>
  <c r="D166" i="1"/>
  <c r="C166" i="1"/>
  <c r="B166" i="1"/>
  <c r="A166" i="1"/>
  <c r="EP165" i="1"/>
  <c r="EO165" i="1"/>
  <c r="EN165" i="1"/>
  <c r="EM165" i="1"/>
  <c r="J165" i="1"/>
  <c r="I165" i="1"/>
  <c r="H165" i="1"/>
  <c r="E165" i="1"/>
  <c r="D165" i="1"/>
  <c r="C165" i="1"/>
  <c r="B165" i="1"/>
  <c r="A165" i="1"/>
  <c r="EP164" i="1"/>
  <c r="EO164" i="1"/>
  <c r="EN164" i="1"/>
  <c r="EM164" i="1"/>
  <c r="J164" i="1"/>
  <c r="I164" i="1"/>
  <c r="H164" i="1"/>
  <c r="D164" i="1"/>
  <c r="C164" i="1"/>
  <c r="B164" i="1"/>
  <c r="A164" i="1"/>
  <c r="EP163" i="1"/>
  <c r="EO163" i="1"/>
  <c r="EN163" i="1"/>
  <c r="EM163" i="1"/>
  <c r="J163" i="1"/>
  <c r="I163" i="1"/>
  <c r="H163" i="1"/>
  <c r="E163" i="1"/>
  <c r="D163" i="1"/>
  <c r="C163" i="1"/>
  <c r="B163" i="1"/>
  <c r="A163" i="1"/>
  <c r="EP162" i="1"/>
  <c r="EO162" i="1"/>
  <c r="EN162" i="1"/>
  <c r="EM162" i="1"/>
  <c r="J162" i="1"/>
  <c r="I162" i="1"/>
  <c r="H162" i="1"/>
  <c r="D162" i="1"/>
  <c r="C162" i="1"/>
  <c r="B162" i="1"/>
  <c r="A162" i="1"/>
  <c r="EP161" i="1"/>
  <c r="EO161" i="1"/>
  <c r="EN161" i="1"/>
  <c r="EM161" i="1"/>
  <c r="J161" i="1"/>
  <c r="I161" i="1"/>
  <c r="H161" i="1"/>
  <c r="D161" i="1"/>
  <c r="C161" i="1"/>
  <c r="B161" i="1"/>
  <c r="A161" i="1"/>
  <c r="EP160" i="1"/>
  <c r="EO160" i="1"/>
  <c r="EN160" i="1"/>
  <c r="EM160" i="1"/>
  <c r="J160" i="1"/>
  <c r="I160" i="1"/>
  <c r="H160" i="1"/>
  <c r="D160" i="1"/>
  <c r="C160" i="1"/>
  <c r="B160" i="1"/>
  <c r="A160" i="1"/>
  <c r="EP159" i="1"/>
  <c r="EO159" i="1"/>
  <c r="EN159" i="1"/>
  <c r="EM159" i="1"/>
  <c r="J159" i="1"/>
  <c r="I159" i="1"/>
  <c r="H159" i="1"/>
  <c r="D159" i="1"/>
  <c r="C159" i="1"/>
  <c r="B159" i="1"/>
  <c r="A159" i="1"/>
  <c r="EP158" i="1"/>
  <c r="EO158" i="1"/>
  <c r="EN158" i="1"/>
  <c r="EM158" i="1"/>
  <c r="J158" i="1"/>
  <c r="I158" i="1"/>
  <c r="H158" i="1"/>
  <c r="D158" i="1"/>
  <c r="C158" i="1"/>
  <c r="B158" i="1"/>
  <c r="A158" i="1"/>
  <c r="EP157" i="1"/>
  <c r="EO157" i="1"/>
  <c r="EN157" i="1"/>
  <c r="EM157" i="1"/>
  <c r="J157" i="1"/>
  <c r="I157" i="1"/>
  <c r="H157" i="1"/>
  <c r="D157" i="1"/>
  <c r="C157" i="1"/>
  <c r="B157" i="1"/>
  <c r="A157" i="1"/>
  <c r="EP156" i="1"/>
  <c r="EO156" i="1"/>
  <c r="EN156" i="1"/>
  <c r="EM156" i="1"/>
  <c r="J156" i="1"/>
  <c r="I156" i="1"/>
  <c r="H156" i="1"/>
  <c r="D156" i="1"/>
  <c r="C156" i="1"/>
  <c r="B156" i="1"/>
  <c r="A156" i="1"/>
  <c r="EP155" i="1"/>
  <c r="EO155" i="1"/>
  <c r="EN155" i="1"/>
  <c r="EM155" i="1"/>
  <c r="J155" i="1"/>
  <c r="I155" i="1"/>
  <c r="H155" i="1"/>
  <c r="E155" i="1"/>
  <c r="D155" i="1"/>
  <c r="ET155" i="1" s="1"/>
  <c r="C155" i="1"/>
  <c r="B155" i="1"/>
  <c r="A155" i="1"/>
  <c r="EP154" i="1"/>
  <c r="EO154" i="1"/>
  <c r="EN154" i="1"/>
  <c r="EM154" i="1"/>
  <c r="J154" i="1"/>
  <c r="I154" i="1"/>
  <c r="H154" i="1"/>
  <c r="E154" i="1"/>
  <c r="D154" i="1"/>
  <c r="C154" i="1"/>
  <c r="B154" i="1"/>
  <c r="A154" i="1"/>
  <c r="EP153" i="1"/>
  <c r="EO153" i="1"/>
  <c r="EN153" i="1"/>
  <c r="EM153" i="1"/>
  <c r="J153" i="1"/>
  <c r="I153" i="1"/>
  <c r="H153" i="1"/>
  <c r="D153" i="1"/>
  <c r="C153" i="1"/>
  <c r="B153" i="1"/>
  <c r="A153" i="1"/>
  <c r="EP152" i="1"/>
  <c r="EO152" i="1"/>
  <c r="EN152" i="1"/>
  <c r="EM152" i="1"/>
  <c r="J152" i="1"/>
  <c r="I152" i="1"/>
  <c r="H152" i="1"/>
  <c r="D152" i="1"/>
  <c r="ET152" i="1" s="1"/>
  <c r="C152" i="1"/>
  <c r="B152" i="1"/>
  <c r="A152" i="1"/>
  <c r="EP151" i="1"/>
  <c r="EO151" i="1"/>
  <c r="EN151" i="1"/>
  <c r="EM151" i="1"/>
  <c r="J151" i="1"/>
  <c r="I151" i="1"/>
  <c r="H151" i="1"/>
  <c r="D151" i="1"/>
  <c r="ET151" i="1" s="1"/>
  <c r="C151" i="1"/>
  <c r="B151" i="1"/>
  <c r="A151" i="1"/>
  <c r="EP150" i="1"/>
  <c r="EO150" i="1"/>
  <c r="EN150" i="1"/>
  <c r="EM150" i="1"/>
  <c r="J150" i="1"/>
  <c r="I150" i="1"/>
  <c r="H150" i="1"/>
  <c r="D150" i="1"/>
  <c r="ET150" i="1" s="1"/>
  <c r="C150" i="1"/>
  <c r="B150" i="1"/>
  <c r="A150" i="1"/>
  <c r="EP149" i="1"/>
  <c r="EO149" i="1"/>
  <c r="EN149" i="1"/>
  <c r="EM149" i="1"/>
  <c r="J149" i="1"/>
  <c r="I149" i="1"/>
  <c r="H149" i="1"/>
  <c r="D149" i="1"/>
  <c r="ET149" i="1" s="1"/>
  <c r="C149" i="1"/>
  <c r="B149" i="1"/>
  <c r="A149" i="1"/>
  <c r="EP148" i="1"/>
  <c r="EO148" i="1"/>
  <c r="EN148" i="1"/>
  <c r="EM148" i="1"/>
  <c r="J148" i="1"/>
  <c r="I148" i="1"/>
  <c r="H148" i="1"/>
  <c r="D148" i="1"/>
  <c r="ET148" i="1" s="1"/>
  <c r="C148" i="1"/>
  <c r="B148" i="1"/>
  <c r="A148" i="1"/>
  <c r="EP147" i="1"/>
  <c r="EO147" i="1"/>
  <c r="EN147" i="1"/>
  <c r="EM147" i="1"/>
  <c r="J147" i="1"/>
  <c r="I147" i="1"/>
  <c r="H147" i="1"/>
  <c r="E147" i="1"/>
  <c r="D147" i="1"/>
  <c r="C147" i="1"/>
  <c r="B147" i="1"/>
  <c r="A147" i="1"/>
  <c r="EP146" i="1"/>
  <c r="EO146" i="1"/>
  <c r="EN146" i="1"/>
  <c r="EM146" i="1"/>
  <c r="J146" i="1"/>
  <c r="I146" i="1"/>
  <c r="H146" i="1"/>
  <c r="D146" i="1"/>
  <c r="C146" i="1"/>
  <c r="B146" i="1"/>
  <c r="A146" i="1"/>
  <c r="EP145" i="1"/>
  <c r="EO145" i="1"/>
  <c r="EN145" i="1"/>
  <c r="EM145" i="1"/>
  <c r="J145" i="1"/>
  <c r="I145" i="1"/>
  <c r="H145" i="1"/>
  <c r="D145" i="1"/>
  <c r="ET145" i="1" s="1"/>
  <c r="C145" i="1"/>
  <c r="B145" i="1"/>
  <c r="A145" i="1"/>
  <c r="EP144" i="1"/>
  <c r="EO144" i="1"/>
  <c r="EN144" i="1"/>
  <c r="EM144" i="1"/>
  <c r="J144" i="1"/>
  <c r="I144" i="1"/>
  <c r="H144" i="1"/>
  <c r="E144" i="1"/>
  <c r="D144" i="1"/>
  <c r="ET144" i="1" s="1"/>
  <c r="C144" i="1"/>
  <c r="B144" i="1"/>
  <c r="A144" i="1"/>
  <c r="EP143" i="1"/>
  <c r="EO143" i="1"/>
  <c r="EN143" i="1"/>
  <c r="EM143" i="1"/>
  <c r="J143" i="1"/>
  <c r="I143" i="1"/>
  <c r="H143" i="1"/>
  <c r="E143" i="1"/>
  <c r="D143" i="1"/>
  <c r="ET143" i="1" s="1"/>
  <c r="C143" i="1"/>
  <c r="B143" i="1"/>
  <c r="A143" i="1"/>
  <c r="EP142" i="1"/>
  <c r="EO142" i="1"/>
  <c r="EN142" i="1"/>
  <c r="EM142" i="1"/>
  <c r="J142" i="1"/>
  <c r="I142" i="1"/>
  <c r="H142" i="1"/>
  <c r="D142" i="1"/>
  <c r="C142" i="1"/>
  <c r="B142" i="1"/>
  <c r="A142" i="1"/>
  <c r="EP141" i="1"/>
  <c r="EO141" i="1"/>
  <c r="EN141" i="1"/>
  <c r="EM141" i="1"/>
  <c r="J141" i="1"/>
  <c r="I141" i="1"/>
  <c r="H141" i="1"/>
  <c r="D141" i="1"/>
  <c r="ET141" i="1" s="1"/>
  <c r="C141" i="1"/>
  <c r="B141" i="1"/>
  <c r="A141" i="1"/>
  <c r="EP140" i="1"/>
  <c r="EO140" i="1"/>
  <c r="EN140" i="1"/>
  <c r="EM140" i="1"/>
  <c r="J140" i="1"/>
  <c r="I140" i="1"/>
  <c r="H140" i="1"/>
  <c r="E140" i="1"/>
  <c r="D140" i="1"/>
  <c r="C140" i="1"/>
  <c r="B140" i="1"/>
  <c r="A140" i="1"/>
  <c r="EP139" i="1"/>
  <c r="EO139" i="1"/>
  <c r="EN139" i="1"/>
  <c r="EM139" i="1"/>
  <c r="J139" i="1"/>
  <c r="I139" i="1"/>
  <c r="H139" i="1"/>
  <c r="D139" i="1"/>
  <c r="ET139" i="1" s="1"/>
  <c r="C139" i="1"/>
  <c r="B139" i="1"/>
  <c r="A139" i="1"/>
  <c r="EP138" i="1"/>
  <c r="EO138" i="1"/>
  <c r="EN138" i="1"/>
  <c r="EM138" i="1"/>
  <c r="J138" i="1"/>
  <c r="I138" i="1"/>
  <c r="H138" i="1"/>
  <c r="D138" i="1"/>
  <c r="ET138" i="1" s="1"/>
  <c r="C138" i="1"/>
  <c r="B138" i="1"/>
  <c r="A138" i="1"/>
  <c r="EP137" i="1"/>
  <c r="EO137" i="1"/>
  <c r="EN137" i="1"/>
  <c r="EM137" i="1"/>
  <c r="J137" i="1"/>
  <c r="I137" i="1"/>
  <c r="H137" i="1"/>
  <c r="E137" i="1"/>
  <c r="D137" i="1"/>
  <c r="C137" i="1"/>
  <c r="B137" i="1"/>
  <c r="A137" i="1"/>
  <c r="EP136" i="1"/>
  <c r="EO136" i="1"/>
  <c r="EN136" i="1"/>
  <c r="EM136" i="1"/>
  <c r="J136" i="1"/>
  <c r="I136" i="1"/>
  <c r="H136" i="1"/>
  <c r="E136" i="1"/>
  <c r="D136" i="1"/>
  <c r="ET136" i="1" s="1"/>
  <c r="C136" i="1"/>
  <c r="B136" i="1"/>
  <c r="A136" i="1"/>
  <c r="EP135" i="1"/>
  <c r="EO135" i="1"/>
  <c r="EN135" i="1"/>
  <c r="EM135" i="1"/>
  <c r="J135" i="1"/>
  <c r="I135" i="1"/>
  <c r="H135" i="1"/>
  <c r="E135" i="1"/>
  <c r="D135" i="1"/>
  <c r="ET135" i="1" s="1"/>
  <c r="C135" i="1"/>
  <c r="B135" i="1"/>
  <c r="A135" i="1"/>
  <c r="EP134" i="1"/>
  <c r="EO134" i="1"/>
  <c r="EN134" i="1"/>
  <c r="EM134" i="1"/>
  <c r="J134" i="1"/>
  <c r="I134" i="1"/>
  <c r="H134" i="1"/>
  <c r="D134" i="1"/>
  <c r="C134" i="1"/>
  <c r="B134" i="1"/>
  <c r="A134" i="1"/>
  <c r="EP133" i="1"/>
  <c r="EO133" i="1"/>
  <c r="EN133" i="1"/>
  <c r="EM133" i="1"/>
  <c r="J133" i="1"/>
  <c r="I133" i="1"/>
  <c r="H133" i="1"/>
  <c r="D133" i="1"/>
  <c r="C133" i="1"/>
  <c r="B133" i="1"/>
  <c r="A133" i="1"/>
  <c r="EP132" i="1"/>
  <c r="EO132" i="1"/>
  <c r="EN132" i="1"/>
  <c r="EM132" i="1"/>
  <c r="J132" i="1"/>
  <c r="I132" i="1"/>
  <c r="H132" i="1"/>
  <c r="E132" i="1"/>
  <c r="D132" i="1"/>
  <c r="C132" i="1"/>
  <c r="B132" i="1"/>
  <c r="A132" i="1"/>
  <c r="EP131" i="1"/>
  <c r="EO131" i="1"/>
  <c r="EN131" i="1"/>
  <c r="EM131" i="1"/>
  <c r="J131" i="1"/>
  <c r="I131" i="1"/>
  <c r="H131" i="1"/>
  <c r="D131" i="1"/>
  <c r="C131" i="1"/>
  <c r="B131" i="1"/>
  <c r="A131" i="1"/>
  <c r="EP130" i="1"/>
  <c r="EO130" i="1"/>
  <c r="EN130" i="1"/>
  <c r="EM130" i="1"/>
  <c r="J130" i="1"/>
  <c r="I130" i="1"/>
  <c r="H130" i="1"/>
  <c r="E130" i="1"/>
  <c r="D130" i="1"/>
  <c r="C130" i="1"/>
  <c r="B130" i="1"/>
  <c r="A130" i="1"/>
  <c r="EP129" i="1"/>
  <c r="EO129" i="1"/>
  <c r="EN129" i="1"/>
  <c r="EM129" i="1"/>
  <c r="J129" i="1"/>
  <c r="I129" i="1"/>
  <c r="H129" i="1"/>
  <c r="E129" i="1"/>
  <c r="D129" i="1"/>
  <c r="ET129" i="1" s="1"/>
  <c r="C129" i="1"/>
  <c r="B129" i="1"/>
  <c r="A129" i="1"/>
  <c r="EP128" i="1"/>
  <c r="EO128" i="1"/>
  <c r="EN128" i="1"/>
  <c r="EM128" i="1"/>
  <c r="J128" i="1"/>
  <c r="I128" i="1"/>
  <c r="H128" i="1"/>
  <c r="E128" i="1"/>
  <c r="D128" i="1"/>
  <c r="ET128" i="1" s="1"/>
  <c r="C128" i="1"/>
  <c r="B128" i="1"/>
  <c r="A128" i="1"/>
  <c r="EP127" i="1"/>
  <c r="EO127" i="1"/>
  <c r="EN127" i="1"/>
  <c r="EM127" i="1"/>
  <c r="J127" i="1"/>
  <c r="I127" i="1"/>
  <c r="H127" i="1"/>
  <c r="E127" i="1"/>
  <c r="D127" i="1"/>
  <c r="C127" i="1"/>
  <c r="B127" i="1"/>
  <c r="A127" i="1"/>
  <c r="EP126" i="1"/>
  <c r="EO126" i="1"/>
  <c r="EN126" i="1"/>
  <c r="EM126" i="1"/>
  <c r="J126" i="1"/>
  <c r="I126" i="1"/>
  <c r="H126" i="1"/>
  <c r="D126" i="1"/>
  <c r="ET126" i="1" s="1"/>
  <c r="C126" i="1"/>
  <c r="B126" i="1"/>
  <c r="A126" i="1"/>
  <c r="EP125" i="1"/>
  <c r="EO125" i="1"/>
  <c r="EN125" i="1"/>
  <c r="EM125" i="1"/>
  <c r="J125" i="1"/>
  <c r="I125" i="1"/>
  <c r="H125" i="1"/>
  <c r="E125" i="1"/>
  <c r="D125" i="1"/>
  <c r="C125" i="1"/>
  <c r="B125" i="1"/>
  <c r="A125" i="1"/>
  <c r="EP124" i="1"/>
  <c r="EO124" i="1"/>
  <c r="EN124" i="1"/>
  <c r="EM124" i="1"/>
  <c r="J124" i="1"/>
  <c r="I124" i="1"/>
  <c r="H124" i="1"/>
  <c r="D124" i="1"/>
  <c r="C124" i="1"/>
  <c r="B124" i="1"/>
  <c r="A124" i="1"/>
  <c r="EP123" i="1"/>
  <c r="EO123" i="1"/>
  <c r="EN123" i="1"/>
  <c r="EM123" i="1"/>
  <c r="J123" i="1"/>
  <c r="I123" i="1"/>
  <c r="H123" i="1"/>
  <c r="D123" i="1"/>
  <c r="ET123" i="1" s="1"/>
  <c r="C123" i="1"/>
  <c r="B123" i="1"/>
  <c r="A123" i="1"/>
  <c r="EP122" i="1"/>
  <c r="EO122" i="1"/>
  <c r="EN122" i="1"/>
  <c r="EM122" i="1"/>
  <c r="J122" i="1"/>
  <c r="I122" i="1"/>
  <c r="H122" i="1"/>
  <c r="D122" i="1"/>
  <c r="C122" i="1"/>
  <c r="B122" i="1"/>
  <c r="A122" i="1"/>
  <c r="EP121" i="1"/>
  <c r="EO121" i="1"/>
  <c r="EN121" i="1"/>
  <c r="EM121" i="1"/>
  <c r="J121" i="1"/>
  <c r="I121" i="1"/>
  <c r="H121" i="1"/>
  <c r="D121" i="1"/>
  <c r="C121" i="1"/>
  <c r="B121" i="1"/>
  <c r="A121" i="1"/>
  <c r="EP120" i="1"/>
  <c r="EO120" i="1"/>
  <c r="EN120" i="1"/>
  <c r="EM120" i="1"/>
  <c r="J120" i="1"/>
  <c r="I120" i="1"/>
  <c r="H120" i="1"/>
  <c r="D120" i="1"/>
  <c r="ET120" i="1" s="1"/>
  <c r="C120" i="1"/>
  <c r="B120" i="1"/>
  <c r="A120" i="1"/>
  <c r="EP119" i="1"/>
  <c r="EO119" i="1"/>
  <c r="EN119" i="1"/>
  <c r="EM119" i="1"/>
  <c r="J119" i="1"/>
  <c r="I119" i="1"/>
  <c r="H119" i="1"/>
  <c r="D119" i="1"/>
  <c r="ET119" i="1" s="1"/>
  <c r="C119" i="1"/>
  <c r="B119" i="1"/>
  <c r="A119" i="1"/>
  <c r="EP118" i="1"/>
  <c r="EO118" i="1"/>
  <c r="EN118" i="1"/>
  <c r="EM118" i="1"/>
  <c r="J118" i="1"/>
  <c r="I118" i="1"/>
  <c r="H118" i="1"/>
  <c r="E118" i="1"/>
  <c r="D118" i="1"/>
  <c r="ET118" i="1" s="1"/>
  <c r="C118" i="1"/>
  <c r="B118" i="1"/>
  <c r="A118" i="1"/>
  <c r="EP117" i="1"/>
  <c r="EO117" i="1"/>
  <c r="EN117" i="1"/>
  <c r="EM117" i="1"/>
  <c r="K117" i="1"/>
  <c r="J117" i="1"/>
  <c r="I117" i="1"/>
  <c r="H117" i="1"/>
  <c r="E117" i="1"/>
  <c r="D117" i="1"/>
  <c r="ET117" i="1" s="1"/>
  <c r="C117" i="1"/>
  <c r="B117" i="1"/>
  <c r="A117" i="1"/>
  <c r="EP116" i="1"/>
  <c r="EO116" i="1"/>
  <c r="EN116" i="1"/>
  <c r="EM116" i="1"/>
  <c r="K116" i="1"/>
  <c r="J116" i="1"/>
  <c r="I116" i="1"/>
  <c r="H116" i="1"/>
  <c r="E116" i="1"/>
  <c r="D116" i="1"/>
  <c r="ET116" i="1" s="1"/>
  <c r="C116" i="1"/>
  <c r="B116" i="1"/>
  <c r="A116" i="1"/>
  <c r="EP115" i="1"/>
  <c r="EO115" i="1"/>
  <c r="EN115" i="1"/>
  <c r="EM115" i="1"/>
  <c r="K115" i="1"/>
  <c r="J115" i="1"/>
  <c r="I115" i="1"/>
  <c r="H115" i="1"/>
  <c r="D115" i="1"/>
  <c r="C115" i="1"/>
  <c r="B115" i="1"/>
  <c r="A115" i="1"/>
  <c r="EP114" i="1"/>
  <c r="EO114" i="1"/>
  <c r="EN114" i="1"/>
  <c r="EM114" i="1"/>
  <c r="K114" i="1"/>
  <c r="J114" i="1"/>
  <c r="I114" i="1"/>
  <c r="H114" i="1"/>
  <c r="E114" i="1"/>
  <c r="D114" i="1"/>
  <c r="C114" i="1"/>
  <c r="B114" i="1"/>
  <c r="A114" i="1"/>
  <c r="EP113" i="1"/>
  <c r="EO113" i="1"/>
  <c r="EN113" i="1"/>
  <c r="EM113" i="1"/>
  <c r="K113" i="1"/>
  <c r="J113" i="1"/>
  <c r="I113" i="1"/>
  <c r="H113" i="1"/>
  <c r="E113" i="1"/>
  <c r="D113" i="1"/>
  <c r="C113" i="1"/>
  <c r="B113" i="1"/>
  <c r="A113" i="1"/>
  <c r="EP112" i="1"/>
  <c r="EO112" i="1"/>
  <c r="EN112" i="1"/>
  <c r="EM112" i="1"/>
  <c r="K112" i="1"/>
  <c r="J112" i="1"/>
  <c r="I112" i="1"/>
  <c r="H112" i="1"/>
  <c r="E112" i="1"/>
  <c r="D112" i="1"/>
  <c r="ET112" i="1" s="1"/>
  <c r="C112" i="1"/>
  <c r="B112" i="1"/>
  <c r="A112" i="1"/>
  <c r="EP111" i="1"/>
  <c r="EO111" i="1"/>
  <c r="EN111" i="1"/>
  <c r="EM111" i="1"/>
  <c r="K111" i="1"/>
  <c r="J111" i="1"/>
  <c r="I111" i="1"/>
  <c r="H111" i="1"/>
  <c r="D111" i="1"/>
  <c r="ET111" i="1" s="1"/>
  <c r="C111" i="1"/>
  <c r="B111" i="1"/>
  <c r="A111" i="1"/>
  <c r="EP110" i="1"/>
  <c r="EO110" i="1"/>
  <c r="EN110" i="1"/>
  <c r="EM110" i="1"/>
  <c r="K110" i="1"/>
  <c r="J110" i="1"/>
  <c r="I110" i="1"/>
  <c r="H110" i="1"/>
  <c r="D110" i="1"/>
  <c r="ET110" i="1" s="1"/>
  <c r="C110" i="1"/>
  <c r="B110" i="1"/>
  <c r="A110" i="1"/>
  <c r="EP109" i="1"/>
  <c r="EO109" i="1"/>
  <c r="EN109" i="1"/>
  <c r="EM109" i="1"/>
  <c r="K109" i="1"/>
  <c r="J109" i="1"/>
  <c r="I109" i="1"/>
  <c r="H109" i="1"/>
  <c r="D109" i="1"/>
  <c r="ET109" i="1" s="1"/>
  <c r="C109" i="1"/>
  <c r="B109" i="1"/>
  <c r="A109" i="1"/>
  <c r="EP108" i="1"/>
  <c r="EO108" i="1"/>
  <c r="EN108" i="1"/>
  <c r="EM108" i="1"/>
  <c r="K108" i="1"/>
  <c r="J108" i="1"/>
  <c r="I108" i="1"/>
  <c r="H108" i="1"/>
  <c r="E108" i="1"/>
  <c r="D108" i="1"/>
  <c r="ET108" i="1" s="1"/>
  <c r="C108" i="1"/>
  <c r="B108" i="1"/>
  <c r="A108" i="1"/>
  <c r="EP107" i="1"/>
  <c r="EO107" i="1"/>
  <c r="EN107" i="1"/>
  <c r="EM107" i="1"/>
  <c r="K107" i="1"/>
  <c r="J107" i="1"/>
  <c r="I107" i="1"/>
  <c r="H107" i="1"/>
  <c r="D107" i="1"/>
  <c r="ET107" i="1" s="1"/>
  <c r="C107" i="1"/>
  <c r="B107" i="1"/>
  <c r="A107" i="1"/>
  <c r="EP106" i="1"/>
  <c r="EO106" i="1"/>
  <c r="EN106" i="1"/>
  <c r="EM106" i="1"/>
  <c r="K106" i="1"/>
  <c r="J106" i="1"/>
  <c r="I106" i="1"/>
  <c r="H106" i="1"/>
  <c r="D106" i="1"/>
  <c r="ET106" i="1" s="1"/>
  <c r="C106" i="1"/>
  <c r="B106" i="1"/>
  <c r="A106" i="1"/>
  <c r="EP105" i="1"/>
  <c r="EO105" i="1"/>
  <c r="EN105" i="1"/>
  <c r="EM105" i="1"/>
  <c r="K105" i="1"/>
  <c r="J105" i="1"/>
  <c r="I105" i="1"/>
  <c r="H105" i="1"/>
  <c r="D105" i="1"/>
  <c r="C105" i="1"/>
  <c r="B105" i="1"/>
  <c r="A105" i="1"/>
  <c r="EP104" i="1"/>
  <c r="EO104" i="1"/>
  <c r="EN104" i="1"/>
  <c r="EM104" i="1"/>
  <c r="K104" i="1"/>
  <c r="J104" i="1"/>
  <c r="I104" i="1"/>
  <c r="H104" i="1"/>
  <c r="D104" i="1"/>
  <c r="C104" i="1"/>
  <c r="B104" i="1"/>
  <c r="A104" i="1"/>
  <c r="EP103" i="1"/>
  <c r="EO103" i="1"/>
  <c r="EN103" i="1"/>
  <c r="EM103" i="1"/>
  <c r="K103" i="1"/>
  <c r="J103" i="1"/>
  <c r="I103" i="1"/>
  <c r="H103" i="1"/>
  <c r="E103" i="1"/>
  <c r="D103" i="1"/>
  <c r="C103" i="1"/>
  <c r="B103" i="1"/>
  <c r="A103" i="1"/>
  <c r="EP102" i="1"/>
  <c r="EO102" i="1"/>
  <c r="EN102" i="1"/>
  <c r="EM102" i="1"/>
  <c r="K102" i="1"/>
  <c r="J102" i="1"/>
  <c r="I102" i="1"/>
  <c r="H102" i="1"/>
  <c r="D102" i="1"/>
  <c r="C102" i="1"/>
  <c r="B102" i="1"/>
  <c r="A102" i="1"/>
  <c r="EP101" i="1"/>
  <c r="EO101" i="1"/>
  <c r="EN101" i="1"/>
  <c r="EM101" i="1"/>
  <c r="K101" i="1"/>
  <c r="J101" i="1"/>
  <c r="I101" i="1"/>
  <c r="H101" i="1"/>
  <c r="D101" i="1"/>
  <c r="C101" i="1"/>
  <c r="B101" i="1"/>
  <c r="A101" i="1"/>
  <c r="EP100" i="1"/>
  <c r="EO100" i="1"/>
  <c r="EN100" i="1"/>
  <c r="EM100" i="1"/>
  <c r="K100" i="1"/>
  <c r="J100" i="1"/>
  <c r="I100" i="1"/>
  <c r="H100" i="1"/>
  <c r="E100" i="1"/>
  <c r="D100" i="1"/>
  <c r="C100" i="1"/>
  <c r="B100" i="1"/>
  <c r="A100" i="1"/>
  <c r="EP99" i="1"/>
  <c r="EO99" i="1"/>
  <c r="EN99" i="1"/>
  <c r="EM99" i="1"/>
  <c r="K99" i="1"/>
  <c r="J99" i="1"/>
  <c r="I99" i="1"/>
  <c r="H99" i="1"/>
  <c r="E99" i="1"/>
  <c r="D99" i="1"/>
  <c r="C99" i="1"/>
  <c r="B99" i="1"/>
  <c r="A99" i="1"/>
  <c r="EP98" i="1"/>
  <c r="EO98" i="1"/>
  <c r="EN98" i="1"/>
  <c r="EM98" i="1"/>
  <c r="K98" i="1"/>
  <c r="J98" i="1"/>
  <c r="I98" i="1"/>
  <c r="H98" i="1"/>
  <c r="E98" i="1"/>
  <c r="D98" i="1"/>
  <c r="C98" i="1"/>
  <c r="B98" i="1"/>
  <c r="A98" i="1"/>
  <c r="EP97" i="1"/>
  <c r="EO97" i="1"/>
  <c r="EN97" i="1"/>
  <c r="EM97" i="1"/>
  <c r="K97" i="1"/>
  <c r="J97" i="1"/>
  <c r="I97" i="1"/>
  <c r="H97" i="1"/>
  <c r="E97" i="1"/>
  <c r="D97" i="1"/>
  <c r="C97" i="1"/>
  <c r="B97" i="1"/>
  <c r="A97" i="1"/>
  <c r="EP96" i="1"/>
  <c r="EO96" i="1"/>
  <c r="EN96" i="1"/>
  <c r="EM96" i="1"/>
  <c r="K96" i="1"/>
  <c r="J96" i="1"/>
  <c r="I96" i="1"/>
  <c r="H96" i="1"/>
  <c r="E96" i="1"/>
  <c r="D96" i="1"/>
  <c r="C96" i="1"/>
  <c r="B96" i="1"/>
  <c r="A96" i="1"/>
  <c r="EP95" i="1"/>
  <c r="EO95" i="1"/>
  <c r="EN95" i="1"/>
  <c r="EM95" i="1"/>
  <c r="K95" i="1"/>
  <c r="J95" i="1"/>
  <c r="I95" i="1"/>
  <c r="H95" i="1"/>
  <c r="E95" i="1"/>
  <c r="D95" i="1"/>
  <c r="C95" i="1"/>
  <c r="B95" i="1"/>
  <c r="A95" i="1"/>
  <c r="EP94" i="1"/>
  <c r="EO94" i="1"/>
  <c r="EN94" i="1"/>
  <c r="EM94" i="1"/>
  <c r="K94" i="1"/>
  <c r="J94" i="1"/>
  <c r="I94" i="1"/>
  <c r="H94" i="1"/>
  <c r="E94" i="1"/>
  <c r="D94" i="1"/>
  <c r="C94" i="1"/>
  <c r="B94" i="1"/>
  <c r="A94" i="1"/>
  <c r="EP93" i="1"/>
  <c r="EO93" i="1"/>
  <c r="EN93" i="1"/>
  <c r="EM93" i="1"/>
  <c r="K93" i="1"/>
  <c r="J93" i="1"/>
  <c r="I93" i="1"/>
  <c r="H93" i="1"/>
  <c r="E93" i="1"/>
  <c r="D93" i="1"/>
  <c r="C93" i="1"/>
  <c r="B93" i="1"/>
  <c r="A93" i="1"/>
  <c r="EP92" i="1"/>
  <c r="EO92" i="1"/>
  <c r="EN92" i="1"/>
  <c r="EM92" i="1"/>
  <c r="K92" i="1"/>
  <c r="J92" i="1"/>
  <c r="I92" i="1"/>
  <c r="H92" i="1"/>
  <c r="E92" i="1"/>
  <c r="D92" i="1"/>
  <c r="C92" i="1"/>
  <c r="B92" i="1"/>
  <c r="A92" i="1"/>
  <c r="EP91" i="1"/>
  <c r="EO91" i="1"/>
  <c r="EN91" i="1"/>
  <c r="EM91" i="1"/>
  <c r="K91" i="1"/>
  <c r="J91" i="1"/>
  <c r="I91" i="1"/>
  <c r="H91" i="1"/>
  <c r="E91" i="1"/>
  <c r="D91" i="1"/>
  <c r="C91" i="1"/>
  <c r="B91" i="1"/>
  <c r="A91" i="1"/>
  <c r="EP90" i="1"/>
  <c r="EO90" i="1"/>
  <c r="EN90" i="1"/>
  <c r="EM90" i="1"/>
  <c r="K90" i="1"/>
  <c r="J90" i="1"/>
  <c r="I90" i="1"/>
  <c r="H90" i="1"/>
  <c r="D90" i="1"/>
  <c r="C90" i="1"/>
  <c r="B90" i="1"/>
  <c r="A90" i="1"/>
  <c r="EP89" i="1"/>
  <c r="EO89" i="1"/>
  <c r="EN89" i="1"/>
  <c r="EM89" i="1"/>
  <c r="K89" i="1"/>
  <c r="J89" i="1"/>
  <c r="I89" i="1"/>
  <c r="H89" i="1"/>
  <c r="E89" i="1"/>
  <c r="D89" i="1"/>
  <c r="C89" i="1"/>
  <c r="B89" i="1"/>
  <c r="A89" i="1"/>
  <c r="EP88" i="1"/>
  <c r="EO88" i="1"/>
  <c r="EN88" i="1"/>
  <c r="EM88" i="1"/>
  <c r="K88" i="1"/>
  <c r="J88" i="1"/>
  <c r="I88" i="1"/>
  <c r="H88" i="1"/>
  <c r="D88" i="1"/>
  <c r="C88" i="1"/>
  <c r="B88" i="1"/>
  <c r="A88" i="1"/>
  <c r="EP87" i="1"/>
  <c r="EO87" i="1"/>
  <c r="EN87" i="1"/>
  <c r="EM87" i="1"/>
  <c r="K87" i="1"/>
  <c r="J87" i="1"/>
  <c r="I87" i="1"/>
  <c r="H87" i="1"/>
  <c r="E87" i="1"/>
  <c r="D87" i="1"/>
  <c r="C87" i="1"/>
  <c r="B87" i="1"/>
  <c r="A87" i="1"/>
  <c r="EP86" i="1"/>
  <c r="EO86" i="1"/>
  <c r="EN86" i="1"/>
  <c r="EM86" i="1"/>
  <c r="K86" i="1"/>
  <c r="J86" i="1"/>
  <c r="I86" i="1"/>
  <c r="H86" i="1"/>
  <c r="E86" i="1"/>
  <c r="D86" i="1"/>
  <c r="C86" i="1"/>
  <c r="B86" i="1"/>
  <c r="A86" i="1"/>
  <c r="EP85" i="1"/>
  <c r="EO85" i="1"/>
  <c r="EN85" i="1"/>
  <c r="EM85" i="1"/>
  <c r="K85" i="1"/>
  <c r="J85" i="1"/>
  <c r="I85" i="1"/>
  <c r="H85" i="1"/>
  <c r="E85" i="1"/>
  <c r="D85" i="1"/>
  <c r="C85" i="1"/>
  <c r="B85" i="1"/>
  <c r="A85" i="1"/>
  <c r="EP84" i="1"/>
  <c r="EO84" i="1"/>
  <c r="EN84" i="1"/>
  <c r="EM84" i="1"/>
  <c r="K84" i="1"/>
  <c r="J84" i="1"/>
  <c r="I84" i="1"/>
  <c r="H84" i="1"/>
  <c r="E84" i="1"/>
  <c r="D84" i="1"/>
  <c r="C84" i="1"/>
  <c r="B84" i="1"/>
  <c r="A84" i="1"/>
  <c r="EP83" i="1"/>
  <c r="EO83" i="1"/>
  <c r="EN83" i="1"/>
  <c r="EM83" i="1"/>
  <c r="K83" i="1"/>
  <c r="J83" i="1"/>
  <c r="I83" i="1"/>
  <c r="H83" i="1"/>
  <c r="E83" i="1"/>
  <c r="D83" i="1"/>
  <c r="C83" i="1"/>
  <c r="B83" i="1"/>
  <c r="A83" i="1"/>
  <c r="EP82" i="1"/>
  <c r="EO82" i="1"/>
  <c r="EN82" i="1"/>
  <c r="EM82" i="1"/>
  <c r="K82" i="1"/>
  <c r="J82" i="1"/>
  <c r="I82" i="1"/>
  <c r="H82" i="1"/>
  <c r="E82" i="1"/>
  <c r="D82" i="1"/>
  <c r="C82" i="1"/>
  <c r="B82" i="1"/>
  <c r="A82" i="1"/>
  <c r="EP81" i="1"/>
  <c r="EO81" i="1"/>
  <c r="EN81" i="1"/>
  <c r="EM81" i="1"/>
  <c r="K81" i="1"/>
  <c r="J81" i="1"/>
  <c r="I81" i="1"/>
  <c r="H81" i="1"/>
  <c r="D81" i="1"/>
  <c r="C81" i="1"/>
  <c r="B81" i="1"/>
  <c r="A81" i="1"/>
  <c r="EP80" i="1"/>
  <c r="EO80" i="1"/>
  <c r="EN80" i="1"/>
  <c r="EM80" i="1"/>
  <c r="K80" i="1"/>
  <c r="J80" i="1"/>
  <c r="I80" i="1"/>
  <c r="H80" i="1"/>
  <c r="D80" i="1"/>
  <c r="C80" i="1"/>
  <c r="B80" i="1"/>
  <c r="A80" i="1"/>
  <c r="EP79" i="1"/>
  <c r="EO79" i="1"/>
  <c r="EN79" i="1"/>
  <c r="EM79" i="1"/>
  <c r="K79" i="1"/>
  <c r="J79" i="1"/>
  <c r="I79" i="1"/>
  <c r="H79" i="1"/>
  <c r="D79" i="1"/>
  <c r="C79" i="1"/>
  <c r="B79" i="1"/>
  <c r="A79" i="1"/>
  <c r="EP78" i="1"/>
  <c r="EO78" i="1"/>
  <c r="EN78" i="1"/>
  <c r="EM78" i="1"/>
  <c r="K78" i="1"/>
  <c r="J78" i="1"/>
  <c r="I78" i="1"/>
  <c r="H78" i="1"/>
  <c r="E78" i="1"/>
  <c r="D78" i="1"/>
  <c r="C78" i="1"/>
  <c r="B78" i="1"/>
  <c r="A78" i="1"/>
  <c r="EP77" i="1"/>
  <c r="EO77" i="1"/>
  <c r="EN77" i="1"/>
  <c r="EM77" i="1"/>
  <c r="K77" i="1"/>
  <c r="J77" i="1"/>
  <c r="I77" i="1"/>
  <c r="H77" i="1"/>
  <c r="E77" i="1"/>
  <c r="D77" i="1"/>
  <c r="C77" i="1"/>
  <c r="B77" i="1"/>
  <c r="A77" i="1"/>
  <c r="EP76" i="1"/>
  <c r="EO76" i="1"/>
  <c r="EN76" i="1"/>
  <c r="EM76" i="1"/>
  <c r="K76" i="1"/>
  <c r="J76" i="1"/>
  <c r="I76" i="1"/>
  <c r="H76" i="1"/>
  <c r="E76" i="1"/>
  <c r="D76" i="1"/>
  <c r="C76" i="1"/>
  <c r="B76" i="1"/>
  <c r="A76" i="1"/>
  <c r="EP75" i="1"/>
  <c r="EO75" i="1"/>
  <c r="EN75" i="1"/>
  <c r="EM75" i="1"/>
  <c r="K75" i="1"/>
  <c r="J75" i="1"/>
  <c r="I75" i="1"/>
  <c r="H75" i="1"/>
  <c r="D75" i="1"/>
  <c r="C75" i="1"/>
  <c r="B75" i="1"/>
  <c r="A75" i="1"/>
  <c r="EP74" i="1"/>
  <c r="EO74" i="1"/>
  <c r="EN74" i="1"/>
  <c r="EM74" i="1"/>
  <c r="K74" i="1"/>
  <c r="J74" i="1"/>
  <c r="I74" i="1"/>
  <c r="H74" i="1"/>
  <c r="E74" i="1"/>
  <c r="D74" i="1"/>
  <c r="C74" i="1"/>
  <c r="B74" i="1"/>
  <c r="A74" i="1"/>
  <c r="EP73" i="1"/>
  <c r="EO73" i="1"/>
  <c r="EN73" i="1"/>
  <c r="EM73" i="1"/>
  <c r="K73" i="1"/>
  <c r="J73" i="1"/>
  <c r="I73" i="1"/>
  <c r="H73" i="1"/>
  <c r="E73" i="1"/>
  <c r="D73" i="1"/>
  <c r="C73" i="1"/>
  <c r="B73" i="1"/>
  <c r="A73" i="1"/>
  <c r="EP72" i="1"/>
  <c r="EO72" i="1"/>
  <c r="EN72" i="1"/>
  <c r="EM72" i="1"/>
  <c r="K72" i="1"/>
  <c r="J72" i="1"/>
  <c r="I72" i="1"/>
  <c r="H72" i="1"/>
  <c r="E72" i="1"/>
  <c r="D72" i="1"/>
  <c r="C72" i="1"/>
  <c r="B72" i="1"/>
  <c r="A72" i="1"/>
  <c r="EP71" i="1"/>
  <c r="EO71" i="1"/>
  <c r="EN71" i="1"/>
  <c r="EM71" i="1"/>
  <c r="K71" i="1"/>
  <c r="J71" i="1"/>
  <c r="I71" i="1"/>
  <c r="H71" i="1"/>
  <c r="E71" i="1"/>
  <c r="D71" i="1"/>
  <c r="C71" i="1"/>
  <c r="B71" i="1"/>
  <c r="A71" i="1"/>
  <c r="EP70" i="1"/>
  <c r="EO70" i="1"/>
  <c r="EN70" i="1"/>
  <c r="EM70" i="1"/>
  <c r="K70" i="1"/>
  <c r="J70" i="1"/>
  <c r="I70" i="1"/>
  <c r="H70" i="1"/>
  <c r="E70" i="1"/>
  <c r="D70" i="1"/>
  <c r="C70" i="1"/>
  <c r="B70" i="1"/>
  <c r="A70" i="1"/>
  <c r="EP69" i="1"/>
  <c r="EO69" i="1"/>
  <c r="EN69" i="1"/>
  <c r="EM69" i="1"/>
  <c r="K69" i="1"/>
  <c r="J69" i="1"/>
  <c r="I69" i="1"/>
  <c r="H69" i="1"/>
  <c r="F69" i="1"/>
  <c r="E69" i="1"/>
  <c r="D69" i="1"/>
  <c r="C69" i="1"/>
  <c r="B69" i="1"/>
  <c r="A69" i="1"/>
  <c r="EP68" i="1"/>
  <c r="EO68" i="1"/>
  <c r="EN68" i="1"/>
  <c r="EM68" i="1"/>
  <c r="K68" i="1"/>
  <c r="J68" i="1"/>
  <c r="I68" i="1"/>
  <c r="H68" i="1"/>
  <c r="E68" i="1"/>
  <c r="D68" i="1"/>
  <c r="C68" i="1"/>
  <c r="B68" i="1"/>
  <c r="A68" i="1"/>
  <c r="EP67" i="1"/>
  <c r="EO67" i="1"/>
  <c r="EN67" i="1"/>
  <c r="EM67" i="1"/>
  <c r="K67" i="1"/>
  <c r="J67" i="1"/>
  <c r="I67" i="1"/>
  <c r="H67" i="1"/>
  <c r="E67" i="1"/>
  <c r="D67" i="1"/>
  <c r="C67" i="1"/>
  <c r="B67" i="1"/>
  <c r="A67" i="1"/>
  <c r="EP66" i="1"/>
  <c r="EO66" i="1"/>
  <c r="EN66" i="1"/>
  <c r="EM66" i="1"/>
  <c r="K66" i="1"/>
  <c r="J66" i="1"/>
  <c r="I66" i="1"/>
  <c r="H66" i="1"/>
  <c r="E66" i="1"/>
  <c r="D66" i="1"/>
  <c r="C66" i="1"/>
  <c r="B66" i="1"/>
  <c r="A66" i="1"/>
  <c r="EP65" i="1"/>
  <c r="EO65" i="1"/>
  <c r="EN65" i="1"/>
  <c r="EM65" i="1"/>
  <c r="K65" i="1"/>
  <c r="J65" i="1"/>
  <c r="I65" i="1"/>
  <c r="H65" i="1"/>
  <c r="E65" i="1"/>
  <c r="D65" i="1"/>
  <c r="C65" i="1"/>
  <c r="B65" i="1"/>
  <c r="A65" i="1"/>
  <c r="EP64" i="1"/>
  <c r="EO64" i="1"/>
  <c r="EN64" i="1"/>
  <c r="EM64" i="1"/>
  <c r="K64" i="1"/>
  <c r="J64" i="1"/>
  <c r="I64" i="1"/>
  <c r="H64" i="1"/>
  <c r="E64" i="1"/>
  <c r="D64" i="1"/>
  <c r="C64" i="1"/>
  <c r="B64" i="1"/>
  <c r="A64" i="1"/>
  <c r="EP63" i="1"/>
  <c r="EO63" i="1"/>
  <c r="EN63" i="1"/>
  <c r="EM63" i="1"/>
  <c r="K63" i="1"/>
  <c r="J63" i="1"/>
  <c r="I63" i="1"/>
  <c r="H63" i="1"/>
  <c r="E63" i="1"/>
  <c r="D63" i="1"/>
  <c r="C63" i="1"/>
  <c r="B63" i="1"/>
  <c r="A63" i="1"/>
  <c r="EP62" i="1"/>
  <c r="EO62" i="1"/>
  <c r="EN62" i="1"/>
  <c r="EM62" i="1"/>
  <c r="K62" i="1"/>
  <c r="J62" i="1"/>
  <c r="I62" i="1"/>
  <c r="H62" i="1"/>
  <c r="E62" i="1"/>
  <c r="D62" i="1"/>
  <c r="C62" i="1"/>
  <c r="B62" i="1"/>
  <c r="A62" i="1"/>
  <c r="EP61" i="1"/>
  <c r="EO61" i="1"/>
  <c r="EN61" i="1"/>
  <c r="EM61" i="1"/>
  <c r="K61" i="1"/>
  <c r="J61" i="1"/>
  <c r="I61" i="1"/>
  <c r="H61" i="1"/>
  <c r="E61" i="1"/>
  <c r="D61" i="1"/>
  <c r="C61" i="1"/>
  <c r="B61" i="1"/>
  <c r="A61" i="1"/>
  <c r="EP60" i="1"/>
  <c r="EO60" i="1"/>
  <c r="EN60" i="1"/>
  <c r="EM60" i="1"/>
  <c r="K60" i="1"/>
  <c r="J60" i="1"/>
  <c r="I60" i="1"/>
  <c r="H60" i="1"/>
  <c r="E60" i="1"/>
  <c r="D60" i="1"/>
  <c r="C60" i="1"/>
  <c r="B60" i="1"/>
  <c r="A60" i="1"/>
  <c r="EP59" i="1"/>
  <c r="EO59" i="1"/>
  <c r="EN59" i="1"/>
  <c r="EM59" i="1"/>
  <c r="EI59" i="1"/>
  <c r="EH59" i="1"/>
  <c r="EG59" i="1"/>
  <c r="EF59" i="1"/>
  <c r="EE59" i="1"/>
  <c r="ED59" i="1"/>
  <c r="EC59" i="1"/>
  <c r="EB59" i="1"/>
  <c r="EA59" i="1"/>
  <c r="DZ59" i="1"/>
  <c r="DY59" i="1"/>
  <c r="DX59" i="1"/>
  <c r="DW59" i="1"/>
  <c r="DV59" i="1"/>
  <c r="DU59" i="1"/>
  <c r="DT59" i="1"/>
  <c r="DS59" i="1"/>
  <c r="DR59" i="1"/>
  <c r="DQ59" i="1"/>
  <c r="DP59" i="1"/>
  <c r="DO59" i="1"/>
  <c r="DN59" i="1"/>
  <c r="DM59" i="1"/>
  <c r="DL59" i="1"/>
  <c r="DK59" i="1"/>
  <c r="DJ59" i="1"/>
  <c r="DI59" i="1"/>
  <c r="DH59" i="1"/>
  <c r="DG59" i="1"/>
  <c r="DF59" i="1"/>
  <c r="DE59" i="1"/>
  <c r="DC59" i="1"/>
  <c r="DB59" i="1"/>
  <c r="DA59" i="1"/>
  <c r="CZ59" i="1"/>
  <c r="CY59" i="1"/>
  <c r="CX59" i="1"/>
  <c r="CW59" i="1"/>
  <c r="CV59" i="1"/>
  <c r="CU59" i="1"/>
  <c r="CT59" i="1"/>
  <c r="CS59" i="1"/>
  <c r="CR59" i="1"/>
  <c r="CQ59" i="1"/>
  <c r="CP59" i="1"/>
  <c r="CO59" i="1"/>
  <c r="CN59" i="1"/>
  <c r="CM59" i="1"/>
  <c r="CL59" i="1"/>
  <c r="CK59" i="1"/>
  <c r="CJ59" i="1"/>
  <c r="CI59" i="1"/>
  <c r="CH59" i="1"/>
  <c r="CG59" i="1"/>
  <c r="CF59" i="1"/>
  <c r="CE59" i="1"/>
  <c r="CD59" i="1"/>
  <c r="CC59" i="1"/>
  <c r="CB59" i="1"/>
  <c r="CA59" i="1"/>
  <c r="BZ59" i="1"/>
  <c r="BY59" i="1"/>
  <c r="BW59" i="1"/>
  <c r="BV59" i="1"/>
  <c r="BU59" i="1"/>
  <c r="BT59" i="1"/>
  <c r="BS59" i="1"/>
  <c r="BR59" i="1"/>
  <c r="BQ59" i="1"/>
  <c r="BP59" i="1"/>
  <c r="BO59" i="1"/>
  <c r="BN59" i="1"/>
  <c r="BM59" i="1"/>
  <c r="BL59" i="1"/>
  <c r="BK59" i="1"/>
  <c r="BJ59" i="1"/>
  <c r="BI59" i="1"/>
  <c r="BH59" i="1"/>
  <c r="BG59" i="1"/>
  <c r="BF59" i="1"/>
  <c r="BE59" i="1"/>
  <c r="BD59" i="1"/>
  <c r="BC59" i="1"/>
  <c r="BB59" i="1"/>
  <c r="BA59" i="1"/>
  <c r="AZ59" i="1"/>
  <c r="AY59" i="1"/>
  <c r="AX59" i="1"/>
  <c r="AW59" i="1"/>
  <c r="AV59" i="1"/>
  <c r="AU59" i="1"/>
  <c r="AT59" i="1"/>
  <c r="AS59" i="1"/>
  <c r="AQ59" i="1"/>
  <c r="AP59" i="1"/>
  <c r="AO59" i="1"/>
  <c r="AN59" i="1"/>
  <c r="AM59" i="1"/>
  <c r="AL59" i="1"/>
  <c r="AK59" i="1"/>
  <c r="AJ59" i="1"/>
  <c r="AI59" i="1"/>
  <c r="AH59" i="1"/>
  <c r="AG59" i="1"/>
  <c r="AF59" i="1"/>
  <c r="AE59" i="1"/>
  <c r="AD59" i="1"/>
  <c r="AC59" i="1"/>
  <c r="AB59" i="1"/>
  <c r="AA59" i="1"/>
  <c r="Z59" i="1"/>
  <c r="Y59" i="1"/>
  <c r="X59" i="1"/>
  <c r="W59" i="1"/>
  <c r="V59" i="1"/>
  <c r="U59" i="1"/>
  <c r="T59" i="1"/>
  <c r="S59" i="1"/>
  <c r="R59" i="1"/>
  <c r="Q59" i="1"/>
  <c r="P59" i="1"/>
  <c r="O59" i="1"/>
  <c r="N59" i="1"/>
  <c r="M59" i="1"/>
  <c r="K59" i="1"/>
  <c r="J59" i="1"/>
  <c r="I59" i="1"/>
  <c r="H59" i="1"/>
  <c r="E59" i="1"/>
  <c r="D59" i="1"/>
  <c r="C59" i="1"/>
  <c r="B59" i="1"/>
  <c r="A59" i="1"/>
  <c r="EP58" i="1"/>
  <c r="EO58" i="1"/>
  <c r="EN58" i="1"/>
  <c r="EM58" i="1"/>
  <c r="K58" i="1"/>
  <c r="J58" i="1"/>
  <c r="I58" i="1"/>
  <c r="H58" i="1"/>
  <c r="E58" i="1"/>
  <c r="D58" i="1"/>
  <c r="C58" i="1"/>
  <c r="B58" i="1"/>
  <c r="A58" i="1"/>
  <c r="EP57" i="1"/>
  <c r="EO57" i="1"/>
  <c r="EN57" i="1"/>
  <c r="EM57" i="1"/>
  <c r="K57" i="1"/>
  <c r="J57" i="1"/>
  <c r="I57" i="1"/>
  <c r="H57" i="1"/>
  <c r="E57" i="1"/>
  <c r="D57" i="1"/>
  <c r="C57" i="1"/>
  <c r="B57" i="1"/>
  <c r="A57" i="1"/>
  <c r="EP56" i="1"/>
  <c r="EO56" i="1"/>
  <c r="EN56" i="1"/>
  <c r="EM56" i="1"/>
  <c r="K56" i="1"/>
  <c r="J56" i="1"/>
  <c r="I56" i="1"/>
  <c r="H56" i="1"/>
  <c r="E56" i="1"/>
  <c r="D56" i="1"/>
  <c r="C56" i="1"/>
  <c r="B56" i="1"/>
  <c r="A56" i="1"/>
  <c r="EP55" i="1"/>
  <c r="EO55" i="1"/>
  <c r="EN55" i="1"/>
  <c r="EM55" i="1"/>
  <c r="K55" i="1"/>
  <c r="J55" i="1"/>
  <c r="I55" i="1"/>
  <c r="H55" i="1"/>
  <c r="E55" i="1"/>
  <c r="D55" i="1"/>
  <c r="C55" i="1"/>
  <c r="B55" i="1"/>
  <c r="A55" i="1"/>
  <c r="EP54" i="1"/>
  <c r="EO54" i="1"/>
  <c r="EN54" i="1"/>
  <c r="EM54" i="1"/>
  <c r="EH54" i="1"/>
  <c r="EG54" i="1"/>
  <c r="EF54" i="1"/>
  <c r="EE54" i="1"/>
  <c r="ED54" i="1"/>
  <c r="EC54" i="1"/>
  <c r="EB54" i="1"/>
  <c r="EA54" i="1"/>
  <c r="DZ54" i="1"/>
  <c r="DY54" i="1"/>
  <c r="DX54" i="1"/>
  <c r="DW54" i="1"/>
  <c r="DV54" i="1"/>
  <c r="DU54" i="1"/>
  <c r="DT54" i="1"/>
  <c r="DS54" i="1"/>
  <c r="DR54" i="1"/>
  <c r="DQ54" i="1"/>
  <c r="DP54" i="1"/>
  <c r="DO54" i="1"/>
  <c r="DN54" i="1"/>
  <c r="DM54" i="1"/>
  <c r="DL54" i="1"/>
  <c r="DK54" i="1"/>
  <c r="DJ54" i="1"/>
  <c r="DI54" i="1"/>
  <c r="DH54" i="1"/>
  <c r="DG54" i="1"/>
  <c r="DF54" i="1"/>
  <c r="DE54" i="1"/>
  <c r="DB54" i="1"/>
  <c r="DA54" i="1"/>
  <c r="CZ54" i="1"/>
  <c r="CY54" i="1"/>
  <c r="CX54" i="1"/>
  <c r="CW54" i="1"/>
  <c r="CV54" i="1"/>
  <c r="CU54" i="1"/>
  <c r="CT54" i="1"/>
  <c r="CS54" i="1"/>
  <c r="CR54" i="1"/>
  <c r="CQ54" i="1"/>
  <c r="CP54" i="1"/>
  <c r="CO54" i="1"/>
  <c r="CN54" i="1"/>
  <c r="CM54" i="1"/>
  <c r="CL54" i="1"/>
  <c r="CK54" i="1"/>
  <c r="CJ54" i="1"/>
  <c r="CI54" i="1"/>
  <c r="CH54" i="1"/>
  <c r="CG54" i="1"/>
  <c r="CF54" i="1"/>
  <c r="CE54" i="1"/>
  <c r="CD54" i="1"/>
  <c r="CC54" i="1"/>
  <c r="CB54" i="1"/>
  <c r="CA54" i="1"/>
  <c r="BZ54" i="1"/>
  <c r="BY54" i="1"/>
  <c r="BV54" i="1"/>
  <c r="BU54" i="1"/>
  <c r="BT54" i="1"/>
  <c r="BS54" i="1"/>
  <c r="BR54" i="1"/>
  <c r="BQ54" i="1"/>
  <c r="BP54" i="1"/>
  <c r="BO54" i="1"/>
  <c r="BN54" i="1"/>
  <c r="BM54" i="1"/>
  <c r="BL54" i="1"/>
  <c r="BK54" i="1"/>
  <c r="BJ54" i="1"/>
  <c r="BI54" i="1"/>
  <c r="BH54" i="1"/>
  <c r="BG54" i="1"/>
  <c r="BF54" i="1"/>
  <c r="BE54" i="1"/>
  <c r="BD54" i="1"/>
  <c r="BC54" i="1"/>
  <c r="BB54" i="1"/>
  <c r="BA54" i="1"/>
  <c r="AZ54" i="1"/>
  <c r="AY54" i="1"/>
  <c r="AX54" i="1"/>
  <c r="AW54" i="1"/>
  <c r="AV54" i="1"/>
  <c r="AU54" i="1"/>
  <c r="AT54" i="1"/>
  <c r="AS54" i="1"/>
  <c r="AP54" i="1"/>
  <c r="AO54" i="1"/>
  <c r="AN54" i="1"/>
  <c r="AM54" i="1"/>
  <c r="AL54" i="1"/>
  <c r="AK54" i="1"/>
  <c r="AJ54" i="1"/>
  <c r="AI54" i="1"/>
  <c r="AH54" i="1"/>
  <c r="AG54" i="1"/>
  <c r="AF54" i="1"/>
  <c r="AE54" i="1"/>
  <c r="AD54" i="1"/>
  <c r="AC54" i="1"/>
  <c r="AB54" i="1"/>
  <c r="AA54" i="1"/>
  <c r="Z54" i="1"/>
  <c r="Y54" i="1"/>
  <c r="X54" i="1"/>
  <c r="W54" i="1"/>
  <c r="V54" i="1"/>
  <c r="U54" i="1"/>
  <c r="T54" i="1"/>
  <c r="S54" i="1"/>
  <c r="R54" i="1"/>
  <c r="Q54" i="1"/>
  <c r="P54" i="1"/>
  <c r="O54" i="1"/>
  <c r="N54" i="1"/>
  <c r="M54" i="1"/>
  <c r="K54" i="1"/>
  <c r="J54" i="1"/>
  <c r="I54" i="1"/>
  <c r="H54" i="1"/>
  <c r="E54" i="1"/>
  <c r="D54" i="1"/>
  <c r="C54" i="1"/>
  <c r="B54" i="1"/>
  <c r="A54" i="1"/>
  <c r="EP53" i="1"/>
  <c r="EO53" i="1"/>
  <c r="EN53" i="1"/>
  <c r="EM53" i="1"/>
  <c r="K53" i="1"/>
  <c r="J53" i="1"/>
  <c r="I53" i="1"/>
  <c r="H53" i="1"/>
  <c r="E53" i="1"/>
  <c r="D53" i="1"/>
  <c r="C53" i="1"/>
  <c r="B53" i="1"/>
  <c r="A53" i="1"/>
  <c r="EP52" i="1"/>
  <c r="EO52" i="1"/>
  <c r="EN52" i="1"/>
  <c r="EM52" i="1"/>
  <c r="K52" i="1"/>
  <c r="J52" i="1"/>
  <c r="I52" i="1"/>
  <c r="H52" i="1"/>
  <c r="E52" i="1"/>
  <c r="D52" i="1"/>
  <c r="C52" i="1"/>
  <c r="B52" i="1"/>
  <c r="A52" i="1"/>
  <c r="EP51" i="1"/>
  <c r="EO51" i="1"/>
  <c r="EN51" i="1"/>
  <c r="EM51" i="1"/>
  <c r="K51" i="1"/>
  <c r="J51" i="1"/>
  <c r="I51" i="1"/>
  <c r="H51" i="1"/>
  <c r="E51" i="1"/>
  <c r="D51" i="1"/>
  <c r="C51" i="1"/>
  <c r="B51" i="1"/>
  <c r="A51" i="1"/>
  <c r="EP50" i="1"/>
  <c r="EO50" i="1"/>
  <c r="EN50" i="1"/>
  <c r="EM50" i="1"/>
  <c r="K50" i="1"/>
  <c r="J50" i="1"/>
  <c r="I50" i="1"/>
  <c r="H50" i="1"/>
  <c r="E50" i="1"/>
  <c r="D50" i="1"/>
  <c r="C50" i="1"/>
  <c r="B50" i="1"/>
  <c r="A50" i="1"/>
  <c r="EP49" i="1"/>
  <c r="EO49" i="1"/>
  <c r="EN49" i="1"/>
  <c r="EM49" i="1"/>
  <c r="EI49" i="1"/>
  <c r="EH49" i="1"/>
  <c r="EG49" i="1"/>
  <c r="EF49" i="1"/>
  <c r="EE49" i="1"/>
  <c r="ED49" i="1"/>
  <c r="EC49" i="1"/>
  <c r="EB49" i="1"/>
  <c r="EA49" i="1"/>
  <c r="DZ49" i="1"/>
  <c r="DY49" i="1"/>
  <c r="DX49" i="1"/>
  <c r="DW49" i="1"/>
  <c r="DV49" i="1"/>
  <c r="DU49" i="1"/>
  <c r="DT49" i="1"/>
  <c r="DS49" i="1"/>
  <c r="DR49" i="1"/>
  <c r="DQ49" i="1"/>
  <c r="DP49" i="1"/>
  <c r="DO49" i="1"/>
  <c r="DN49" i="1"/>
  <c r="DM49" i="1"/>
  <c r="DL49" i="1"/>
  <c r="DK49" i="1"/>
  <c r="DJ49" i="1"/>
  <c r="DI49" i="1"/>
  <c r="DH49" i="1"/>
  <c r="DG49" i="1"/>
  <c r="DF49" i="1"/>
  <c r="DE49" i="1"/>
  <c r="DC49" i="1"/>
  <c r="DB49" i="1"/>
  <c r="DA49" i="1"/>
  <c r="CZ49" i="1"/>
  <c r="CY49" i="1"/>
  <c r="CX49" i="1"/>
  <c r="CW49" i="1"/>
  <c r="CV49" i="1"/>
  <c r="CU49" i="1"/>
  <c r="CT49" i="1"/>
  <c r="CS49" i="1"/>
  <c r="CR49" i="1"/>
  <c r="CQ49" i="1"/>
  <c r="CP49" i="1"/>
  <c r="CO49" i="1"/>
  <c r="CN49" i="1"/>
  <c r="CM49" i="1"/>
  <c r="CL49" i="1"/>
  <c r="CK49" i="1"/>
  <c r="CJ49" i="1"/>
  <c r="CI49" i="1"/>
  <c r="CH49" i="1"/>
  <c r="CG49" i="1"/>
  <c r="CF49" i="1"/>
  <c r="CE49" i="1"/>
  <c r="CD49" i="1"/>
  <c r="CC49" i="1"/>
  <c r="CB49" i="1"/>
  <c r="CA49" i="1"/>
  <c r="BZ49" i="1"/>
  <c r="BY49" i="1"/>
  <c r="BW49" i="1"/>
  <c r="BV49" i="1"/>
  <c r="BU49" i="1"/>
  <c r="BT49" i="1"/>
  <c r="BS49" i="1"/>
  <c r="BR49" i="1"/>
  <c r="BQ49" i="1"/>
  <c r="BP49" i="1"/>
  <c r="BO49" i="1"/>
  <c r="BN49" i="1"/>
  <c r="BM49" i="1"/>
  <c r="BL49" i="1"/>
  <c r="BK49" i="1"/>
  <c r="BJ49" i="1"/>
  <c r="BI49" i="1"/>
  <c r="BH49" i="1"/>
  <c r="BG49" i="1"/>
  <c r="BF49" i="1"/>
  <c r="BE49" i="1"/>
  <c r="BD49" i="1"/>
  <c r="BC49" i="1"/>
  <c r="BB49" i="1"/>
  <c r="BA49" i="1"/>
  <c r="AZ49" i="1"/>
  <c r="AY49" i="1"/>
  <c r="AX49" i="1"/>
  <c r="AW49" i="1"/>
  <c r="AV49" i="1"/>
  <c r="AU49" i="1"/>
  <c r="AT49" i="1"/>
  <c r="AS49" i="1"/>
  <c r="AQ49" i="1"/>
  <c r="AP49" i="1"/>
  <c r="AO49" i="1"/>
  <c r="AN49" i="1"/>
  <c r="AM49" i="1"/>
  <c r="AL49" i="1"/>
  <c r="AK49" i="1"/>
  <c r="AJ49" i="1"/>
  <c r="AI49" i="1"/>
  <c r="AH49" i="1"/>
  <c r="AG49" i="1"/>
  <c r="AF49" i="1"/>
  <c r="AE49" i="1"/>
  <c r="AD49" i="1"/>
  <c r="AC49" i="1"/>
  <c r="AB49" i="1"/>
  <c r="AA49" i="1"/>
  <c r="Z49" i="1"/>
  <c r="Y49" i="1"/>
  <c r="X49" i="1"/>
  <c r="W49" i="1"/>
  <c r="V49" i="1"/>
  <c r="U49" i="1"/>
  <c r="T49" i="1"/>
  <c r="S49" i="1"/>
  <c r="R49" i="1"/>
  <c r="Q49" i="1"/>
  <c r="P49" i="1"/>
  <c r="O49" i="1"/>
  <c r="N49" i="1"/>
  <c r="M49" i="1"/>
  <c r="K49" i="1"/>
  <c r="J49" i="1"/>
  <c r="I49" i="1"/>
  <c r="H49" i="1"/>
  <c r="E49" i="1"/>
  <c r="D49" i="1"/>
  <c r="ET49" i="1" s="1"/>
  <c r="C49" i="1"/>
  <c r="B49" i="1"/>
  <c r="A49" i="1"/>
  <c r="EP48" i="1"/>
  <c r="EO48" i="1"/>
  <c r="EN48" i="1"/>
  <c r="EM48" i="1"/>
  <c r="K48" i="1"/>
  <c r="J48" i="1"/>
  <c r="I48" i="1"/>
  <c r="H48" i="1"/>
  <c r="E48" i="1"/>
  <c r="D48" i="1"/>
  <c r="C48" i="1"/>
  <c r="B48" i="1"/>
  <c r="A48" i="1"/>
  <c r="EP47" i="1"/>
  <c r="EO47" i="1"/>
  <c r="EN47" i="1"/>
  <c r="EM47" i="1"/>
  <c r="K47" i="1"/>
  <c r="J47" i="1"/>
  <c r="I47" i="1"/>
  <c r="H47" i="1"/>
  <c r="E47" i="1"/>
  <c r="D47" i="1"/>
  <c r="ET47" i="1" s="1"/>
  <c r="C47" i="1"/>
  <c r="B47" i="1"/>
  <c r="A47" i="1"/>
  <c r="EP46" i="1"/>
  <c r="EO46" i="1"/>
  <c r="EN46" i="1"/>
  <c r="EM46" i="1"/>
  <c r="K46" i="1"/>
  <c r="J46" i="1"/>
  <c r="I46" i="1"/>
  <c r="H46" i="1"/>
  <c r="E46" i="1"/>
  <c r="D46" i="1"/>
  <c r="C46" i="1"/>
  <c r="B46" i="1"/>
  <c r="A46" i="1"/>
  <c r="EP45" i="1"/>
  <c r="EO45" i="1"/>
  <c r="EN45" i="1"/>
  <c r="EM45" i="1"/>
  <c r="K45" i="1"/>
  <c r="J45" i="1"/>
  <c r="I45" i="1"/>
  <c r="H45" i="1"/>
  <c r="E45" i="1"/>
  <c r="D45" i="1"/>
  <c r="C45" i="1"/>
  <c r="B45" i="1"/>
  <c r="A45" i="1"/>
  <c r="EP44" i="1"/>
  <c r="EO44" i="1"/>
  <c r="EN44" i="1"/>
  <c r="EM44" i="1"/>
  <c r="EH44" i="1"/>
  <c r="EG44" i="1"/>
  <c r="EF44" i="1"/>
  <c r="EE44" i="1"/>
  <c r="ED44" i="1"/>
  <c r="EC44" i="1"/>
  <c r="EB44" i="1"/>
  <c r="EA44" i="1"/>
  <c r="DZ44" i="1"/>
  <c r="DY44" i="1"/>
  <c r="DX44" i="1"/>
  <c r="DW44" i="1"/>
  <c r="DV44" i="1"/>
  <c r="DU44" i="1"/>
  <c r="DT44" i="1"/>
  <c r="DS44" i="1"/>
  <c r="DR44" i="1"/>
  <c r="DQ44" i="1"/>
  <c r="DP44" i="1"/>
  <c r="DO44" i="1"/>
  <c r="DN44" i="1"/>
  <c r="DM44" i="1"/>
  <c r="DL44" i="1"/>
  <c r="DK44" i="1"/>
  <c r="DJ44" i="1"/>
  <c r="DI44" i="1"/>
  <c r="DH44" i="1"/>
  <c r="DG44" i="1"/>
  <c r="DF44" i="1"/>
  <c r="DE44" i="1"/>
  <c r="DB44" i="1"/>
  <c r="DA44" i="1"/>
  <c r="CZ44" i="1"/>
  <c r="CY44" i="1"/>
  <c r="CX44" i="1"/>
  <c r="CW44" i="1"/>
  <c r="CV44" i="1"/>
  <c r="CU44" i="1"/>
  <c r="CT44" i="1"/>
  <c r="CS44" i="1"/>
  <c r="CR44" i="1"/>
  <c r="CQ44" i="1"/>
  <c r="CP44" i="1"/>
  <c r="CO44" i="1"/>
  <c r="CN44" i="1"/>
  <c r="CM44" i="1"/>
  <c r="CL44" i="1"/>
  <c r="CK44" i="1"/>
  <c r="CJ44" i="1"/>
  <c r="CI44" i="1"/>
  <c r="CH44" i="1"/>
  <c r="CG44" i="1"/>
  <c r="CF44" i="1"/>
  <c r="CE44" i="1"/>
  <c r="CD44" i="1"/>
  <c r="CC44" i="1"/>
  <c r="CB44" i="1"/>
  <c r="CA44" i="1"/>
  <c r="BZ44" i="1"/>
  <c r="BY44" i="1"/>
  <c r="BV44" i="1"/>
  <c r="BU44" i="1"/>
  <c r="BT44" i="1"/>
  <c r="BS44" i="1"/>
  <c r="BR44" i="1"/>
  <c r="BQ44" i="1"/>
  <c r="BP44" i="1"/>
  <c r="BO44" i="1"/>
  <c r="BN44" i="1"/>
  <c r="BM44" i="1"/>
  <c r="BL44" i="1"/>
  <c r="BK44" i="1"/>
  <c r="BJ44" i="1"/>
  <c r="BI44" i="1"/>
  <c r="BH44" i="1"/>
  <c r="BG44" i="1"/>
  <c r="BF44" i="1"/>
  <c r="BE44" i="1"/>
  <c r="BD44" i="1"/>
  <c r="BC44" i="1"/>
  <c r="BB44" i="1"/>
  <c r="BA44" i="1"/>
  <c r="AZ44" i="1"/>
  <c r="AY44" i="1"/>
  <c r="AX44" i="1"/>
  <c r="AW44" i="1"/>
  <c r="AV44" i="1"/>
  <c r="AU44" i="1"/>
  <c r="AT44" i="1"/>
  <c r="AS44" i="1"/>
  <c r="AP44" i="1"/>
  <c r="AO44" i="1"/>
  <c r="AN44" i="1"/>
  <c r="AM44" i="1"/>
  <c r="AL44" i="1"/>
  <c r="AK44" i="1"/>
  <c r="AJ44" i="1"/>
  <c r="AI44" i="1"/>
  <c r="AH44" i="1"/>
  <c r="AG44" i="1"/>
  <c r="AF44" i="1"/>
  <c r="AE44" i="1"/>
  <c r="AD44" i="1"/>
  <c r="AC44" i="1"/>
  <c r="AB44" i="1"/>
  <c r="AA44" i="1"/>
  <c r="Z44" i="1"/>
  <c r="Y44" i="1"/>
  <c r="X44" i="1"/>
  <c r="W44" i="1"/>
  <c r="V44" i="1"/>
  <c r="U44" i="1"/>
  <c r="T44" i="1"/>
  <c r="S44" i="1"/>
  <c r="R44" i="1"/>
  <c r="Q44" i="1"/>
  <c r="P44" i="1"/>
  <c r="O44" i="1"/>
  <c r="N44" i="1"/>
  <c r="M44" i="1"/>
  <c r="K44" i="1"/>
  <c r="J44" i="1"/>
  <c r="I44" i="1"/>
  <c r="H44" i="1"/>
  <c r="E44" i="1"/>
  <c r="D44" i="1"/>
  <c r="C44" i="1"/>
  <c r="B44" i="1"/>
  <c r="A44" i="1"/>
  <c r="EP43" i="1"/>
  <c r="EO43" i="1"/>
  <c r="EN43" i="1"/>
  <c r="EM43" i="1"/>
  <c r="K43" i="1"/>
  <c r="J43" i="1"/>
  <c r="I43" i="1"/>
  <c r="H43" i="1"/>
  <c r="E43" i="1"/>
  <c r="D43" i="1"/>
  <c r="ET43" i="1" s="1"/>
  <c r="C43" i="1"/>
  <c r="B43" i="1"/>
  <c r="A43" i="1"/>
  <c r="EP42" i="1"/>
  <c r="EO42" i="1"/>
  <c r="EN42" i="1"/>
  <c r="EM42" i="1"/>
  <c r="K42" i="1"/>
  <c r="J42" i="1"/>
  <c r="I42" i="1"/>
  <c r="H42" i="1"/>
  <c r="E42" i="1"/>
  <c r="D42" i="1"/>
  <c r="C42" i="1"/>
  <c r="B42" i="1"/>
  <c r="A42" i="1"/>
  <c r="EP41" i="1"/>
  <c r="EO41" i="1"/>
  <c r="EN41" i="1"/>
  <c r="EM41" i="1"/>
  <c r="K41" i="1"/>
  <c r="J41" i="1"/>
  <c r="I41" i="1"/>
  <c r="H41" i="1"/>
  <c r="F41" i="1"/>
  <c r="E41" i="1"/>
  <c r="D41" i="1"/>
  <c r="C41" i="1"/>
  <c r="B41" i="1"/>
  <c r="A41" i="1"/>
  <c r="EP40" i="1"/>
  <c r="EO40" i="1"/>
  <c r="EN40" i="1"/>
  <c r="EM40" i="1"/>
  <c r="K40" i="1"/>
  <c r="J40" i="1"/>
  <c r="I40" i="1"/>
  <c r="H40" i="1"/>
  <c r="E40" i="1"/>
  <c r="D40" i="1"/>
  <c r="C40" i="1"/>
  <c r="B40" i="1"/>
  <c r="A40" i="1"/>
  <c r="EP39" i="1"/>
  <c r="EO39" i="1"/>
  <c r="EN39" i="1"/>
  <c r="EM39" i="1"/>
  <c r="EI39" i="1"/>
  <c r="EH39" i="1"/>
  <c r="EG39" i="1"/>
  <c r="EF39" i="1"/>
  <c r="EE39" i="1"/>
  <c r="ED39" i="1"/>
  <c r="EC39" i="1"/>
  <c r="EB39" i="1"/>
  <c r="EA39" i="1"/>
  <c r="DZ39" i="1"/>
  <c r="DY39" i="1"/>
  <c r="DX39" i="1"/>
  <c r="DW39" i="1"/>
  <c r="DV39" i="1"/>
  <c r="DU39" i="1"/>
  <c r="DT39" i="1"/>
  <c r="DS39" i="1"/>
  <c r="DR39" i="1"/>
  <c r="DQ39" i="1"/>
  <c r="DP39" i="1"/>
  <c r="DO39" i="1"/>
  <c r="DN39" i="1"/>
  <c r="DM39" i="1"/>
  <c r="DL39" i="1"/>
  <c r="DK39" i="1"/>
  <c r="DJ39" i="1"/>
  <c r="DI39" i="1"/>
  <c r="DH39" i="1"/>
  <c r="DG39" i="1"/>
  <c r="DF39" i="1"/>
  <c r="DE39" i="1"/>
  <c r="DC39" i="1"/>
  <c r="DB39" i="1"/>
  <c r="DA39" i="1"/>
  <c r="CZ39" i="1"/>
  <c r="CY39" i="1"/>
  <c r="CX39" i="1"/>
  <c r="CW39" i="1"/>
  <c r="CV39" i="1"/>
  <c r="CU39" i="1"/>
  <c r="CT39" i="1"/>
  <c r="CS39" i="1"/>
  <c r="CR39" i="1"/>
  <c r="CQ39" i="1"/>
  <c r="CP39" i="1"/>
  <c r="CO39" i="1"/>
  <c r="CN39" i="1"/>
  <c r="CM39" i="1"/>
  <c r="CL39" i="1"/>
  <c r="CK39" i="1"/>
  <c r="CJ39" i="1"/>
  <c r="CI39" i="1"/>
  <c r="CH39" i="1"/>
  <c r="CG39" i="1"/>
  <c r="CF39" i="1"/>
  <c r="CE39" i="1"/>
  <c r="CD39" i="1"/>
  <c r="CC39" i="1"/>
  <c r="CB39" i="1"/>
  <c r="CA39" i="1"/>
  <c r="BZ39" i="1"/>
  <c r="BY39" i="1"/>
  <c r="BW39" i="1"/>
  <c r="BV39" i="1"/>
  <c r="BU39" i="1"/>
  <c r="BT39" i="1"/>
  <c r="BS39" i="1"/>
  <c r="BR39" i="1"/>
  <c r="BQ39" i="1"/>
  <c r="BP39" i="1"/>
  <c r="BO39" i="1"/>
  <c r="BN39" i="1"/>
  <c r="BM39" i="1"/>
  <c r="BL39" i="1"/>
  <c r="BK39" i="1"/>
  <c r="BJ39" i="1"/>
  <c r="BI39" i="1"/>
  <c r="BH39" i="1"/>
  <c r="BG39" i="1"/>
  <c r="BF39" i="1"/>
  <c r="BE39" i="1"/>
  <c r="BD39" i="1"/>
  <c r="BC39" i="1"/>
  <c r="BB39" i="1"/>
  <c r="BA39" i="1"/>
  <c r="AZ39" i="1"/>
  <c r="AY39" i="1"/>
  <c r="AX39" i="1"/>
  <c r="AW39" i="1"/>
  <c r="AV39" i="1"/>
  <c r="AU39" i="1"/>
  <c r="AT39" i="1"/>
  <c r="AS39" i="1"/>
  <c r="AQ39" i="1"/>
  <c r="AP39" i="1"/>
  <c r="AO39" i="1"/>
  <c r="AN39" i="1"/>
  <c r="AM39" i="1"/>
  <c r="AL39" i="1"/>
  <c r="AK39" i="1"/>
  <c r="AJ39" i="1"/>
  <c r="AI39" i="1"/>
  <c r="AH39" i="1"/>
  <c r="AG39" i="1"/>
  <c r="AF39" i="1"/>
  <c r="AE39" i="1"/>
  <c r="AD39" i="1"/>
  <c r="AC39" i="1"/>
  <c r="AB39" i="1"/>
  <c r="AA39" i="1"/>
  <c r="Z39" i="1"/>
  <c r="Y39" i="1"/>
  <c r="X39" i="1"/>
  <c r="W39" i="1"/>
  <c r="V39" i="1"/>
  <c r="U39" i="1"/>
  <c r="T39" i="1"/>
  <c r="S39" i="1"/>
  <c r="R39" i="1"/>
  <c r="Q39" i="1"/>
  <c r="P39" i="1"/>
  <c r="O39" i="1"/>
  <c r="N39" i="1"/>
  <c r="M39" i="1"/>
  <c r="K39" i="1"/>
  <c r="J39" i="1"/>
  <c r="I39" i="1"/>
  <c r="H39" i="1"/>
  <c r="E39" i="1"/>
  <c r="D39" i="1"/>
  <c r="C39" i="1"/>
  <c r="B39" i="1"/>
  <c r="A39" i="1"/>
  <c r="EP38" i="1"/>
  <c r="EO38" i="1"/>
  <c r="EN38" i="1"/>
  <c r="EM38" i="1"/>
  <c r="K38" i="1"/>
  <c r="J38" i="1"/>
  <c r="I38" i="1"/>
  <c r="H38" i="1"/>
  <c r="E38" i="1"/>
  <c r="D38" i="1"/>
  <c r="C38" i="1"/>
  <c r="B38" i="1"/>
  <c r="A38" i="1"/>
  <c r="EP37" i="1"/>
  <c r="EO37" i="1"/>
  <c r="EN37" i="1"/>
  <c r="EM37" i="1"/>
  <c r="K37" i="1"/>
  <c r="J37" i="1"/>
  <c r="I37" i="1"/>
  <c r="H37" i="1"/>
  <c r="E37" i="1"/>
  <c r="D37" i="1"/>
  <c r="ET37" i="1" s="1"/>
  <c r="C37" i="1"/>
  <c r="B37" i="1"/>
  <c r="A37" i="1"/>
  <c r="EP36" i="1"/>
  <c r="EO36" i="1"/>
  <c r="EN36" i="1"/>
  <c r="EM36" i="1"/>
  <c r="K36" i="1"/>
  <c r="J36" i="1"/>
  <c r="I36" i="1"/>
  <c r="H36" i="1"/>
  <c r="E36" i="1"/>
  <c r="D36" i="1"/>
  <c r="ET36" i="1" s="1"/>
  <c r="C36" i="1"/>
  <c r="B36" i="1"/>
  <c r="A36" i="1"/>
  <c r="EP35" i="1"/>
  <c r="EO35" i="1"/>
  <c r="EN35" i="1"/>
  <c r="EM35" i="1"/>
  <c r="K35" i="1"/>
  <c r="J35" i="1"/>
  <c r="I35" i="1"/>
  <c r="H35" i="1"/>
  <c r="E35" i="1"/>
  <c r="D35" i="1"/>
  <c r="C35" i="1"/>
  <c r="B35" i="1"/>
  <c r="A35" i="1"/>
  <c r="EP34" i="1"/>
  <c r="EO34" i="1"/>
  <c r="EN34" i="1"/>
  <c r="EM34" i="1"/>
  <c r="EI34" i="1"/>
  <c r="EH34" i="1"/>
  <c r="EG34" i="1"/>
  <c r="EF34" i="1"/>
  <c r="EE34" i="1"/>
  <c r="ED34" i="1"/>
  <c r="EC34" i="1"/>
  <c r="EB34" i="1"/>
  <c r="EA34" i="1"/>
  <c r="DZ34" i="1"/>
  <c r="DY34" i="1"/>
  <c r="DX34" i="1"/>
  <c r="DW34" i="1"/>
  <c r="DV34" i="1"/>
  <c r="DU34" i="1"/>
  <c r="DT34" i="1"/>
  <c r="DS34" i="1"/>
  <c r="DR34" i="1"/>
  <c r="DQ34" i="1"/>
  <c r="DP34" i="1"/>
  <c r="DO34" i="1"/>
  <c r="DN34" i="1"/>
  <c r="DM34" i="1"/>
  <c r="DL34" i="1"/>
  <c r="DK34" i="1"/>
  <c r="DJ34" i="1"/>
  <c r="DI34" i="1"/>
  <c r="DH34" i="1"/>
  <c r="DG34" i="1"/>
  <c r="DF34" i="1"/>
  <c r="DE34" i="1"/>
  <c r="DC34" i="1"/>
  <c r="DB34" i="1"/>
  <c r="DA34" i="1"/>
  <c r="CZ34" i="1"/>
  <c r="CY34" i="1"/>
  <c r="CX34" i="1"/>
  <c r="CW34" i="1"/>
  <c r="CV34" i="1"/>
  <c r="CU34" i="1"/>
  <c r="CT34" i="1"/>
  <c r="CS34" i="1"/>
  <c r="CR34" i="1"/>
  <c r="CQ34" i="1"/>
  <c r="CP34" i="1"/>
  <c r="CO34" i="1"/>
  <c r="CN34" i="1"/>
  <c r="CM34" i="1"/>
  <c r="CL34" i="1"/>
  <c r="CK34" i="1"/>
  <c r="CJ34" i="1"/>
  <c r="CI34" i="1"/>
  <c r="CH34" i="1"/>
  <c r="CG34" i="1"/>
  <c r="CF34" i="1"/>
  <c r="CE34" i="1"/>
  <c r="CD34" i="1"/>
  <c r="CC34" i="1"/>
  <c r="CB34" i="1"/>
  <c r="CA34" i="1"/>
  <c r="BZ34" i="1"/>
  <c r="BY34" i="1"/>
  <c r="BW34" i="1"/>
  <c r="BV34" i="1"/>
  <c r="BU34" i="1"/>
  <c r="BT34" i="1"/>
  <c r="BS34" i="1"/>
  <c r="BR34" i="1"/>
  <c r="BQ34" i="1"/>
  <c r="BP34" i="1"/>
  <c r="BO34" i="1"/>
  <c r="BN34" i="1"/>
  <c r="BM34" i="1"/>
  <c r="BL34" i="1"/>
  <c r="BK34" i="1"/>
  <c r="BJ34" i="1"/>
  <c r="BI34" i="1"/>
  <c r="BH34" i="1"/>
  <c r="BG34" i="1"/>
  <c r="BF34" i="1"/>
  <c r="BE34" i="1"/>
  <c r="BD34" i="1"/>
  <c r="BC34" i="1"/>
  <c r="BB34" i="1"/>
  <c r="BA34" i="1"/>
  <c r="AZ34" i="1"/>
  <c r="AY34" i="1"/>
  <c r="AX34" i="1"/>
  <c r="AW34" i="1"/>
  <c r="AV34" i="1"/>
  <c r="AU34" i="1"/>
  <c r="AT34" i="1"/>
  <c r="AS34" i="1"/>
  <c r="AQ34" i="1"/>
  <c r="AP34" i="1"/>
  <c r="AO34" i="1"/>
  <c r="AN34" i="1"/>
  <c r="AM34" i="1"/>
  <c r="AL34" i="1"/>
  <c r="AK34" i="1"/>
  <c r="AJ34" i="1"/>
  <c r="AI34" i="1"/>
  <c r="AH34" i="1"/>
  <c r="AG34" i="1"/>
  <c r="AF34" i="1"/>
  <c r="AE34" i="1"/>
  <c r="AD34" i="1"/>
  <c r="AC34" i="1"/>
  <c r="AB34" i="1"/>
  <c r="AA34" i="1"/>
  <c r="Z34" i="1"/>
  <c r="Y34" i="1"/>
  <c r="X34" i="1"/>
  <c r="W34" i="1"/>
  <c r="V34" i="1"/>
  <c r="U34" i="1"/>
  <c r="T34" i="1"/>
  <c r="S34" i="1"/>
  <c r="R34" i="1"/>
  <c r="Q34" i="1"/>
  <c r="P34" i="1"/>
  <c r="O34" i="1"/>
  <c r="N34" i="1"/>
  <c r="M34" i="1"/>
  <c r="K34" i="1"/>
  <c r="J34" i="1"/>
  <c r="I34" i="1"/>
  <c r="H34" i="1"/>
  <c r="E34" i="1"/>
  <c r="D34" i="1"/>
  <c r="C34" i="1"/>
  <c r="B34" i="1"/>
  <c r="A34" i="1"/>
  <c r="EP33" i="1"/>
  <c r="EO33" i="1"/>
  <c r="EN33" i="1"/>
  <c r="EM33" i="1"/>
  <c r="K33" i="1"/>
  <c r="J33" i="1"/>
  <c r="I33" i="1"/>
  <c r="H33" i="1"/>
  <c r="E33" i="1"/>
  <c r="D33" i="1"/>
  <c r="C33" i="1"/>
  <c r="B33" i="1"/>
  <c r="A33" i="1"/>
  <c r="EP32" i="1"/>
  <c r="EO32" i="1"/>
  <c r="EN32" i="1"/>
  <c r="EM32" i="1"/>
  <c r="K32" i="1"/>
  <c r="J32" i="1"/>
  <c r="I32" i="1"/>
  <c r="H32" i="1"/>
  <c r="E32" i="1"/>
  <c r="D32" i="1"/>
  <c r="C32" i="1"/>
  <c r="B32" i="1"/>
  <c r="A32" i="1"/>
  <c r="EP31" i="1"/>
  <c r="EO31" i="1"/>
  <c r="EN31" i="1"/>
  <c r="EM31" i="1"/>
  <c r="K31" i="1"/>
  <c r="J31" i="1"/>
  <c r="I31" i="1"/>
  <c r="H31" i="1"/>
  <c r="E31" i="1"/>
  <c r="D31" i="1"/>
  <c r="C31" i="1"/>
  <c r="B31" i="1"/>
  <c r="A31" i="1"/>
  <c r="EP30" i="1"/>
  <c r="EO30" i="1"/>
  <c r="EN30" i="1"/>
  <c r="EM30" i="1"/>
  <c r="K30" i="1"/>
  <c r="J30" i="1"/>
  <c r="I30" i="1"/>
  <c r="H30" i="1"/>
  <c r="E30" i="1"/>
  <c r="D30" i="1"/>
  <c r="C30" i="1"/>
  <c r="B30" i="1"/>
  <c r="A30" i="1"/>
  <c r="EP29" i="1"/>
  <c r="EO29" i="1"/>
  <c r="EN29" i="1"/>
  <c r="EM29" i="1"/>
  <c r="EH29" i="1"/>
  <c r="EG29" i="1"/>
  <c r="EF29" i="1"/>
  <c r="EE29" i="1"/>
  <c r="ED29" i="1"/>
  <c r="EC29" i="1"/>
  <c r="EB29" i="1"/>
  <c r="EA29" i="1"/>
  <c r="DZ29" i="1"/>
  <c r="DY29" i="1"/>
  <c r="DX29" i="1"/>
  <c r="DW29" i="1"/>
  <c r="DV29" i="1"/>
  <c r="DU29" i="1"/>
  <c r="DT29" i="1"/>
  <c r="DS29" i="1"/>
  <c r="DR29" i="1"/>
  <c r="DQ29" i="1"/>
  <c r="DP29" i="1"/>
  <c r="DO29" i="1"/>
  <c r="DN29" i="1"/>
  <c r="DM29" i="1"/>
  <c r="DL29" i="1"/>
  <c r="DK29" i="1"/>
  <c r="DJ29" i="1"/>
  <c r="DI29" i="1"/>
  <c r="DH29" i="1"/>
  <c r="DG29" i="1"/>
  <c r="DF29" i="1"/>
  <c r="DE29" i="1"/>
  <c r="DB29" i="1"/>
  <c r="DA29" i="1"/>
  <c r="CZ29" i="1"/>
  <c r="CY29" i="1"/>
  <c r="CX29" i="1"/>
  <c r="CW29" i="1"/>
  <c r="CV29" i="1"/>
  <c r="CU29" i="1"/>
  <c r="CT29" i="1"/>
  <c r="CS29" i="1"/>
  <c r="CR29" i="1"/>
  <c r="CQ29" i="1"/>
  <c r="CP29" i="1"/>
  <c r="CO29" i="1"/>
  <c r="CN29" i="1"/>
  <c r="CM29" i="1"/>
  <c r="CL29" i="1"/>
  <c r="CK29" i="1"/>
  <c r="CJ29" i="1"/>
  <c r="CI29" i="1"/>
  <c r="CH29" i="1"/>
  <c r="CG29" i="1"/>
  <c r="CF29" i="1"/>
  <c r="CE29" i="1"/>
  <c r="CD29" i="1"/>
  <c r="CC29" i="1"/>
  <c r="CB29" i="1"/>
  <c r="CA29" i="1"/>
  <c r="BZ29" i="1"/>
  <c r="BY29" i="1"/>
  <c r="BV29" i="1"/>
  <c r="BU29" i="1"/>
  <c r="BT29" i="1"/>
  <c r="BS29" i="1"/>
  <c r="BR29" i="1"/>
  <c r="BQ29" i="1"/>
  <c r="BP29" i="1"/>
  <c r="BO29" i="1"/>
  <c r="BN29" i="1"/>
  <c r="BM29" i="1"/>
  <c r="BL29" i="1"/>
  <c r="BK29" i="1"/>
  <c r="BJ29" i="1"/>
  <c r="BI29" i="1"/>
  <c r="BH29" i="1"/>
  <c r="BG29" i="1"/>
  <c r="BF29" i="1"/>
  <c r="BE29" i="1"/>
  <c r="BD29" i="1"/>
  <c r="BC29" i="1"/>
  <c r="BB29" i="1"/>
  <c r="BA29" i="1"/>
  <c r="AZ29" i="1"/>
  <c r="AY29" i="1"/>
  <c r="AX29" i="1"/>
  <c r="AW29" i="1"/>
  <c r="AV29" i="1"/>
  <c r="AU29" i="1"/>
  <c r="AT29" i="1"/>
  <c r="AS29" i="1"/>
  <c r="AP29" i="1"/>
  <c r="AO29" i="1"/>
  <c r="AN29" i="1"/>
  <c r="AM29" i="1"/>
  <c r="AL29" i="1"/>
  <c r="AK29" i="1"/>
  <c r="AJ29" i="1"/>
  <c r="AI29" i="1"/>
  <c r="AH29" i="1"/>
  <c r="AG29" i="1"/>
  <c r="AF29" i="1"/>
  <c r="AE29" i="1"/>
  <c r="AD29" i="1"/>
  <c r="AC29" i="1"/>
  <c r="AB29" i="1"/>
  <c r="AA29" i="1"/>
  <c r="Z29" i="1"/>
  <c r="Y29" i="1"/>
  <c r="X29" i="1"/>
  <c r="W29" i="1"/>
  <c r="V29" i="1"/>
  <c r="U29" i="1"/>
  <c r="T29" i="1"/>
  <c r="S29" i="1"/>
  <c r="R29" i="1"/>
  <c r="Q29" i="1"/>
  <c r="P29" i="1"/>
  <c r="O29" i="1"/>
  <c r="N29" i="1"/>
  <c r="M29" i="1"/>
  <c r="K29" i="1"/>
  <c r="J29" i="1"/>
  <c r="I29" i="1"/>
  <c r="H29" i="1"/>
  <c r="E29" i="1"/>
  <c r="D29" i="1"/>
  <c r="C29" i="1"/>
  <c r="B29" i="1"/>
  <c r="A29" i="1"/>
  <c r="EP28" i="1"/>
  <c r="EO28" i="1"/>
  <c r="EN28" i="1"/>
  <c r="EM28" i="1"/>
  <c r="K28" i="1"/>
  <c r="J28" i="1"/>
  <c r="I28" i="1"/>
  <c r="H28" i="1"/>
  <c r="E28" i="1"/>
  <c r="D28" i="1"/>
  <c r="ET28" i="1" s="1"/>
  <c r="C28" i="1"/>
  <c r="B28" i="1"/>
  <c r="A28" i="1"/>
  <c r="EP27" i="1"/>
  <c r="EO27" i="1"/>
  <c r="EN27" i="1"/>
  <c r="EM27" i="1"/>
  <c r="K27" i="1"/>
  <c r="J27" i="1"/>
  <c r="I27" i="1"/>
  <c r="H27" i="1"/>
  <c r="E27" i="1"/>
  <c r="D27" i="1"/>
  <c r="C27" i="1"/>
  <c r="B27" i="1"/>
  <c r="A27" i="1"/>
  <c r="EP26" i="1"/>
  <c r="EO26" i="1"/>
  <c r="EN26" i="1"/>
  <c r="EM26" i="1"/>
  <c r="K26" i="1"/>
  <c r="J26" i="1"/>
  <c r="I26" i="1"/>
  <c r="H26" i="1"/>
  <c r="E26" i="1"/>
  <c r="D26" i="1"/>
  <c r="C26" i="1"/>
  <c r="B26" i="1"/>
  <c r="A26" i="1"/>
  <c r="EP25" i="1"/>
  <c r="EO25" i="1"/>
  <c r="EN25" i="1"/>
  <c r="EM25" i="1"/>
  <c r="K25" i="1"/>
  <c r="J25" i="1"/>
  <c r="I25" i="1"/>
  <c r="H25" i="1"/>
  <c r="E25" i="1"/>
  <c r="D25" i="1"/>
  <c r="ET25" i="1" s="1"/>
  <c r="C25" i="1"/>
  <c r="B25" i="1"/>
  <c r="A25" i="1"/>
  <c r="EP24" i="1"/>
  <c r="EO24" i="1"/>
  <c r="EN24" i="1"/>
  <c r="EM24" i="1"/>
  <c r="EI24" i="1"/>
  <c r="EH24" i="1"/>
  <c r="EG24" i="1"/>
  <c r="EF24" i="1"/>
  <c r="EE24" i="1"/>
  <c r="ED24" i="1"/>
  <c r="EC24" i="1"/>
  <c r="EB24" i="1"/>
  <c r="EA24" i="1"/>
  <c r="DZ24" i="1"/>
  <c r="DY24" i="1"/>
  <c r="DX24" i="1"/>
  <c r="DW24" i="1"/>
  <c r="DV24" i="1"/>
  <c r="DU24" i="1"/>
  <c r="DT24" i="1"/>
  <c r="DS24" i="1"/>
  <c r="DR24" i="1"/>
  <c r="DQ24" i="1"/>
  <c r="DP24" i="1"/>
  <c r="DO24" i="1"/>
  <c r="DN24" i="1"/>
  <c r="DM24" i="1"/>
  <c r="DL24" i="1"/>
  <c r="DK24" i="1"/>
  <c r="DJ24" i="1"/>
  <c r="DI24" i="1"/>
  <c r="DH24" i="1"/>
  <c r="DG24" i="1"/>
  <c r="DF24" i="1"/>
  <c r="DE24" i="1"/>
  <c r="DC24" i="1"/>
  <c r="DB24" i="1"/>
  <c r="DA24" i="1"/>
  <c r="CZ24" i="1"/>
  <c r="CY24" i="1"/>
  <c r="CX24" i="1"/>
  <c r="CW24" i="1"/>
  <c r="CV24" i="1"/>
  <c r="CU24" i="1"/>
  <c r="CT24" i="1"/>
  <c r="CS24" i="1"/>
  <c r="CR24" i="1"/>
  <c r="CQ24" i="1"/>
  <c r="CP24" i="1"/>
  <c r="CO24" i="1"/>
  <c r="CN24" i="1"/>
  <c r="CM24" i="1"/>
  <c r="CL24" i="1"/>
  <c r="CK24" i="1"/>
  <c r="CJ24" i="1"/>
  <c r="CI24" i="1"/>
  <c r="CH24" i="1"/>
  <c r="CG24" i="1"/>
  <c r="CF24" i="1"/>
  <c r="CE24" i="1"/>
  <c r="CD24" i="1"/>
  <c r="CC24" i="1"/>
  <c r="CB24" i="1"/>
  <c r="CA24" i="1"/>
  <c r="BZ24" i="1"/>
  <c r="BY24" i="1"/>
  <c r="BW24" i="1"/>
  <c r="BV24" i="1"/>
  <c r="BU24" i="1"/>
  <c r="BT24" i="1"/>
  <c r="BS24" i="1"/>
  <c r="BR24" i="1"/>
  <c r="BQ24" i="1"/>
  <c r="BP24" i="1"/>
  <c r="BO24" i="1"/>
  <c r="BN24" i="1"/>
  <c r="BM24" i="1"/>
  <c r="BL24" i="1"/>
  <c r="BK24" i="1"/>
  <c r="BJ24" i="1"/>
  <c r="BI24" i="1"/>
  <c r="BH24" i="1"/>
  <c r="BG24" i="1"/>
  <c r="BF24" i="1"/>
  <c r="BE24" i="1"/>
  <c r="BD24" i="1"/>
  <c r="BC24" i="1"/>
  <c r="BB24" i="1"/>
  <c r="BA24" i="1"/>
  <c r="AZ24" i="1"/>
  <c r="AY24" i="1"/>
  <c r="AX24" i="1"/>
  <c r="AW24" i="1"/>
  <c r="AV24" i="1"/>
  <c r="AU24" i="1"/>
  <c r="AT24" i="1"/>
  <c r="AS24" i="1"/>
  <c r="AQ24" i="1"/>
  <c r="AP24" i="1"/>
  <c r="AO24" i="1"/>
  <c r="AN24" i="1"/>
  <c r="AM24" i="1"/>
  <c r="AL24" i="1"/>
  <c r="AK24" i="1"/>
  <c r="AJ24" i="1"/>
  <c r="AI24" i="1"/>
  <c r="AH24" i="1"/>
  <c r="AG24" i="1"/>
  <c r="AF24" i="1"/>
  <c r="AE24" i="1"/>
  <c r="AD24" i="1"/>
  <c r="AC24" i="1"/>
  <c r="AB24" i="1"/>
  <c r="AA24" i="1"/>
  <c r="Z24" i="1"/>
  <c r="Y24" i="1"/>
  <c r="X24" i="1"/>
  <c r="W24" i="1"/>
  <c r="V24" i="1"/>
  <c r="U24" i="1"/>
  <c r="T24" i="1"/>
  <c r="S24" i="1"/>
  <c r="R24" i="1"/>
  <c r="Q24" i="1"/>
  <c r="P24" i="1"/>
  <c r="O24" i="1"/>
  <c r="N24" i="1"/>
  <c r="M24" i="1"/>
  <c r="K24" i="1"/>
  <c r="J24" i="1"/>
  <c r="I24" i="1"/>
  <c r="H24" i="1"/>
  <c r="E24" i="1"/>
  <c r="D24" i="1"/>
  <c r="ET24" i="1" s="1"/>
  <c r="C24" i="1"/>
  <c r="B24" i="1"/>
  <c r="A24" i="1"/>
  <c r="EP23" i="1"/>
  <c r="EO23" i="1"/>
  <c r="EN23" i="1"/>
  <c r="EM23" i="1"/>
  <c r="K23" i="1"/>
  <c r="J23" i="1"/>
  <c r="I23" i="1"/>
  <c r="H23" i="1"/>
  <c r="F23" i="1"/>
  <c r="E23" i="1"/>
  <c r="D23" i="1"/>
  <c r="C23" i="1"/>
  <c r="B23" i="1"/>
  <c r="A23" i="1"/>
  <c r="EP22" i="1"/>
  <c r="EO22" i="1"/>
  <c r="EN22" i="1"/>
  <c r="EM22" i="1"/>
  <c r="K22" i="1"/>
  <c r="J22" i="1"/>
  <c r="I22" i="1"/>
  <c r="H22" i="1"/>
  <c r="F22" i="1"/>
  <c r="E22" i="1"/>
  <c r="D22" i="1"/>
  <c r="C22" i="1"/>
  <c r="B22" i="1"/>
  <c r="A22" i="1"/>
  <c r="EP21" i="1"/>
  <c r="EO21" i="1"/>
  <c r="EN21" i="1"/>
  <c r="EM21" i="1"/>
  <c r="K21" i="1"/>
  <c r="J21" i="1"/>
  <c r="I21" i="1"/>
  <c r="H21" i="1"/>
  <c r="F21" i="1"/>
  <c r="E21" i="1"/>
  <c r="D21" i="1"/>
  <c r="C21" i="1"/>
  <c r="B21" i="1"/>
  <c r="A21" i="1"/>
  <c r="EP20" i="1"/>
  <c r="EO20" i="1"/>
  <c r="EN20" i="1"/>
  <c r="EM20" i="1"/>
  <c r="K20" i="1"/>
  <c r="J20" i="1"/>
  <c r="I20" i="1"/>
  <c r="H20" i="1"/>
  <c r="F20" i="1"/>
  <c r="E20" i="1"/>
  <c r="D20" i="1"/>
  <c r="C20" i="1"/>
  <c r="B20" i="1"/>
  <c r="A20" i="1"/>
  <c r="EP19" i="1"/>
  <c r="EO19" i="1"/>
  <c r="EN19" i="1"/>
  <c r="EM19" i="1"/>
  <c r="EH19" i="1"/>
  <c r="EG19" i="1"/>
  <c r="EF19" i="1"/>
  <c r="EE19" i="1"/>
  <c r="ED19" i="1"/>
  <c r="EC19" i="1"/>
  <c r="EB19" i="1"/>
  <c r="EA19" i="1"/>
  <c r="DZ19" i="1"/>
  <c r="DY19" i="1"/>
  <c r="DX19" i="1"/>
  <c r="DW19" i="1"/>
  <c r="DV19" i="1"/>
  <c r="DU19" i="1"/>
  <c r="DT19" i="1"/>
  <c r="DS19" i="1"/>
  <c r="DR19" i="1"/>
  <c r="DQ19" i="1"/>
  <c r="DP19" i="1"/>
  <c r="DO19" i="1"/>
  <c r="DN19" i="1"/>
  <c r="DM19" i="1"/>
  <c r="DL19" i="1"/>
  <c r="DK19" i="1"/>
  <c r="DJ19" i="1"/>
  <c r="DI19" i="1"/>
  <c r="DH19" i="1"/>
  <c r="DG19" i="1"/>
  <c r="DF19" i="1"/>
  <c r="DE19" i="1"/>
  <c r="DB19" i="1"/>
  <c r="DA19" i="1"/>
  <c r="CZ19" i="1"/>
  <c r="CY19" i="1"/>
  <c r="CX19" i="1"/>
  <c r="CW19" i="1"/>
  <c r="CV19" i="1"/>
  <c r="CU19" i="1"/>
  <c r="CT19" i="1"/>
  <c r="CS19" i="1"/>
  <c r="CR19" i="1"/>
  <c r="CQ19" i="1"/>
  <c r="CP19" i="1"/>
  <c r="CO19" i="1"/>
  <c r="CN19" i="1"/>
  <c r="CM19" i="1"/>
  <c r="CL19" i="1"/>
  <c r="CK19" i="1"/>
  <c r="CJ19" i="1"/>
  <c r="CI19" i="1"/>
  <c r="CH19" i="1"/>
  <c r="CG19" i="1"/>
  <c r="CF19" i="1"/>
  <c r="CE19" i="1"/>
  <c r="CD19" i="1"/>
  <c r="CC19" i="1"/>
  <c r="CB19" i="1"/>
  <c r="CA19" i="1"/>
  <c r="BZ19" i="1"/>
  <c r="BY19" i="1"/>
  <c r="BV19" i="1"/>
  <c r="BU19" i="1"/>
  <c r="BT19" i="1"/>
  <c r="BS19" i="1"/>
  <c r="BR19" i="1"/>
  <c r="BQ19" i="1"/>
  <c r="BP19" i="1"/>
  <c r="BO19" i="1"/>
  <c r="BN19" i="1"/>
  <c r="BM19" i="1"/>
  <c r="BL19" i="1"/>
  <c r="BK19" i="1"/>
  <c r="BJ19" i="1"/>
  <c r="BI19" i="1"/>
  <c r="BH19" i="1"/>
  <c r="BG19" i="1"/>
  <c r="BF19" i="1"/>
  <c r="BE19" i="1"/>
  <c r="BD19" i="1"/>
  <c r="BC19" i="1"/>
  <c r="BB19" i="1"/>
  <c r="BA19" i="1"/>
  <c r="AZ19" i="1"/>
  <c r="AY19" i="1"/>
  <c r="AX19" i="1"/>
  <c r="AW19" i="1"/>
  <c r="AV19" i="1"/>
  <c r="AU19" i="1"/>
  <c r="AT19" i="1"/>
  <c r="AS19" i="1"/>
  <c r="AP19" i="1"/>
  <c r="AO19" i="1"/>
  <c r="AN19" i="1"/>
  <c r="AM19" i="1"/>
  <c r="AL19" i="1"/>
  <c r="AK19" i="1"/>
  <c r="AJ19" i="1"/>
  <c r="AI19" i="1"/>
  <c r="AH19" i="1"/>
  <c r="AG19" i="1"/>
  <c r="AF19" i="1"/>
  <c r="AE19" i="1"/>
  <c r="AD19" i="1"/>
  <c r="AC19" i="1"/>
  <c r="AB19" i="1"/>
  <c r="AA19" i="1"/>
  <c r="Z19" i="1"/>
  <c r="Y19" i="1"/>
  <c r="X19" i="1"/>
  <c r="W19" i="1"/>
  <c r="V19" i="1"/>
  <c r="U19" i="1"/>
  <c r="T19" i="1"/>
  <c r="S19" i="1"/>
  <c r="R19" i="1"/>
  <c r="Q19" i="1"/>
  <c r="P19" i="1"/>
  <c r="O19" i="1"/>
  <c r="N19" i="1"/>
  <c r="M19" i="1"/>
  <c r="K19" i="1"/>
  <c r="J19" i="1"/>
  <c r="I19" i="1"/>
  <c r="H19" i="1"/>
  <c r="F19" i="1"/>
  <c r="E19" i="1"/>
  <c r="D19" i="1"/>
  <c r="C19" i="1"/>
  <c r="B19" i="1"/>
  <c r="A19" i="1"/>
  <c r="EP18" i="1"/>
  <c r="EO18" i="1"/>
  <c r="EN18" i="1"/>
  <c r="EM18" i="1"/>
  <c r="K18" i="1"/>
  <c r="J18" i="1"/>
  <c r="I18" i="1"/>
  <c r="H18" i="1"/>
  <c r="F18" i="1"/>
  <c r="E18" i="1"/>
  <c r="D18" i="1"/>
  <c r="C18" i="1"/>
  <c r="B18" i="1"/>
  <c r="A18" i="1"/>
  <c r="EP17" i="1"/>
  <c r="EO17" i="1"/>
  <c r="EN17" i="1"/>
  <c r="EM17" i="1"/>
  <c r="K17" i="1"/>
  <c r="J17" i="1"/>
  <c r="I17" i="1"/>
  <c r="H17" i="1"/>
  <c r="F17" i="1"/>
  <c r="E17" i="1"/>
  <c r="D17" i="1"/>
  <c r="C17" i="1"/>
  <c r="B17" i="1"/>
  <c r="A17" i="1"/>
  <c r="EP16" i="1"/>
  <c r="EO16" i="1"/>
  <c r="EN16" i="1"/>
  <c r="EM16" i="1"/>
  <c r="K16" i="1"/>
  <c r="J16" i="1"/>
  <c r="I16" i="1"/>
  <c r="H16" i="1"/>
  <c r="F16" i="1"/>
  <c r="E16" i="1"/>
  <c r="D16" i="1"/>
  <c r="C16" i="1"/>
  <c r="B16" i="1"/>
  <c r="A16" i="1"/>
  <c r="EP15" i="1"/>
  <c r="EO15" i="1"/>
  <c r="EN15" i="1"/>
  <c r="EM15" i="1"/>
  <c r="K15" i="1"/>
  <c r="J15" i="1"/>
  <c r="I15" i="1"/>
  <c r="H15" i="1"/>
  <c r="F15" i="1"/>
  <c r="E15" i="1"/>
  <c r="D15" i="1"/>
  <c r="C15" i="1"/>
  <c r="B15" i="1"/>
  <c r="A15" i="1"/>
  <c r="EP14" i="1"/>
  <c r="EO14" i="1"/>
  <c r="EN14" i="1"/>
  <c r="EM14" i="1"/>
  <c r="EI14" i="1"/>
  <c r="EH14" i="1"/>
  <c r="EG14" i="1"/>
  <c r="EF14" i="1"/>
  <c r="EE14" i="1"/>
  <c r="ED14" i="1"/>
  <c r="EC14" i="1"/>
  <c r="EB14" i="1"/>
  <c r="EA14" i="1"/>
  <c r="DZ14" i="1"/>
  <c r="DY14" i="1"/>
  <c r="DX14" i="1"/>
  <c r="DW14" i="1"/>
  <c r="DV14" i="1"/>
  <c r="DU14" i="1"/>
  <c r="DT14" i="1"/>
  <c r="DS14" i="1"/>
  <c r="DR14" i="1"/>
  <c r="DQ14" i="1"/>
  <c r="DP14" i="1"/>
  <c r="DO14" i="1"/>
  <c r="DN14" i="1"/>
  <c r="DM14" i="1"/>
  <c r="DL14" i="1"/>
  <c r="DK14" i="1"/>
  <c r="DJ14" i="1"/>
  <c r="DI14" i="1"/>
  <c r="DH14" i="1"/>
  <c r="DG14" i="1"/>
  <c r="DF14" i="1"/>
  <c r="DE14" i="1"/>
  <c r="DC14" i="1"/>
  <c r="DB14" i="1"/>
  <c r="DA14" i="1"/>
  <c r="CZ14" i="1"/>
  <c r="CY14" i="1"/>
  <c r="CX14" i="1"/>
  <c r="CW14" i="1"/>
  <c r="CV14" i="1"/>
  <c r="CU14" i="1"/>
  <c r="CT14" i="1"/>
  <c r="CS14" i="1"/>
  <c r="CR14" i="1"/>
  <c r="CQ14" i="1"/>
  <c r="CP14" i="1"/>
  <c r="CO14" i="1"/>
  <c r="CN14" i="1"/>
  <c r="CM14" i="1"/>
  <c r="CL14" i="1"/>
  <c r="CK14" i="1"/>
  <c r="CJ14" i="1"/>
  <c r="CI14" i="1"/>
  <c r="CH14" i="1"/>
  <c r="CG14" i="1"/>
  <c r="CF14" i="1"/>
  <c r="CE14" i="1"/>
  <c r="CD14" i="1"/>
  <c r="CC14" i="1"/>
  <c r="CB14" i="1"/>
  <c r="CA14" i="1"/>
  <c r="BZ14" i="1"/>
  <c r="BY14" i="1"/>
  <c r="BW14" i="1"/>
  <c r="BV14" i="1"/>
  <c r="BU14" i="1"/>
  <c r="BT14" i="1"/>
  <c r="BS14" i="1"/>
  <c r="BR14" i="1"/>
  <c r="BQ14" i="1"/>
  <c r="BP14" i="1"/>
  <c r="BO14" i="1"/>
  <c r="BN14" i="1"/>
  <c r="BM14" i="1"/>
  <c r="BL14" i="1"/>
  <c r="BK14" i="1"/>
  <c r="BJ14" i="1"/>
  <c r="BI14" i="1"/>
  <c r="BH14" i="1"/>
  <c r="BG14" i="1"/>
  <c r="BF14" i="1"/>
  <c r="BE14" i="1"/>
  <c r="BD14" i="1"/>
  <c r="BC14" i="1"/>
  <c r="BB14" i="1"/>
  <c r="BA14" i="1"/>
  <c r="AZ14" i="1"/>
  <c r="AY14" i="1"/>
  <c r="AX14" i="1"/>
  <c r="AW14" i="1"/>
  <c r="AV14" i="1"/>
  <c r="AU14" i="1"/>
  <c r="AT14" i="1"/>
  <c r="AS14" i="1"/>
  <c r="AQ14" i="1"/>
  <c r="AP14" i="1"/>
  <c r="AO14" i="1"/>
  <c r="AN14" i="1"/>
  <c r="AM14" i="1"/>
  <c r="AL14" i="1"/>
  <c r="AK14" i="1"/>
  <c r="AJ14" i="1"/>
  <c r="AI14" i="1"/>
  <c r="AH14" i="1"/>
  <c r="AG14" i="1"/>
  <c r="AF14" i="1"/>
  <c r="AE14" i="1"/>
  <c r="AD14" i="1"/>
  <c r="AC14" i="1"/>
  <c r="AB14" i="1"/>
  <c r="AA14" i="1"/>
  <c r="Z14" i="1"/>
  <c r="Y14" i="1"/>
  <c r="X14" i="1"/>
  <c r="W14" i="1"/>
  <c r="V14" i="1"/>
  <c r="U14" i="1"/>
  <c r="T14" i="1"/>
  <c r="S14" i="1"/>
  <c r="R14" i="1"/>
  <c r="Q14" i="1"/>
  <c r="P14" i="1"/>
  <c r="O14" i="1"/>
  <c r="N14" i="1"/>
  <c r="M14" i="1"/>
  <c r="K14" i="1"/>
  <c r="J14" i="1"/>
  <c r="I14" i="1"/>
  <c r="H14" i="1"/>
  <c r="F14" i="1"/>
  <c r="E14" i="1"/>
  <c r="D14" i="1"/>
  <c r="ET14" i="1" s="1"/>
  <c r="C14" i="1"/>
  <c r="B14" i="1"/>
  <c r="A14" i="1"/>
  <c r="EP13" i="1"/>
  <c r="EO13" i="1"/>
  <c r="EN13" i="1"/>
  <c r="EM13" i="1"/>
  <c r="K13" i="1"/>
  <c r="J13" i="1"/>
  <c r="I13" i="1"/>
  <c r="H13" i="1"/>
  <c r="F13" i="1"/>
  <c r="E13" i="1"/>
  <c r="D13" i="1"/>
  <c r="C13" i="1"/>
  <c r="B13" i="1"/>
  <c r="A13" i="1"/>
  <c r="EP12" i="1"/>
  <c r="EO12" i="1"/>
  <c r="EN12" i="1"/>
  <c r="EM12" i="1"/>
  <c r="K12" i="1"/>
  <c r="J12" i="1"/>
  <c r="I12" i="1"/>
  <c r="H12" i="1"/>
  <c r="F12" i="1"/>
  <c r="E12" i="1"/>
  <c r="D12" i="1"/>
  <c r="C12" i="1"/>
  <c r="B12" i="1"/>
  <c r="A12" i="1"/>
  <c r="EP11" i="1"/>
  <c r="EO11" i="1"/>
  <c r="EN11" i="1"/>
  <c r="EM11" i="1"/>
  <c r="K11" i="1"/>
  <c r="J11" i="1"/>
  <c r="I11" i="1"/>
  <c r="H11" i="1"/>
  <c r="F11" i="1"/>
  <c r="E11" i="1"/>
  <c r="D11" i="1"/>
  <c r="C11" i="1"/>
  <c r="B11" i="1"/>
  <c r="A11" i="1"/>
  <c r="EP10" i="1"/>
  <c r="EO10" i="1"/>
  <c r="EN10" i="1"/>
  <c r="EM10" i="1"/>
  <c r="K10" i="1"/>
  <c r="J10" i="1"/>
  <c r="I10" i="1"/>
  <c r="H10" i="1"/>
  <c r="F10" i="1"/>
  <c r="E10" i="1"/>
  <c r="D10" i="1"/>
  <c r="C10" i="1"/>
  <c r="B10" i="1"/>
  <c r="A10" i="1"/>
  <c r="EP9" i="1"/>
  <c r="EO9" i="1"/>
  <c r="EN9" i="1"/>
  <c r="EM9" i="1"/>
  <c r="EG9" i="1"/>
  <c r="EF9" i="1"/>
  <c r="EE9" i="1"/>
  <c r="ED9" i="1"/>
  <c r="EC9" i="1"/>
  <c r="EB9" i="1"/>
  <c r="EA9" i="1"/>
  <c r="DZ9" i="1"/>
  <c r="DY9" i="1"/>
  <c r="DX9" i="1"/>
  <c r="DW9" i="1"/>
  <c r="DV9" i="1"/>
  <c r="DU9" i="1"/>
  <c r="DT9" i="1"/>
  <c r="DS9" i="1"/>
  <c r="DR9" i="1"/>
  <c r="DQ9" i="1"/>
  <c r="DP9" i="1"/>
  <c r="DO9" i="1"/>
  <c r="DN9" i="1"/>
  <c r="DM9" i="1"/>
  <c r="DL9" i="1"/>
  <c r="DK9" i="1"/>
  <c r="DJ9" i="1"/>
  <c r="DI9" i="1"/>
  <c r="DH9" i="1"/>
  <c r="DG9" i="1"/>
  <c r="DF9" i="1"/>
  <c r="DE9" i="1"/>
  <c r="DA9" i="1"/>
  <c r="CZ9" i="1"/>
  <c r="CY9" i="1"/>
  <c r="CX9" i="1"/>
  <c r="CW9" i="1"/>
  <c r="CV9" i="1"/>
  <c r="CU9" i="1"/>
  <c r="CT9" i="1"/>
  <c r="CS9" i="1"/>
  <c r="CR9" i="1"/>
  <c r="CQ9" i="1"/>
  <c r="CP9" i="1"/>
  <c r="CO9" i="1"/>
  <c r="CN9" i="1"/>
  <c r="CM9" i="1"/>
  <c r="CL9" i="1"/>
  <c r="CK9" i="1"/>
  <c r="CJ9" i="1"/>
  <c r="CI9" i="1"/>
  <c r="CH9" i="1"/>
  <c r="CG9" i="1"/>
  <c r="CF9" i="1"/>
  <c r="CE9" i="1"/>
  <c r="CD9" i="1"/>
  <c r="CC9" i="1"/>
  <c r="CB9" i="1"/>
  <c r="CA9" i="1"/>
  <c r="BZ9" i="1"/>
  <c r="BY9" i="1"/>
  <c r="BU9" i="1"/>
  <c r="BT9" i="1"/>
  <c r="BS9" i="1"/>
  <c r="BR9" i="1"/>
  <c r="BQ9" i="1"/>
  <c r="BP9" i="1"/>
  <c r="BO9" i="1"/>
  <c r="BN9" i="1"/>
  <c r="BM9" i="1"/>
  <c r="BL9" i="1"/>
  <c r="BK9" i="1"/>
  <c r="BJ9" i="1"/>
  <c r="BI9" i="1"/>
  <c r="BH9" i="1"/>
  <c r="BG9" i="1"/>
  <c r="BF9" i="1"/>
  <c r="BE9" i="1"/>
  <c r="BD9" i="1"/>
  <c r="BC9" i="1"/>
  <c r="BB9" i="1"/>
  <c r="BA9" i="1"/>
  <c r="AZ9" i="1"/>
  <c r="AY9" i="1"/>
  <c r="AX9" i="1"/>
  <c r="AW9" i="1"/>
  <c r="AV9" i="1"/>
  <c r="AU9" i="1"/>
  <c r="AT9" i="1"/>
  <c r="AS9" i="1"/>
  <c r="AO9" i="1"/>
  <c r="AN9" i="1"/>
  <c r="AM9" i="1"/>
  <c r="AL9" i="1"/>
  <c r="AK9" i="1"/>
  <c r="AJ9" i="1"/>
  <c r="AI9" i="1"/>
  <c r="AH9" i="1"/>
  <c r="AG9" i="1"/>
  <c r="AF9" i="1"/>
  <c r="AE9" i="1"/>
  <c r="AD9" i="1"/>
  <c r="AC9" i="1"/>
  <c r="AB9" i="1"/>
  <c r="AA9" i="1"/>
  <c r="Z9" i="1"/>
  <c r="Y9" i="1"/>
  <c r="X9" i="1"/>
  <c r="W9" i="1"/>
  <c r="V9" i="1"/>
  <c r="U9" i="1"/>
  <c r="T9" i="1"/>
  <c r="S9" i="1"/>
  <c r="R9" i="1"/>
  <c r="Q9" i="1"/>
  <c r="P9" i="1"/>
  <c r="O9" i="1"/>
  <c r="N9" i="1"/>
  <c r="M9" i="1"/>
  <c r="K9" i="1"/>
  <c r="J9" i="1"/>
  <c r="I9" i="1"/>
  <c r="H9" i="1"/>
  <c r="F9" i="1"/>
  <c r="E9" i="1"/>
  <c r="D9" i="1"/>
  <c r="C9" i="1"/>
  <c r="B9" i="1"/>
  <c r="A9" i="1"/>
  <c r="EP8" i="1"/>
  <c r="EO8" i="1"/>
  <c r="EN8" i="1"/>
  <c r="EM8" i="1"/>
  <c r="K8" i="1"/>
  <c r="J8" i="1"/>
  <c r="I8" i="1"/>
  <c r="H8" i="1"/>
  <c r="F8" i="1"/>
  <c r="E8" i="1"/>
  <c r="D8" i="1"/>
  <c r="C8" i="1"/>
  <c r="B8" i="1"/>
  <c r="A8" i="1"/>
  <c r="EP7" i="1"/>
  <c r="EO7" i="1"/>
  <c r="EN7" i="1"/>
  <c r="EM7" i="1"/>
  <c r="K7" i="1"/>
  <c r="J7" i="1"/>
  <c r="I7" i="1"/>
  <c r="H7" i="1"/>
  <c r="F7" i="1"/>
  <c r="E7" i="1"/>
  <c r="D7" i="1"/>
  <c r="C7" i="1"/>
  <c r="B7" i="1"/>
  <c r="A7" i="1"/>
  <c r="EP6" i="1"/>
  <c r="EO6" i="1"/>
  <c r="EN6" i="1"/>
  <c r="EM6" i="1"/>
  <c r="K6" i="1"/>
  <c r="J6" i="1"/>
  <c r="I6" i="1"/>
  <c r="H6" i="1"/>
  <c r="F6" i="1"/>
  <c r="E6" i="1"/>
  <c r="D6" i="1"/>
  <c r="C6" i="1"/>
  <c r="B6" i="1"/>
  <c r="A6" i="1"/>
  <c r="EP5" i="1"/>
  <c r="EO5" i="1"/>
  <c r="EN5" i="1"/>
  <c r="EM5" i="1"/>
  <c r="K5" i="1"/>
  <c r="J5" i="1"/>
  <c r="I5" i="1"/>
  <c r="H5" i="1"/>
  <c r="F5" i="1"/>
  <c r="E5" i="1"/>
  <c r="D5" i="1"/>
  <c r="C5" i="1"/>
  <c r="B5" i="1"/>
  <c r="A5" i="1"/>
  <c r="EP4" i="1"/>
  <c r="EO4" i="1"/>
  <c r="EN4" i="1"/>
  <c r="EM4" i="1"/>
  <c r="EI4" i="1"/>
  <c r="EH4" i="1"/>
  <c r="EG4" i="1"/>
  <c r="EF4" i="1"/>
  <c r="EE4" i="1"/>
  <c r="ED4" i="1"/>
  <c r="EC4" i="1"/>
  <c r="EB4" i="1"/>
  <c r="EA4" i="1"/>
  <c r="DZ4" i="1"/>
  <c r="DY4" i="1"/>
  <c r="DX4" i="1"/>
  <c r="DW4" i="1"/>
  <c r="DV4" i="1"/>
  <c r="DU4" i="1"/>
  <c r="DT4" i="1"/>
  <c r="DS4" i="1"/>
  <c r="DR4" i="1"/>
  <c r="DQ4" i="1"/>
  <c r="DP4" i="1"/>
  <c r="DO4" i="1"/>
  <c r="DN4" i="1"/>
  <c r="DM4" i="1"/>
  <c r="DL4" i="1"/>
  <c r="DK4" i="1"/>
  <c r="DJ4" i="1"/>
  <c r="DI4" i="1"/>
  <c r="DH4" i="1"/>
  <c r="DG4" i="1"/>
  <c r="DF4" i="1"/>
  <c r="DE4" i="1"/>
  <c r="DC4" i="1"/>
  <c r="DB4" i="1"/>
  <c r="DA4" i="1"/>
  <c r="CZ4" i="1"/>
  <c r="CY4" i="1"/>
  <c r="CX4" i="1"/>
  <c r="CW4" i="1"/>
  <c r="CV4" i="1"/>
  <c r="CU4" i="1"/>
  <c r="CT4" i="1"/>
  <c r="CS4" i="1"/>
  <c r="CR4" i="1"/>
  <c r="CQ4" i="1"/>
  <c r="CP4" i="1"/>
  <c r="CO4" i="1"/>
  <c r="CN4" i="1"/>
  <c r="CM4" i="1"/>
  <c r="CL4" i="1"/>
  <c r="CK4" i="1"/>
  <c r="CJ4" i="1"/>
  <c r="CI4" i="1"/>
  <c r="CH4" i="1"/>
  <c r="CG4" i="1"/>
  <c r="CF4" i="1"/>
  <c r="CE4" i="1"/>
  <c r="CD4" i="1"/>
  <c r="CC4" i="1"/>
  <c r="CB4" i="1"/>
  <c r="CA4" i="1"/>
  <c r="BZ4" i="1"/>
  <c r="BY4" i="1"/>
  <c r="BW4" i="1"/>
  <c r="BV4" i="1"/>
  <c r="BU4" i="1"/>
  <c r="BT4" i="1"/>
  <c r="BS4" i="1"/>
  <c r="BR4" i="1"/>
  <c r="BQ4" i="1"/>
  <c r="BP4" i="1"/>
  <c r="BO4" i="1"/>
  <c r="BN4" i="1"/>
  <c r="BM4" i="1"/>
  <c r="BL4" i="1"/>
  <c r="BK4" i="1"/>
  <c r="BJ4" i="1"/>
  <c r="BI4" i="1"/>
  <c r="BH4" i="1"/>
  <c r="BG4" i="1"/>
  <c r="BF4" i="1"/>
  <c r="BE4" i="1"/>
  <c r="BD4" i="1"/>
  <c r="BC4" i="1"/>
  <c r="BB4" i="1"/>
  <c r="BA4" i="1"/>
  <c r="AZ4" i="1"/>
  <c r="AY4" i="1"/>
  <c r="AX4" i="1"/>
  <c r="AW4" i="1"/>
  <c r="AV4" i="1"/>
  <c r="AU4" i="1"/>
  <c r="AT4" i="1"/>
  <c r="AS4" i="1"/>
  <c r="AQ4" i="1"/>
  <c r="AP4" i="1"/>
  <c r="AO4" i="1"/>
  <c r="AN4" i="1"/>
  <c r="AM4" i="1"/>
  <c r="AL4" i="1"/>
  <c r="AK4" i="1"/>
  <c r="AJ4" i="1"/>
  <c r="AI4" i="1"/>
  <c r="AH4" i="1"/>
  <c r="AG4" i="1"/>
  <c r="AF4" i="1"/>
  <c r="AE4" i="1"/>
  <c r="AD4" i="1"/>
  <c r="AC4" i="1"/>
  <c r="AB4" i="1"/>
  <c r="AA4" i="1"/>
  <c r="Z4" i="1"/>
  <c r="Y4" i="1"/>
  <c r="X4" i="1"/>
  <c r="W4" i="1"/>
  <c r="V4" i="1"/>
  <c r="U4" i="1"/>
  <c r="T4" i="1"/>
  <c r="S4" i="1"/>
  <c r="R4" i="1"/>
  <c r="Q4" i="1"/>
  <c r="P4" i="1"/>
  <c r="O4" i="1"/>
  <c r="N4" i="1"/>
  <c r="M4" i="1"/>
  <c r="K4" i="1"/>
  <c r="J4" i="1"/>
  <c r="I4" i="1"/>
  <c r="H4" i="1"/>
  <c r="F4" i="1"/>
  <c r="E4" i="1"/>
  <c r="D4" i="1"/>
  <c r="C4" i="1"/>
  <c r="B4" i="1"/>
  <c r="A4" i="1"/>
  <c r="EP3" i="1"/>
  <c r="EO3" i="1"/>
  <c r="EN3" i="1"/>
  <c r="EM3" i="1"/>
  <c r="K3" i="1"/>
  <c r="J3" i="1"/>
  <c r="I3" i="1"/>
  <c r="H3" i="1"/>
  <c r="F3" i="1"/>
  <c r="E3" i="1"/>
  <c r="D3" i="1"/>
  <c r="C3" i="1"/>
  <c r="B3" i="1"/>
  <c r="A3" i="1"/>
  <c r="EP2" i="1"/>
  <c r="EO2" i="1"/>
  <c r="EN2" i="1"/>
  <c r="EM2" i="1"/>
  <c r="K2" i="1"/>
  <c r="J2" i="1"/>
  <c r="I2" i="1"/>
  <c r="H2" i="1"/>
  <c r="F2" i="1"/>
  <c r="E2" i="1"/>
  <c r="D2" i="1"/>
  <c r="C2" i="1"/>
  <c r="B2" i="1"/>
  <c r="A2" i="1"/>
  <c r="EM1" i="1"/>
  <c r="F1" i="1"/>
  <c r="E1" i="1"/>
  <c r="D1" i="1"/>
  <c r="C1" i="1"/>
  <c r="B1" i="1"/>
  <c r="A1" i="1"/>
  <c r="F443" i="1" l="1"/>
  <c r="F470" i="1"/>
  <c r="F504" i="1"/>
  <c r="F558" i="1"/>
  <c r="F329" i="1"/>
  <c r="F293" i="1"/>
  <c r="F258" i="1"/>
  <c r="F296" i="1"/>
  <c r="F330" i="1"/>
  <c r="F334" i="1"/>
  <c r="F338" i="1"/>
  <c r="F370" i="1"/>
  <c r="F570" i="1"/>
  <c r="F230" i="1"/>
  <c r="F235" i="1"/>
  <c r="F265" i="1"/>
  <c r="F270" i="1"/>
  <c r="F274" i="1"/>
  <c r="F280" i="1"/>
  <c r="F323" i="1"/>
  <c r="F226" i="1"/>
  <c r="F246" i="1"/>
  <c r="F292" i="1"/>
  <c r="F238" i="1"/>
  <c r="F242" i="1"/>
  <c r="F288" i="1"/>
  <c r="F297" i="1"/>
  <c r="F234" i="1"/>
  <c r="F271" i="1"/>
  <c r="F281" i="1"/>
  <c r="F294" i="1"/>
  <c r="F88" i="1"/>
  <c r="F104" i="1"/>
  <c r="F145" i="1"/>
  <c r="F162" i="1"/>
  <c r="F170" i="1"/>
  <c r="F178" i="1"/>
  <c r="F190" i="1"/>
  <c r="F126" i="1"/>
  <c r="E151" i="1"/>
  <c r="F151" i="1"/>
  <c r="E171" i="1"/>
  <c r="F171" i="1"/>
  <c r="E475" i="1"/>
  <c r="E90" i="1"/>
  <c r="F90" i="1"/>
  <c r="E102" i="1"/>
  <c r="E106" i="1"/>
  <c r="F106" i="1"/>
  <c r="E110" i="1"/>
  <c r="F110" i="1"/>
  <c r="F123" i="1"/>
  <c r="F131" i="1"/>
  <c r="E152" i="1"/>
  <c r="F152" i="1"/>
  <c r="E156" i="1"/>
  <c r="F156" i="1"/>
  <c r="F160" i="1"/>
  <c r="E164" i="1"/>
  <c r="F164" i="1"/>
  <c r="F176" i="1"/>
  <c r="F184" i="1"/>
  <c r="F224" i="1"/>
  <c r="F228" i="1"/>
  <c r="F244" i="1"/>
  <c r="F249" i="1"/>
  <c r="F272" i="1"/>
  <c r="F277" i="1"/>
  <c r="F331" i="1"/>
  <c r="F335" i="1"/>
  <c r="F352" i="1"/>
  <c r="F436" i="1"/>
  <c r="F493" i="1"/>
  <c r="F80" i="1"/>
  <c r="F121" i="1"/>
  <c r="E141" i="1"/>
  <c r="F141" i="1"/>
  <c r="F150" i="1"/>
  <c r="E158" i="1"/>
  <c r="F158" i="1"/>
  <c r="F174" i="1"/>
  <c r="E520" i="1"/>
  <c r="E81" i="1"/>
  <c r="F81" i="1"/>
  <c r="E101" i="1"/>
  <c r="F101" i="1"/>
  <c r="F109" i="1"/>
  <c r="E122" i="1"/>
  <c r="F122" i="1"/>
  <c r="F138" i="1"/>
  <c r="E146" i="1"/>
  <c r="F146" i="1"/>
  <c r="E183" i="1"/>
  <c r="F75" i="1"/>
  <c r="F79" i="1"/>
  <c r="E107" i="1"/>
  <c r="F107" i="1"/>
  <c r="F120" i="1"/>
  <c r="F153" i="1"/>
  <c r="E157" i="1"/>
  <c r="F157" i="1"/>
  <c r="E161" i="1"/>
  <c r="F161" i="1"/>
  <c r="F169" i="1"/>
  <c r="E173" i="1"/>
  <c r="E177" i="1"/>
  <c r="F177" i="1"/>
  <c r="F225" i="1"/>
  <c r="F233" i="1"/>
  <c r="F237" i="1"/>
  <c r="F255" i="1"/>
  <c r="F264" i="1"/>
  <c r="F269" i="1"/>
  <c r="F273" i="1"/>
  <c r="F291" i="1"/>
  <c r="F295" i="1"/>
  <c r="F328" i="1"/>
  <c r="F332" i="1"/>
  <c r="F354" i="1"/>
  <c r="E372" i="1"/>
  <c r="F437" i="1"/>
  <c r="F442" i="1"/>
  <c r="F475" i="1"/>
  <c r="F500" i="1"/>
  <c r="E439" i="1"/>
  <c r="E523" i="1"/>
  <c r="E433" i="1"/>
  <c r="F516" i="1"/>
  <c r="F510" i="1"/>
  <c r="E430" i="1"/>
  <c r="E478" i="1"/>
  <c r="E514" i="1"/>
  <c r="E454" i="1"/>
  <c r="E471" i="1"/>
  <c r="F537" i="1"/>
  <c r="F457" i="1"/>
  <c r="F461" i="1"/>
  <c r="E416" i="1"/>
  <c r="F497" i="1"/>
  <c r="F407" i="1"/>
  <c r="E521" i="1"/>
  <c r="E525" i="1"/>
  <c r="E381" i="1"/>
  <c r="E400" i="1"/>
  <c r="E504" i="1"/>
  <c r="E105" i="1"/>
  <c r="E109" i="1"/>
  <c r="E185" i="1"/>
  <c r="E391" i="1"/>
  <c r="E408" i="1"/>
  <c r="E447" i="1"/>
  <c r="E459" i="1"/>
  <c r="E467" i="1"/>
  <c r="E479" i="1"/>
  <c r="F344" i="1"/>
  <c r="F348" i="1"/>
  <c r="F359" i="1"/>
  <c r="F363" i="1"/>
  <c r="F367" i="1"/>
  <c r="F375" i="1"/>
  <c r="F379" i="1"/>
  <c r="F383" i="1"/>
  <c r="F395" i="1"/>
  <c r="F399" i="1"/>
  <c r="F455" i="1"/>
  <c r="F523" i="1"/>
  <c r="E225" i="1"/>
  <c r="E373" i="1"/>
  <c r="E393" i="1"/>
  <c r="E569" i="1"/>
  <c r="E138" i="1"/>
  <c r="E401" i="1"/>
  <c r="E178" i="1"/>
  <c r="F351" i="1"/>
  <c r="E377" i="1"/>
  <c r="E397" i="1"/>
  <c r="E419" i="1"/>
  <c r="E537" i="1"/>
  <c r="E414" i="1"/>
  <c r="E426" i="1"/>
  <c r="E449" i="1"/>
  <c r="F528" i="1"/>
  <c r="F545" i="1"/>
  <c r="E500" i="1"/>
  <c r="E375" i="1"/>
  <c r="E445" i="1"/>
  <c r="E460" i="1"/>
  <c r="E472" i="1"/>
  <c r="F514" i="1"/>
  <c r="F542" i="1"/>
  <c r="F563" i="1"/>
  <c r="F567" i="1"/>
  <c r="F345" i="1"/>
  <c r="F349" i="1"/>
  <c r="F356" i="1"/>
  <c r="F360" i="1"/>
  <c r="F364" i="1"/>
  <c r="F376" i="1"/>
  <c r="F380" i="1"/>
  <c r="F384" i="1"/>
  <c r="F404" i="1"/>
  <c r="F424" i="1"/>
  <c r="F429" i="1"/>
  <c r="F433" i="1"/>
  <c r="F458" i="1"/>
  <c r="E496" i="1"/>
  <c r="E512" i="1"/>
  <c r="E516" i="1"/>
  <c r="F400" i="1"/>
  <c r="F408" i="1"/>
  <c r="F450" i="1"/>
  <c r="F462" i="1"/>
  <c r="F466" i="1"/>
  <c r="F474" i="1"/>
  <c r="F486" i="1"/>
  <c r="F498" i="1"/>
  <c r="F502" i="1"/>
  <c r="F522" i="1"/>
  <c r="F526" i="1"/>
  <c r="F534" i="1"/>
  <c r="F538" i="1"/>
  <c r="F560" i="1"/>
  <c r="F564" i="1"/>
  <c r="F568" i="1"/>
  <c r="F410" i="1"/>
  <c r="E436" i="1"/>
  <c r="E456" i="1"/>
  <c r="F496" i="1"/>
  <c r="E508" i="1"/>
  <c r="F512" i="1"/>
  <c r="F532" i="1"/>
  <c r="E540" i="1"/>
  <c r="F377" i="1"/>
  <c r="F381" i="1"/>
  <c r="F393" i="1"/>
  <c r="F409" i="1"/>
  <c r="F459" i="1"/>
  <c r="F463" i="1"/>
  <c r="F353" i="1"/>
  <c r="F536" i="1"/>
  <c r="F540" i="1"/>
  <c r="F562" i="1"/>
  <c r="F343" i="1"/>
  <c r="F347" i="1"/>
  <c r="F358" i="1"/>
  <c r="F362" i="1"/>
  <c r="F366" i="1"/>
  <c r="F374" i="1"/>
  <c r="F382" i="1"/>
  <c r="F394" i="1"/>
  <c r="F398" i="1"/>
  <c r="F418" i="1"/>
  <c r="F422" i="1"/>
  <c r="F456" i="1"/>
  <c r="F460" i="1"/>
  <c r="F464" i="1"/>
  <c r="F468" i="1"/>
  <c r="F476" i="1"/>
  <c r="F492" i="1"/>
  <c r="F508" i="1"/>
  <c r="F520" i="1"/>
  <c r="F524" i="1"/>
  <c r="E379" i="1"/>
  <c r="E404" i="1"/>
  <c r="E461" i="1"/>
  <c r="E486" i="1"/>
  <c r="E148" i="1"/>
  <c r="E407" i="1"/>
  <c r="E412" i="1"/>
  <c r="E457" i="1"/>
  <c r="E462" i="1"/>
  <c r="E458" i="1"/>
  <c r="E463" i="1"/>
  <c r="E170" i="1"/>
  <c r="BW6" i="1"/>
  <c r="E175" i="1"/>
  <c r="E131" i="1"/>
  <c r="E139" i="1"/>
  <c r="E159" i="1"/>
  <c r="E388" i="1"/>
  <c r="E482" i="1"/>
  <c r="E526" i="1"/>
  <c r="E88" i="1"/>
  <c r="E121" i="1"/>
  <c r="E123" i="1"/>
  <c r="E124" i="1"/>
  <c r="E145" i="1"/>
  <c r="E160" i="1"/>
  <c r="E168" i="1"/>
  <c r="E233" i="1"/>
  <c r="E384" i="1"/>
  <c r="E389" i="1"/>
  <c r="E396" i="1"/>
  <c r="E405" i="1"/>
  <c r="E434" i="1"/>
  <c r="E450" i="1"/>
  <c r="E483" i="1"/>
  <c r="E490" i="1"/>
  <c r="E538" i="1"/>
  <c r="F453" i="1"/>
  <c r="E142" i="1"/>
  <c r="E394" i="1"/>
  <c r="E469" i="1"/>
  <c r="E485" i="1"/>
  <c r="E489" i="1"/>
  <c r="E505" i="1"/>
  <c r="F392" i="1"/>
  <c r="F467" i="1"/>
  <c r="F471" i="1"/>
  <c r="E182" i="1"/>
  <c r="E374" i="1"/>
  <c r="E390" i="1"/>
  <c r="E398" i="1"/>
  <c r="E402" i="1"/>
  <c r="E444" i="1"/>
  <c r="E448" i="1"/>
  <c r="E473" i="1"/>
  <c r="E477" i="1"/>
  <c r="E481" i="1"/>
  <c r="E75" i="1"/>
  <c r="E79" i="1"/>
  <c r="E162" i="1"/>
  <c r="E174" i="1"/>
  <c r="E190" i="1"/>
  <c r="E382" i="1"/>
  <c r="E406" i="1"/>
  <c r="E410" i="1"/>
  <c r="E431" i="1"/>
  <c r="E497" i="1"/>
  <c r="E517" i="1"/>
  <c r="F541" i="1"/>
  <c r="F491" i="1"/>
  <c r="F490" i="1"/>
  <c r="E104" i="1"/>
  <c r="E172" i="1"/>
  <c r="E476" i="1"/>
  <c r="E495" i="1"/>
  <c r="E509" i="1"/>
  <c r="F397" i="1"/>
  <c r="F527" i="1"/>
  <c r="F531" i="1"/>
  <c r="F535" i="1"/>
  <c r="E80" i="1"/>
  <c r="E376" i="1"/>
  <c r="E432" i="1"/>
  <c r="E468" i="1"/>
  <c r="E498" i="1"/>
  <c r="E506" i="1"/>
  <c r="E513" i="1"/>
  <c r="F431" i="1"/>
  <c r="E176" i="1"/>
  <c r="E169" i="1"/>
  <c r="E184" i="1"/>
  <c r="E224" i="1"/>
  <c r="E380" i="1"/>
  <c r="E383" i="1"/>
  <c r="E437" i="1"/>
  <c r="F452" i="1"/>
  <c r="E480" i="1"/>
  <c r="E488" i="1"/>
  <c r="E502" i="1"/>
  <c r="F513" i="1"/>
  <c r="E571" i="1"/>
  <c r="F368" i="1"/>
  <c r="F372" i="1"/>
  <c r="E415" i="1"/>
  <c r="F445" i="1"/>
  <c r="F449" i="1"/>
  <c r="F111" i="1"/>
  <c r="E111" i="1"/>
  <c r="F115" i="1"/>
  <c r="E115" i="1"/>
  <c r="F149" i="1"/>
  <c r="E149" i="1"/>
  <c r="F386" i="1"/>
  <c r="E387" i="1"/>
  <c r="E403" i="1"/>
  <c r="F403" i="1"/>
  <c r="E119" i="1"/>
  <c r="E133" i="1"/>
  <c r="F519" i="1"/>
  <c r="F391" i="1"/>
  <c r="F411" i="1"/>
  <c r="E413" i="1"/>
  <c r="F483" i="1"/>
  <c r="F482" i="1"/>
  <c r="E153" i="1"/>
  <c r="F517" i="1"/>
  <c r="E120" i="1"/>
  <c r="E126" i="1"/>
  <c r="E150" i="1"/>
  <c r="E392" i="1"/>
  <c r="E418" i="1"/>
  <c r="F448" i="1"/>
  <c r="E499" i="1"/>
  <c r="E507" i="1"/>
  <c r="E510" i="1"/>
  <c r="E518" i="1"/>
  <c r="E541" i="1"/>
  <c r="F390" i="1"/>
  <c r="F438" i="1"/>
  <c r="F487" i="1"/>
  <c r="F515" i="1"/>
  <c r="F539" i="1"/>
  <c r="F543" i="1"/>
  <c r="F561" i="1"/>
  <c r="F565" i="1"/>
  <c r="F569" i="1"/>
  <c r="F469" i="1"/>
  <c r="F473" i="1"/>
  <c r="F495" i="1"/>
  <c r="F435" i="1"/>
  <c r="F478" i="1"/>
  <c r="F485" i="1"/>
  <c r="F572" i="1"/>
  <c r="F571" i="1"/>
  <c r="F406" i="1"/>
  <c r="F405" i="1"/>
  <c r="F417" i="1"/>
  <c r="F416" i="1"/>
  <c r="F447" i="1"/>
  <c r="F446" i="1"/>
  <c r="F481" i="1"/>
  <c r="F480" i="1"/>
  <c r="F440" i="1"/>
  <c r="F439" i="1"/>
  <c r="F489" i="1"/>
  <c r="F488" i="1"/>
  <c r="F507" i="1"/>
  <c r="F506" i="1"/>
  <c r="F477" i="1"/>
  <c r="F378" i="1"/>
  <c r="DY16" i="1"/>
  <c r="F419" i="1"/>
  <c r="F423" i="1"/>
  <c r="F444" i="1"/>
  <c r="F472" i="1"/>
  <c r="F484" i="1"/>
  <c r="F501" i="1"/>
  <c r="F505" i="1"/>
  <c r="F509" i="1"/>
  <c r="F511" i="1"/>
  <c r="BQ6" i="1"/>
  <c r="O6" i="1"/>
  <c r="S6" i="1"/>
  <c r="W6" i="1"/>
  <c r="AA6" i="1"/>
  <c r="AE6" i="1"/>
  <c r="AI6" i="1"/>
  <c r="AM6" i="1"/>
  <c r="AQ6" i="1"/>
  <c r="AV6" i="1"/>
  <c r="AZ6" i="1"/>
  <c r="BD6" i="1"/>
  <c r="BH6" i="1"/>
  <c r="BL6" i="1"/>
  <c r="BP6" i="1"/>
  <c r="BT6" i="1"/>
  <c r="DF6" i="1"/>
  <c r="DJ6" i="1"/>
  <c r="DN6" i="1"/>
  <c r="DR6" i="1"/>
  <c r="DV6" i="1"/>
  <c r="DZ6" i="1"/>
  <c r="ED6" i="1"/>
  <c r="EH6" i="1"/>
  <c r="M11" i="1"/>
  <c r="Q11" i="1"/>
  <c r="U11" i="1"/>
  <c r="Y11" i="1"/>
  <c r="AC11" i="1"/>
  <c r="AG11" i="1"/>
  <c r="AL11" i="1"/>
  <c r="AV11" i="1"/>
  <c r="BD11" i="1"/>
  <c r="BL11" i="1"/>
  <c r="BT11" i="1"/>
  <c r="DF11" i="1"/>
  <c r="DN11" i="1"/>
  <c r="DV11" i="1"/>
  <c r="ED11" i="1"/>
  <c r="N16" i="1"/>
  <c r="AD16" i="1"/>
  <c r="AU16" i="1"/>
  <c r="BK16" i="1"/>
  <c r="DI16" i="1"/>
  <c r="EF61" i="1"/>
  <c r="EB61" i="1"/>
  <c r="DX61" i="1"/>
  <c r="DT61" i="1"/>
  <c r="DP61" i="1"/>
  <c r="DL61" i="1"/>
  <c r="DH61" i="1"/>
  <c r="DC61" i="1"/>
  <c r="CY61" i="1"/>
  <c r="CU61" i="1"/>
  <c r="CQ61" i="1"/>
  <c r="CM61" i="1"/>
  <c r="CI61" i="1"/>
  <c r="CE61" i="1"/>
  <c r="CA61" i="1"/>
  <c r="BV61" i="1"/>
  <c r="BR61" i="1"/>
  <c r="BN61" i="1"/>
  <c r="BJ61" i="1"/>
  <c r="BF61" i="1"/>
  <c r="BB61" i="1"/>
  <c r="AX61" i="1"/>
  <c r="AT61" i="1"/>
  <c r="AO61" i="1"/>
  <c r="AK61" i="1"/>
  <c r="AG61" i="1"/>
  <c r="AC61" i="1"/>
  <c r="Y61" i="1"/>
  <c r="U61" i="1"/>
  <c r="Q61" i="1"/>
  <c r="M61" i="1"/>
  <c r="EG56" i="1"/>
  <c r="EC56" i="1"/>
  <c r="DY56" i="1"/>
  <c r="DU56" i="1"/>
  <c r="DQ56" i="1"/>
  <c r="DM56" i="1"/>
  <c r="DI56" i="1"/>
  <c r="DE56" i="1"/>
  <c r="CY56" i="1"/>
  <c r="CU56" i="1"/>
  <c r="CQ56" i="1"/>
  <c r="CM56" i="1"/>
  <c r="CI56" i="1"/>
  <c r="CE56" i="1"/>
  <c r="CA56" i="1"/>
  <c r="BU56" i="1"/>
  <c r="BQ56" i="1"/>
  <c r="BM56" i="1"/>
  <c r="BI56" i="1"/>
  <c r="BE56" i="1"/>
  <c r="BA56" i="1"/>
  <c r="AW56" i="1"/>
  <c r="AS56" i="1"/>
  <c r="AM56" i="1"/>
  <c r="AI56" i="1"/>
  <c r="AE56" i="1"/>
  <c r="AA56" i="1"/>
  <c r="W56" i="1"/>
  <c r="S56" i="1"/>
  <c r="O56" i="1"/>
  <c r="EI61" i="1"/>
  <c r="EE61" i="1"/>
  <c r="EA61" i="1"/>
  <c r="DW61" i="1"/>
  <c r="DS61" i="1"/>
  <c r="DO61" i="1"/>
  <c r="DK61" i="1"/>
  <c r="DG61" i="1"/>
  <c r="DB61" i="1"/>
  <c r="CX61" i="1"/>
  <c r="CT61" i="1"/>
  <c r="CP61" i="1"/>
  <c r="CL61" i="1"/>
  <c r="CH61" i="1"/>
  <c r="CD61" i="1"/>
  <c r="BZ61" i="1"/>
  <c r="BU61" i="1"/>
  <c r="BQ61" i="1"/>
  <c r="BM61" i="1"/>
  <c r="BI61" i="1"/>
  <c r="BE61" i="1"/>
  <c r="BA61" i="1"/>
  <c r="AW61" i="1"/>
  <c r="AS61" i="1"/>
  <c r="AN61" i="1"/>
  <c r="AJ61" i="1"/>
  <c r="AF61" i="1"/>
  <c r="AB61" i="1"/>
  <c r="X61" i="1"/>
  <c r="T61" i="1"/>
  <c r="P61" i="1"/>
  <c r="EF56" i="1"/>
  <c r="EB56" i="1"/>
  <c r="DX56" i="1"/>
  <c r="DT56" i="1"/>
  <c r="EH61" i="1"/>
  <c r="DZ61" i="1"/>
  <c r="DR61" i="1"/>
  <c r="DJ61" i="1"/>
  <c r="DA61" i="1"/>
  <c r="CS61" i="1"/>
  <c r="CK61" i="1"/>
  <c r="CC61" i="1"/>
  <c r="BT61" i="1"/>
  <c r="BL61" i="1"/>
  <c r="BD61" i="1"/>
  <c r="AV61" i="1"/>
  <c r="AM61" i="1"/>
  <c r="AE61" i="1"/>
  <c r="W61" i="1"/>
  <c r="O61" i="1"/>
  <c r="ED61" i="1"/>
  <c r="DV61" i="1"/>
  <c r="DN61" i="1"/>
  <c r="DF61" i="1"/>
  <c r="CW61" i="1"/>
  <c r="CO61" i="1"/>
  <c r="CG61" i="1"/>
  <c r="BY61" i="1"/>
  <c r="BP61" i="1"/>
  <c r="BH61" i="1"/>
  <c r="AZ61" i="1"/>
  <c r="AQ61" i="1"/>
  <c r="AI61" i="1"/>
  <c r="AA61" i="1"/>
  <c r="S61" i="1"/>
  <c r="ED56" i="1"/>
  <c r="DV56" i="1"/>
  <c r="DO56" i="1"/>
  <c r="DJ56" i="1"/>
  <c r="DB56" i="1"/>
  <c r="CW56" i="1"/>
  <c r="CR56" i="1"/>
  <c r="CL56" i="1"/>
  <c r="CG56" i="1"/>
  <c r="CB56" i="1"/>
  <c r="BT56" i="1"/>
  <c r="BO56" i="1"/>
  <c r="BJ56" i="1"/>
  <c r="BD56" i="1"/>
  <c r="AY56" i="1"/>
  <c r="AT56" i="1"/>
  <c r="AL56" i="1"/>
  <c r="AG56" i="1"/>
  <c r="AB56" i="1"/>
  <c r="V56" i="1"/>
  <c r="Q56" i="1"/>
  <c r="EG51" i="1"/>
  <c r="EC51" i="1"/>
  <c r="DY51" i="1"/>
  <c r="DU51" i="1"/>
  <c r="DQ51" i="1"/>
  <c r="DM51" i="1"/>
  <c r="DI51" i="1"/>
  <c r="DE51" i="1"/>
  <c r="CZ51" i="1"/>
  <c r="CV51" i="1"/>
  <c r="CR51" i="1"/>
  <c r="CN51" i="1"/>
  <c r="CJ51" i="1"/>
  <c r="CF51" i="1"/>
  <c r="CB51" i="1"/>
  <c r="BW51" i="1"/>
  <c r="BS51" i="1"/>
  <c r="BO51" i="1"/>
  <c r="BK51" i="1"/>
  <c r="BG51" i="1"/>
  <c r="BC51" i="1"/>
  <c r="AY51" i="1"/>
  <c r="AU51" i="1"/>
  <c r="AP51" i="1"/>
  <c r="AL51" i="1"/>
  <c r="AH51" i="1"/>
  <c r="AD51" i="1"/>
  <c r="Z51" i="1"/>
  <c r="V51" i="1"/>
  <c r="R51" i="1"/>
  <c r="N51" i="1"/>
  <c r="EC61" i="1"/>
  <c r="DU61" i="1"/>
  <c r="DM61" i="1"/>
  <c r="DE61" i="1"/>
  <c r="CV61" i="1"/>
  <c r="CN61" i="1"/>
  <c r="CF61" i="1"/>
  <c r="BW61" i="1"/>
  <c r="BO61" i="1"/>
  <c r="BG61" i="1"/>
  <c r="AY61" i="1"/>
  <c r="AP61" i="1"/>
  <c r="AH61" i="1"/>
  <c r="Z61" i="1"/>
  <c r="R61" i="1"/>
  <c r="EA56" i="1"/>
  <c r="DS56" i="1"/>
  <c r="DN56" i="1"/>
  <c r="DH56" i="1"/>
  <c r="DA56" i="1"/>
  <c r="CV56" i="1"/>
  <c r="CP56" i="1"/>
  <c r="CK56" i="1"/>
  <c r="CF56" i="1"/>
  <c r="BZ56" i="1"/>
  <c r="BS56" i="1"/>
  <c r="BN56" i="1"/>
  <c r="BH56" i="1"/>
  <c r="BC56" i="1"/>
  <c r="AX56" i="1"/>
  <c r="AP56" i="1"/>
  <c r="AK56" i="1"/>
  <c r="AF56" i="1"/>
  <c r="Z56" i="1"/>
  <c r="U56" i="1"/>
  <c r="P56" i="1"/>
  <c r="EF51" i="1"/>
  <c r="EB51" i="1"/>
  <c r="DX51" i="1"/>
  <c r="DT51" i="1"/>
  <c r="DP51" i="1"/>
  <c r="DL51" i="1"/>
  <c r="DH51" i="1"/>
  <c r="DC51" i="1"/>
  <c r="CY51" i="1"/>
  <c r="CU51" i="1"/>
  <c r="CQ51" i="1"/>
  <c r="CM51" i="1"/>
  <c r="CI51" i="1"/>
  <c r="CE51" i="1"/>
  <c r="CA51" i="1"/>
  <c r="BV51" i="1"/>
  <c r="BR51" i="1"/>
  <c r="BN51" i="1"/>
  <c r="BJ51" i="1"/>
  <c r="BF51" i="1"/>
  <c r="BB51" i="1"/>
  <c r="AX51" i="1"/>
  <c r="AT51" i="1"/>
  <c r="AO51" i="1"/>
  <c r="AK51" i="1"/>
  <c r="AG51" i="1"/>
  <c r="AC51" i="1"/>
  <c r="Y51" i="1"/>
  <c r="U51" i="1"/>
  <c r="Q51" i="1"/>
  <c r="M51" i="1"/>
  <c r="EF46" i="1"/>
  <c r="EB46" i="1"/>
  <c r="DX46" i="1"/>
  <c r="DT46" i="1"/>
  <c r="DP46" i="1"/>
  <c r="DL46" i="1"/>
  <c r="DH46" i="1"/>
  <c r="DC46" i="1"/>
  <c r="CY46" i="1"/>
  <c r="CU46" i="1"/>
  <c r="CQ46" i="1"/>
  <c r="CM46" i="1"/>
  <c r="CI46" i="1"/>
  <c r="CE46" i="1"/>
  <c r="CA46" i="1"/>
  <c r="BV46" i="1"/>
  <c r="BR46" i="1"/>
  <c r="DI61" i="1"/>
  <c r="CB61" i="1"/>
  <c r="AU61" i="1"/>
  <c r="N61" i="1"/>
  <c r="EE56" i="1"/>
  <c r="DP56" i="1"/>
  <c r="DF56" i="1"/>
  <c r="CS56" i="1"/>
  <c r="CH56" i="1"/>
  <c r="BV56" i="1"/>
  <c r="BK56" i="1"/>
  <c r="AZ56" i="1"/>
  <c r="AN56" i="1"/>
  <c r="AC56" i="1"/>
  <c r="R56" i="1"/>
  <c r="ED51" i="1"/>
  <c r="DV51" i="1"/>
  <c r="DN51" i="1"/>
  <c r="DF51" i="1"/>
  <c r="CW51" i="1"/>
  <c r="CO51" i="1"/>
  <c r="CG51" i="1"/>
  <c r="BP51" i="1"/>
  <c r="BH51" i="1"/>
  <c r="AZ51" i="1"/>
  <c r="AQ51" i="1"/>
  <c r="AI51" i="1"/>
  <c r="AA51" i="1"/>
  <c r="S51" i="1"/>
  <c r="EH46" i="1"/>
  <c r="EC46" i="1"/>
  <c r="DW46" i="1"/>
  <c r="DR46" i="1"/>
  <c r="DM46" i="1"/>
  <c r="DG46" i="1"/>
  <c r="DA46" i="1"/>
  <c r="CV46" i="1"/>
  <c r="CP46" i="1"/>
  <c r="CK46" i="1"/>
  <c r="CF46" i="1"/>
  <c r="BZ46" i="1"/>
  <c r="BT46" i="1"/>
  <c r="BO46" i="1"/>
  <c r="BK46" i="1"/>
  <c r="BG46" i="1"/>
  <c r="BC46" i="1"/>
  <c r="AY46" i="1"/>
  <c r="AU46" i="1"/>
  <c r="AP46" i="1"/>
  <c r="AL46" i="1"/>
  <c r="AH46" i="1"/>
  <c r="AD46" i="1"/>
  <c r="Z46" i="1"/>
  <c r="V46" i="1"/>
  <c r="R46" i="1"/>
  <c r="N46" i="1"/>
  <c r="EF41" i="1"/>
  <c r="EB41" i="1"/>
  <c r="DX41" i="1"/>
  <c r="DT41" i="1"/>
  <c r="DP41" i="1"/>
  <c r="DL41" i="1"/>
  <c r="DH41" i="1"/>
  <c r="DC41" i="1"/>
  <c r="CY41" i="1"/>
  <c r="CU41" i="1"/>
  <c r="CQ41" i="1"/>
  <c r="CM41" i="1"/>
  <c r="CI41" i="1"/>
  <c r="CE41" i="1"/>
  <c r="CA41" i="1"/>
  <c r="BV41" i="1"/>
  <c r="BR41" i="1"/>
  <c r="BN41" i="1"/>
  <c r="BJ41" i="1"/>
  <c r="BF41" i="1"/>
  <c r="BB41" i="1"/>
  <c r="AX41" i="1"/>
  <c r="AT41" i="1"/>
  <c r="AO41" i="1"/>
  <c r="AK41" i="1"/>
  <c r="AG41" i="1"/>
  <c r="AC41" i="1"/>
  <c r="Y41" i="1"/>
  <c r="U41" i="1"/>
  <c r="Q41" i="1"/>
  <c r="M41" i="1"/>
  <c r="EF36" i="1"/>
  <c r="EB36" i="1"/>
  <c r="DX36" i="1"/>
  <c r="DT36" i="1"/>
  <c r="DP36" i="1"/>
  <c r="DL36" i="1"/>
  <c r="DH36" i="1"/>
  <c r="DC36" i="1"/>
  <c r="CY36" i="1"/>
  <c r="CU36" i="1"/>
  <c r="CQ36" i="1"/>
  <c r="CM36" i="1"/>
  <c r="CI36" i="1"/>
  <c r="CE36" i="1"/>
  <c r="CA36" i="1"/>
  <c r="BV36" i="1"/>
  <c r="BR36" i="1"/>
  <c r="BN36" i="1"/>
  <c r="BJ36" i="1"/>
  <c r="BF36" i="1"/>
  <c r="BB36" i="1"/>
  <c r="AX36" i="1"/>
  <c r="AT36" i="1"/>
  <c r="AO36" i="1"/>
  <c r="AK36" i="1"/>
  <c r="AG36" i="1"/>
  <c r="AC36" i="1"/>
  <c r="Y36" i="1"/>
  <c r="U36" i="1"/>
  <c r="Q36" i="1"/>
  <c r="M36" i="1"/>
  <c r="EH31" i="1"/>
  <c r="ED31" i="1"/>
  <c r="DZ31" i="1"/>
  <c r="DV31" i="1"/>
  <c r="DR31" i="1"/>
  <c r="DN31" i="1"/>
  <c r="DJ31" i="1"/>
  <c r="DF31" i="1"/>
  <c r="DA31" i="1"/>
  <c r="CW31" i="1"/>
  <c r="CS31" i="1"/>
  <c r="CO31" i="1"/>
  <c r="CK31" i="1"/>
  <c r="CG31" i="1"/>
  <c r="CC31" i="1"/>
  <c r="BT31" i="1"/>
  <c r="BP31" i="1"/>
  <c r="BL31" i="1"/>
  <c r="BH31" i="1"/>
  <c r="BD31" i="1"/>
  <c r="AZ31" i="1"/>
  <c r="AV31" i="1"/>
  <c r="AQ31" i="1"/>
  <c r="AM31" i="1"/>
  <c r="AI31" i="1"/>
  <c r="AE31" i="1"/>
  <c r="AA31" i="1"/>
  <c r="W31" i="1"/>
  <c r="S31" i="1"/>
  <c r="O31" i="1"/>
  <c r="EG26" i="1"/>
  <c r="EC26" i="1"/>
  <c r="DY26" i="1"/>
  <c r="DU26" i="1"/>
  <c r="DQ26" i="1"/>
  <c r="DM26" i="1"/>
  <c r="DI26" i="1"/>
  <c r="DE26" i="1"/>
  <c r="CZ26" i="1"/>
  <c r="CV26" i="1"/>
  <c r="CR26" i="1"/>
  <c r="CN26" i="1"/>
  <c r="CJ26" i="1"/>
  <c r="CF26" i="1"/>
  <c r="CB26" i="1"/>
  <c r="BW26" i="1"/>
  <c r="BS26" i="1"/>
  <c r="EG61" i="1"/>
  <c r="CZ61" i="1"/>
  <c r="BS61" i="1"/>
  <c r="AL61" i="1"/>
  <c r="DZ56" i="1"/>
  <c r="DL56" i="1"/>
  <c r="CZ56" i="1"/>
  <c r="CO56" i="1"/>
  <c r="CD56" i="1"/>
  <c r="BR56" i="1"/>
  <c r="BG56" i="1"/>
  <c r="AV56" i="1"/>
  <c r="AJ56" i="1"/>
  <c r="Y56" i="1"/>
  <c r="N56" i="1"/>
  <c r="EI51" i="1"/>
  <c r="EA51" i="1"/>
  <c r="DS51" i="1"/>
  <c r="DK51" i="1"/>
  <c r="DB51" i="1"/>
  <c r="CT51" i="1"/>
  <c r="CL51" i="1"/>
  <c r="CD51" i="1"/>
  <c r="BU51" i="1"/>
  <c r="BM51" i="1"/>
  <c r="BE51" i="1"/>
  <c r="AW51" i="1"/>
  <c r="AN51" i="1"/>
  <c r="AF51" i="1"/>
  <c r="X51" i="1"/>
  <c r="P51" i="1"/>
  <c r="EG46" i="1"/>
  <c r="EA46" i="1"/>
  <c r="DV46" i="1"/>
  <c r="DQ46" i="1"/>
  <c r="DK46" i="1"/>
  <c r="DF46" i="1"/>
  <c r="CZ46" i="1"/>
  <c r="CT46" i="1"/>
  <c r="CO46" i="1"/>
  <c r="CJ46" i="1"/>
  <c r="CD46" i="1"/>
  <c r="BS46" i="1"/>
  <c r="BN46" i="1"/>
  <c r="BJ46" i="1"/>
  <c r="BF46" i="1"/>
  <c r="BB46" i="1"/>
  <c r="AX46" i="1"/>
  <c r="AT46" i="1"/>
  <c r="AO46" i="1"/>
  <c r="AK46" i="1"/>
  <c r="AG46" i="1"/>
  <c r="AC46" i="1"/>
  <c r="Y46" i="1"/>
  <c r="U46" i="1"/>
  <c r="Q46" i="1"/>
  <c r="M46" i="1"/>
  <c r="EI41" i="1"/>
  <c r="EE41" i="1"/>
  <c r="EA41" i="1"/>
  <c r="DW41" i="1"/>
  <c r="DS41" i="1"/>
  <c r="DO41" i="1"/>
  <c r="DK41" i="1"/>
  <c r="DG41" i="1"/>
  <c r="DB41" i="1"/>
  <c r="CX41" i="1"/>
  <c r="CT41" i="1"/>
  <c r="CP41" i="1"/>
  <c r="CL41" i="1"/>
  <c r="CH41" i="1"/>
  <c r="CD41" i="1"/>
  <c r="BZ41" i="1"/>
  <c r="BU41" i="1"/>
  <c r="BQ41" i="1"/>
  <c r="BM41" i="1"/>
  <c r="BI41" i="1"/>
  <c r="BE41" i="1"/>
  <c r="BA41" i="1"/>
  <c r="AW41" i="1"/>
  <c r="AS41" i="1"/>
  <c r="AN41" i="1"/>
  <c r="AJ41" i="1"/>
  <c r="AF41" i="1"/>
  <c r="AB41" i="1"/>
  <c r="X41" i="1"/>
  <c r="T41" i="1"/>
  <c r="P41" i="1"/>
  <c r="DY61" i="1"/>
  <c r="CR61" i="1"/>
  <c r="BK61" i="1"/>
  <c r="AD61" i="1"/>
  <c r="DW56" i="1"/>
  <c r="DK56" i="1"/>
  <c r="CX56" i="1"/>
  <c r="CN56" i="1"/>
  <c r="CC56" i="1"/>
  <c r="BP56" i="1"/>
  <c r="BF56" i="1"/>
  <c r="AU56" i="1"/>
  <c r="AH56" i="1"/>
  <c r="X56" i="1"/>
  <c r="M56" i="1"/>
  <c r="EH51" i="1"/>
  <c r="DZ51" i="1"/>
  <c r="DR51" i="1"/>
  <c r="DJ51" i="1"/>
  <c r="DA51" i="1"/>
  <c r="CS51" i="1"/>
  <c r="CK51" i="1"/>
  <c r="CC51" i="1"/>
  <c r="BT51" i="1"/>
  <c r="BL51" i="1"/>
  <c r="BD51" i="1"/>
  <c r="AV51" i="1"/>
  <c r="AM51" i="1"/>
  <c r="AE51" i="1"/>
  <c r="W51" i="1"/>
  <c r="O51" i="1"/>
  <c r="EE46" i="1"/>
  <c r="DZ46" i="1"/>
  <c r="DU46" i="1"/>
  <c r="DO46" i="1"/>
  <c r="DJ46" i="1"/>
  <c r="DE46" i="1"/>
  <c r="CX46" i="1"/>
  <c r="CS46" i="1"/>
  <c r="CN46" i="1"/>
  <c r="CH46" i="1"/>
  <c r="CC46" i="1"/>
  <c r="BW46" i="1"/>
  <c r="BQ46" i="1"/>
  <c r="BM46" i="1"/>
  <c r="BI46" i="1"/>
  <c r="BE46" i="1"/>
  <c r="BA46" i="1"/>
  <c r="AW46" i="1"/>
  <c r="AS46" i="1"/>
  <c r="AN46" i="1"/>
  <c r="AJ46" i="1"/>
  <c r="AF46" i="1"/>
  <c r="AB46" i="1"/>
  <c r="X46" i="1"/>
  <c r="T46" i="1"/>
  <c r="P46" i="1"/>
  <c r="EH41" i="1"/>
  <c r="ED41" i="1"/>
  <c r="DZ41" i="1"/>
  <c r="DV41" i="1"/>
  <c r="DR41" i="1"/>
  <c r="DN41" i="1"/>
  <c r="DJ41" i="1"/>
  <c r="DF41" i="1"/>
  <c r="DA41" i="1"/>
  <c r="CW41" i="1"/>
  <c r="CS41" i="1"/>
  <c r="CO41" i="1"/>
  <c r="CK41" i="1"/>
  <c r="CG41" i="1"/>
  <c r="CC41" i="1"/>
  <c r="BT41" i="1"/>
  <c r="BP41" i="1"/>
  <c r="BL41" i="1"/>
  <c r="BH41" i="1"/>
  <c r="BD41" i="1"/>
  <c r="AZ41" i="1"/>
  <c r="AV41" i="1"/>
  <c r="AQ41" i="1"/>
  <c r="AM41" i="1"/>
  <c r="AI41" i="1"/>
  <c r="AE41" i="1"/>
  <c r="AA41" i="1"/>
  <c r="W41" i="1"/>
  <c r="S41" i="1"/>
  <c r="O41" i="1"/>
  <c r="EH36" i="1"/>
  <c r="ED36" i="1"/>
  <c r="DZ36" i="1"/>
  <c r="DV36" i="1"/>
  <c r="DR36" i="1"/>
  <c r="DN36" i="1"/>
  <c r="DJ36" i="1"/>
  <c r="DF36" i="1"/>
  <c r="DA36" i="1"/>
  <c r="CW36" i="1"/>
  <c r="CS36" i="1"/>
  <c r="CO36" i="1"/>
  <c r="CK36" i="1"/>
  <c r="CG36" i="1"/>
  <c r="CC36" i="1"/>
  <c r="BT36" i="1"/>
  <c r="BP36" i="1"/>
  <c r="BL36" i="1"/>
  <c r="BH36" i="1"/>
  <c r="BD36" i="1"/>
  <c r="AZ36" i="1"/>
  <c r="AV36" i="1"/>
  <c r="AQ36" i="1"/>
  <c r="AM36" i="1"/>
  <c r="AI36" i="1"/>
  <c r="AE36" i="1"/>
  <c r="AA36" i="1"/>
  <c r="W36" i="1"/>
  <c r="S36" i="1"/>
  <c r="O36" i="1"/>
  <c r="DQ61" i="1"/>
  <c r="DG56" i="1"/>
  <c r="BL56" i="1"/>
  <c r="T56" i="1"/>
  <c r="DW51" i="1"/>
  <c r="CP51" i="1"/>
  <c r="BI51" i="1"/>
  <c r="AB51" i="1"/>
  <c r="DS46" i="1"/>
  <c r="CW46" i="1"/>
  <c r="CB46" i="1"/>
  <c r="BH46" i="1"/>
  <c r="AQ46" i="1"/>
  <c r="AA46" i="1"/>
  <c r="DY41" i="1"/>
  <c r="DI41" i="1"/>
  <c r="CR41" i="1"/>
  <c r="CB41" i="1"/>
  <c r="BK41" i="1"/>
  <c r="AU41" i="1"/>
  <c r="AD41" i="1"/>
  <c r="N41" i="1"/>
  <c r="EI36" i="1"/>
  <c r="EA36" i="1"/>
  <c r="DS36" i="1"/>
  <c r="DK36" i="1"/>
  <c r="DB36" i="1"/>
  <c r="CT36" i="1"/>
  <c r="CL36" i="1"/>
  <c r="CD36" i="1"/>
  <c r="BU36" i="1"/>
  <c r="BM36" i="1"/>
  <c r="BE36" i="1"/>
  <c r="AW36" i="1"/>
  <c r="AN36" i="1"/>
  <c r="AF36" i="1"/>
  <c r="X36" i="1"/>
  <c r="P36" i="1"/>
  <c r="EI31" i="1"/>
  <c r="EC31" i="1"/>
  <c r="DX31" i="1"/>
  <c r="DS31" i="1"/>
  <c r="DM31" i="1"/>
  <c r="DH31" i="1"/>
  <c r="DB31" i="1"/>
  <c r="CV31" i="1"/>
  <c r="CQ31" i="1"/>
  <c r="CL31" i="1"/>
  <c r="CF31" i="1"/>
  <c r="CA31" i="1"/>
  <c r="BU31" i="1"/>
  <c r="BO31" i="1"/>
  <c r="BJ31" i="1"/>
  <c r="BE31" i="1"/>
  <c r="AY31" i="1"/>
  <c r="AT31" i="1"/>
  <c r="AN31" i="1"/>
  <c r="AH31" i="1"/>
  <c r="AC31" i="1"/>
  <c r="X31" i="1"/>
  <c r="R31" i="1"/>
  <c r="M31" i="1"/>
  <c r="EI26" i="1"/>
  <c r="ED26" i="1"/>
  <c r="DX26" i="1"/>
  <c r="DS26" i="1"/>
  <c r="DN26" i="1"/>
  <c r="DH26" i="1"/>
  <c r="DB26" i="1"/>
  <c r="CW26" i="1"/>
  <c r="CQ26" i="1"/>
  <c r="CL26" i="1"/>
  <c r="CG26" i="1"/>
  <c r="CA26" i="1"/>
  <c r="BU26" i="1"/>
  <c r="BP26" i="1"/>
  <c r="BL26" i="1"/>
  <c r="BH26" i="1"/>
  <c r="BD26" i="1"/>
  <c r="AZ26" i="1"/>
  <c r="AV26" i="1"/>
  <c r="AQ26" i="1"/>
  <c r="AM26" i="1"/>
  <c r="AI26" i="1"/>
  <c r="AE26" i="1"/>
  <c r="AA26" i="1"/>
  <c r="W26" i="1"/>
  <c r="S26" i="1"/>
  <c r="O26" i="1"/>
  <c r="EG21" i="1"/>
  <c r="EC21" i="1"/>
  <c r="DY21" i="1"/>
  <c r="DU21" i="1"/>
  <c r="DQ21" i="1"/>
  <c r="DM21" i="1"/>
  <c r="DI21" i="1"/>
  <c r="DE21" i="1"/>
  <c r="CY21" i="1"/>
  <c r="CU21" i="1"/>
  <c r="CQ21" i="1"/>
  <c r="CM21" i="1"/>
  <c r="CI21" i="1"/>
  <c r="CE21" i="1"/>
  <c r="CA21" i="1"/>
  <c r="BU21" i="1"/>
  <c r="BQ21" i="1"/>
  <c r="BM21" i="1"/>
  <c r="BI21" i="1"/>
  <c r="BE21" i="1"/>
  <c r="BA21" i="1"/>
  <c r="AW21" i="1"/>
  <c r="AS21" i="1"/>
  <c r="AM21" i="1"/>
  <c r="AI21" i="1"/>
  <c r="AE21" i="1"/>
  <c r="AA21" i="1"/>
  <c r="W21" i="1"/>
  <c r="S21" i="1"/>
  <c r="O21" i="1"/>
  <c r="EF16" i="1"/>
  <c r="EB16" i="1"/>
  <c r="DX16" i="1"/>
  <c r="DT16" i="1"/>
  <c r="DP16" i="1"/>
  <c r="DL16" i="1"/>
  <c r="DH16" i="1"/>
  <c r="BV16" i="1"/>
  <c r="BR16" i="1"/>
  <c r="BN16" i="1"/>
  <c r="BJ16" i="1"/>
  <c r="BF16" i="1"/>
  <c r="BB16" i="1"/>
  <c r="AX16" i="1"/>
  <c r="AT16" i="1"/>
  <c r="AO16" i="1"/>
  <c r="AK16" i="1"/>
  <c r="AG16" i="1"/>
  <c r="AC16" i="1"/>
  <c r="Y16" i="1"/>
  <c r="U16" i="1"/>
  <c r="Q16" i="1"/>
  <c r="M16" i="1"/>
  <c r="EG11" i="1"/>
  <c r="EC11" i="1"/>
  <c r="DY11" i="1"/>
  <c r="DU11" i="1"/>
  <c r="DQ11" i="1"/>
  <c r="DM11" i="1"/>
  <c r="DI11" i="1"/>
  <c r="DE11" i="1"/>
  <c r="BS11" i="1"/>
  <c r="BO11" i="1"/>
  <c r="BK11" i="1"/>
  <c r="BG11" i="1"/>
  <c r="BC11" i="1"/>
  <c r="AY11" i="1"/>
  <c r="AU11" i="1"/>
  <c r="AN11" i="1"/>
  <c r="CZ11" i="1" s="1"/>
  <c r="AJ11" i="1"/>
  <c r="CJ61" i="1"/>
  <c r="CT56" i="1"/>
  <c r="BB56" i="1"/>
  <c r="DO51" i="1"/>
  <c r="CH51" i="1"/>
  <c r="BA51" i="1"/>
  <c r="T51" i="1"/>
  <c r="EI46" i="1"/>
  <c r="DN46" i="1"/>
  <c r="CR46" i="1"/>
  <c r="BU46" i="1"/>
  <c r="BD46" i="1"/>
  <c r="AM46" i="1"/>
  <c r="W46" i="1"/>
  <c r="DU41" i="1"/>
  <c r="DE41" i="1"/>
  <c r="CN41" i="1"/>
  <c r="BW41" i="1"/>
  <c r="BG41" i="1"/>
  <c r="AP41" i="1"/>
  <c r="Z41" i="1"/>
  <c r="EG36" i="1"/>
  <c r="DY36" i="1"/>
  <c r="DQ36" i="1"/>
  <c r="DI36" i="1"/>
  <c r="CZ36" i="1"/>
  <c r="CR36" i="1"/>
  <c r="CJ36" i="1"/>
  <c r="CB36" i="1"/>
  <c r="BS36" i="1"/>
  <c r="BK36" i="1"/>
  <c r="BC36" i="1"/>
  <c r="AU36" i="1"/>
  <c r="AL36" i="1"/>
  <c r="AD36" i="1"/>
  <c r="V36" i="1"/>
  <c r="N36" i="1"/>
  <c r="EG31" i="1"/>
  <c r="EB31" i="1"/>
  <c r="DW31" i="1"/>
  <c r="DQ31" i="1"/>
  <c r="DL31" i="1"/>
  <c r="DG31" i="1"/>
  <c r="CZ31" i="1"/>
  <c r="CU31" i="1"/>
  <c r="CP31" i="1"/>
  <c r="CJ31" i="1"/>
  <c r="CE31" i="1"/>
  <c r="BZ31" i="1"/>
  <c r="BS31" i="1"/>
  <c r="BN31" i="1"/>
  <c r="BI31" i="1"/>
  <c r="BC31" i="1"/>
  <c r="AX31" i="1"/>
  <c r="AS31" i="1"/>
  <c r="AL31" i="1"/>
  <c r="AG31" i="1"/>
  <c r="AB31" i="1"/>
  <c r="V31" i="1"/>
  <c r="Q31" i="1"/>
  <c r="EH26" i="1"/>
  <c r="EB26" i="1"/>
  <c r="DW26" i="1"/>
  <c r="DR26" i="1"/>
  <c r="DL26" i="1"/>
  <c r="DG26" i="1"/>
  <c r="DA26" i="1"/>
  <c r="CU26" i="1"/>
  <c r="CP26" i="1"/>
  <c r="CK26" i="1"/>
  <c r="CE26" i="1"/>
  <c r="BZ26" i="1"/>
  <c r="BT26" i="1"/>
  <c r="BO26" i="1"/>
  <c r="BK26" i="1"/>
  <c r="BG26" i="1"/>
  <c r="BC26" i="1"/>
  <c r="AY26" i="1"/>
  <c r="AU26" i="1"/>
  <c r="AP26" i="1"/>
  <c r="AL26" i="1"/>
  <c r="AH26" i="1"/>
  <c r="AD26" i="1"/>
  <c r="Z26" i="1"/>
  <c r="V26" i="1"/>
  <c r="R26" i="1"/>
  <c r="N26" i="1"/>
  <c r="EF21" i="1"/>
  <c r="EB21" i="1"/>
  <c r="DX21" i="1"/>
  <c r="DT21" i="1"/>
  <c r="DP21" i="1"/>
  <c r="DL21" i="1"/>
  <c r="DH21" i="1"/>
  <c r="DB21" i="1"/>
  <c r="CX21" i="1"/>
  <c r="CT21" i="1"/>
  <c r="CP21" i="1"/>
  <c r="CL21" i="1"/>
  <c r="CH21" i="1"/>
  <c r="CD21" i="1"/>
  <c r="BZ21" i="1"/>
  <c r="BT21" i="1"/>
  <c r="BP21" i="1"/>
  <c r="BL21" i="1"/>
  <c r="BH21" i="1"/>
  <c r="BD21" i="1"/>
  <c r="AZ21" i="1"/>
  <c r="AV21" i="1"/>
  <c r="AP21" i="1"/>
  <c r="AL21" i="1"/>
  <c r="AH21" i="1"/>
  <c r="AD21" i="1"/>
  <c r="Z21" i="1"/>
  <c r="V21" i="1"/>
  <c r="R21" i="1"/>
  <c r="N21" i="1"/>
  <c r="EI16" i="1"/>
  <c r="EE16" i="1"/>
  <c r="EA16" i="1"/>
  <c r="DW16" i="1"/>
  <c r="DS16" i="1"/>
  <c r="DO16" i="1"/>
  <c r="DK16" i="1"/>
  <c r="DG16" i="1"/>
  <c r="BU16" i="1"/>
  <c r="BQ16" i="1"/>
  <c r="BM16" i="1"/>
  <c r="BI16" i="1"/>
  <c r="BE16" i="1"/>
  <c r="BA16" i="1"/>
  <c r="AW16" i="1"/>
  <c r="AS16" i="1"/>
  <c r="AN16" i="1"/>
  <c r="AJ16" i="1"/>
  <c r="AF16" i="1"/>
  <c r="AB16" i="1"/>
  <c r="X16" i="1"/>
  <c r="T16" i="1"/>
  <c r="P16" i="1"/>
  <c r="BC61" i="1"/>
  <c r="EH56" i="1"/>
  <c r="CJ56" i="1"/>
  <c r="AO56" i="1"/>
  <c r="DG51" i="1"/>
  <c r="BZ51" i="1"/>
  <c r="AS51" i="1"/>
  <c r="ED46" i="1"/>
  <c r="DI46" i="1"/>
  <c r="CL46" i="1"/>
  <c r="BP46" i="1"/>
  <c r="AZ46" i="1"/>
  <c r="AI46" i="1"/>
  <c r="S46" i="1"/>
  <c r="EG41" i="1"/>
  <c r="DQ41" i="1"/>
  <c r="CZ41" i="1"/>
  <c r="CJ41" i="1"/>
  <c r="BS41" i="1"/>
  <c r="BC41" i="1"/>
  <c r="AL41" i="1"/>
  <c r="V41" i="1"/>
  <c r="EE36" i="1"/>
  <c r="DW36" i="1"/>
  <c r="DO36" i="1"/>
  <c r="DG36" i="1"/>
  <c r="CX36" i="1"/>
  <c r="CP36" i="1"/>
  <c r="CH36" i="1"/>
  <c r="BZ36" i="1"/>
  <c r="BQ36" i="1"/>
  <c r="BI36" i="1"/>
  <c r="BA36" i="1"/>
  <c r="AS36" i="1"/>
  <c r="AJ36" i="1"/>
  <c r="AB36" i="1"/>
  <c r="T36" i="1"/>
  <c r="EF31" i="1"/>
  <c r="EA31" i="1"/>
  <c r="DU31" i="1"/>
  <c r="DP31" i="1"/>
  <c r="DK31" i="1"/>
  <c r="DE31" i="1"/>
  <c r="CY31" i="1"/>
  <c r="CT31" i="1"/>
  <c r="CN31" i="1"/>
  <c r="CI31" i="1"/>
  <c r="CD31" i="1"/>
  <c r="BW31" i="1"/>
  <c r="BR31" i="1"/>
  <c r="BM31" i="1"/>
  <c r="BG31" i="1"/>
  <c r="BB31" i="1"/>
  <c r="AW31" i="1"/>
  <c r="AP31" i="1"/>
  <c r="AK31" i="1"/>
  <c r="AF31" i="1"/>
  <c r="Z31" i="1"/>
  <c r="U31" i="1"/>
  <c r="P31" i="1"/>
  <c r="EF26" i="1"/>
  <c r="EA26" i="1"/>
  <c r="DV26" i="1"/>
  <c r="DP26" i="1"/>
  <c r="DK26" i="1"/>
  <c r="DF26" i="1"/>
  <c r="CY26" i="1"/>
  <c r="CT26" i="1"/>
  <c r="CO26" i="1"/>
  <c r="CI26" i="1"/>
  <c r="CD26" i="1"/>
  <c r="BR26" i="1"/>
  <c r="BN26" i="1"/>
  <c r="BJ26" i="1"/>
  <c r="BF26" i="1"/>
  <c r="BB26" i="1"/>
  <c r="AX26" i="1"/>
  <c r="AT26" i="1"/>
  <c r="AO26" i="1"/>
  <c r="AK26" i="1"/>
  <c r="AG26" i="1"/>
  <c r="AC26" i="1"/>
  <c r="Y26" i="1"/>
  <c r="U26" i="1"/>
  <c r="Q26" i="1"/>
  <c r="M26" i="1"/>
  <c r="EE21" i="1"/>
  <c r="EA21" i="1"/>
  <c r="DW21" i="1"/>
  <c r="DS21" i="1"/>
  <c r="DO21" i="1"/>
  <c r="DK21" i="1"/>
  <c r="DG21" i="1"/>
  <c r="DA21" i="1"/>
  <c r="CW21" i="1"/>
  <c r="CS21" i="1"/>
  <c r="CO21" i="1"/>
  <c r="CK21" i="1"/>
  <c r="CG21" i="1"/>
  <c r="CC21" i="1"/>
  <c r="BS21" i="1"/>
  <c r="BO21" i="1"/>
  <c r="BK21" i="1"/>
  <c r="BG21" i="1"/>
  <c r="BC21" i="1"/>
  <c r="AY21" i="1"/>
  <c r="AU21" i="1"/>
  <c r="AO21" i="1"/>
  <c r="AK21" i="1"/>
  <c r="AG21" i="1"/>
  <c r="AC21" i="1"/>
  <c r="Y21" i="1"/>
  <c r="U21" i="1"/>
  <c r="Q21" i="1"/>
  <c r="M21" i="1"/>
  <c r="EH16" i="1"/>
  <c r="ED16" i="1"/>
  <c r="DZ16" i="1"/>
  <c r="DV16" i="1"/>
  <c r="DR16" i="1"/>
  <c r="DN16" i="1"/>
  <c r="DJ16" i="1"/>
  <c r="DF16" i="1"/>
  <c r="BT16" i="1"/>
  <c r="BP16" i="1"/>
  <c r="BL16" i="1"/>
  <c r="BH16" i="1"/>
  <c r="BD16" i="1"/>
  <c r="AZ16" i="1"/>
  <c r="AV16" i="1"/>
  <c r="AQ16" i="1"/>
  <c r="AM16" i="1"/>
  <c r="AI16" i="1"/>
  <c r="AE16" i="1"/>
  <c r="CQ16" i="1" s="1"/>
  <c r="AA16" i="1"/>
  <c r="W16" i="1"/>
  <c r="S16" i="1"/>
  <c r="O16" i="1"/>
  <c r="CA16" i="1" s="1"/>
  <c r="EE11" i="1"/>
  <c r="EA11" i="1"/>
  <c r="DW11" i="1"/>
  <c r="DS11" i="1"/>
  <c r="DO11" i="1"/>
  <c r="DK11" i="1"/>
  <c r="DG11" i="1"/>
  <c r="BU11" i="1"/>
  <c r="BQ11" i="1"/>
  <c r="BM11" i="1"/>
  <c r="BI11" i="1"/>
  <c r="BE11" i="1"/>
  <c r="BA11" i="1"/>
  <c r="AW11" i="1"/>
  <c r="AS11" i="1"/>
  <c r="V61" i="1"/>
  <c r="DR56" i="1"/>
  <c r="AD56" i="1"/>
  <c r="EE51" i="1"/>
  <c r="CX51" i="1"/>
  <c r="BQ51" i="1"/>
  <c r="AJ51" i="1"/>
  <c r="DY46" i="1"/>
  <c r="DB46" i="1"/>
  <c r="CG46" i="1"/>
  <c r="BL46" i="1"/>
  <c r="AV46" i="1"/>
  <c r="AE46" i="1"/>
  <c r="O46" i="1"/>
  <c r="EC41" i="1"/>
  <c r="DM41" i="1"/>
  <c r="CV41" i="1"/>
  <c r="CF41" i="1"/>
  <c r="BO41" i="1"/>
  <c r="AY41" i="1"/>
  <c r="AH41" i="1"/>
  <c r="R41" i="1"/>
  <c r="EC36" i="1"/>
  <c r="DU36" i="1"/>
  <c r="DM36" i="1"/>
  <c r="DE36" i="1"/>
  <c r="CV36" i="1"/>
  <c r="CN36" i="1"/>
  <c r="CF36" i="1"/>
  <c r="BW36" i="1"/>
  <c r="BO36" i="1"/>
  <c r="BG36" i="1"/>
  <c r="AY36" i="1"/>
  <c r="AP36" i="1"/>
  <c r="AH36" i="1"/>
  <c r="Z36" i="1"/>
  <c r="R36" i="1"/>
  <c r="EE31" i="1"/>
  <c r="DY31" i="1"/>
  <c r="DT31" i="1"/>
  <c r="DO31" i="1"/>
  <c r="DI31" i="1"/>
  <c r="DC31" i="1"/>
  <c r="CX31" i="1"/>
  <c r="CR31" i="1"/>
  <c r="CM31" i="1"/>
  <c r="CH31" i="1"/>
  <c r="CB31" i="1"/>
  <c r="BV31" i="1"/>
  <c r="BQ31" i="1"/>
  <c r="BK31" i="1"/>
  <c r="BF31" i="1"/>
  <c r="BA31" i="1"/>
  <c r="AU31" i="1"/>
  <c r="AO31" i="1"/>
  <c r="AJ31" i="1"/>
  <c r="AD31" i="1"/>
  <c r="Y31" i="1"/>
  <c r="T31" i="1"/>
  <c r="N31" i="1"/>
  <c r="EE26" i="1"/>
  <c r="DZ26" i="1"/>
  <c r="DT26" i="1"/>
  <c r="DO26" i="1"/>
  <c r="DJ26" i="1"/>
  <c r="DC26" i="1"/>
  <c r="CX26" i="1"/>
  <c r="CS26" i="1"/>
  <c r="CM26" i="1"/>
  <c r="CH26" i="1"/>
  <c r="CC26" i="1"/>
  <c r="BV26" i="1"/>
  <c r="BQ26" i="1"/>
  <c r="BM26" i="1"/>
  <c r="BI26" i="1"/>
  <c r="BE26" i="1"/>
  <c r="BA26" i="1"/>
  <c r="AW26" i="1"/>
  <c r="AS26" i="1"/>
  <c r="AN26" i="1"/>
  <c r="AJ26" i="1"/>
  <c r="AF26" i="1"/>
  <c r="AB26" i="1"/>
  <c r="X26" i="1"/>
  <c r="T26" i="1"/>
  <c r="P26" i="1"/>
  <c r="EH21" i="1"/>
  <c r="ED21" i="1"/>
  <c r="DZ21" i="1"/>
  <c r="DV21" i="1"/>
  <c r="DR21" i="1"/>
  <c r="DN21" i="1"/>
  <c r="DJ21" i="1"/>
  <c r="DF21" i="1"/>
  <c r="CZ21" i="1"/>
  <c r="CV21" i="1"/>
  <c r="CR21" i="1"/>
  <c r="CN21" i="1"/>
  <c r="CJ21" i="1"/>
  <c r="CF21" i="1"/>
  <c r="CB21" i="1"/>
  <c r="BV21" i="1"/>
  <c r="BR21" i="1"/>
  <c r="BN21" i="1"/>
  <c r="BJ21" i="1"/>
  <c r="BF21" i="1"/>
  <c r="BB21" i="1"/>
  <c r="AX21" i="1"/>
  <c r="AT21" i="1"/>
  <c r="AN21" i="1"/>
  <c r="AJ21" i="1"/>
  <c r="AF21" i="1"/>
  <c r="AB21" i="1"/>
  <c r="X21" i="1"/>
  <c r="T21" i="1"/>
  <c r="P21" i="1"/>
  <c r="X6" i="1"/>
  <c r="AJ6" i="1"/>
  <c r="AN6" i="1"/>
  <c r="BI6" i="1"/>
  <c r="BU6" i="1"/>
  <c r="DO6" i="1"/>
  <c r="EI6" i="1"/>
  <c r="N11" i="1"/>
  <c r="R11" i="1"/>
  <c r="V11" i="1"/>
  <c r="Z11" i="1"/>
  <c r="AD11" i="1"/>
  <c r="AH11" i="1"/>
  <c r="AM11" i="1"/>
  <c r="AX11" i="1"/>
  <c r="BF11" i="1"/>
  <c r="BN11" i="1"/>
  <c r="DH11" i="1"/>
  <c r="DP11" i="1"/>
  <c r="DX11" i="1"/>
  <c r="EF11" i="1"/>
  <c r="R16" i="1"/>
  <c r="AH16" i="1"/>
  <c r="AY16" i="1"/>
  <c r="BO16" i="1"/>
  <c r="DM16" i="1"/>
  <c r="EC16" i="1"/>
  <c r="P6" i="1"/>
  <c r="AF6" i="1"/>
  <c r="AW6" i="1"/>
  <c r="BE6" i="1"/>
  <c r="BM6" i="1"/>
  <c r="DK6" i="1"/>
  <c r="DW6" i="1"/>
  <c r="EE6" i="1"/>
  <c r="M6" i="1"/>
  <c r="U6" i="1"/>
  <c r="AC6" i="1"/>
  <c r="AK6" i="1"/>
  <c r="AX6" i="1"/>
  <c r="BF6" i="1"/>
  <c r="BJ6" i="1"/>
  <c r="BR6" i="1"/>
  <c r="DL6" i="1"/>
  <c r="DP6" i="1"/>
  <c r="DT6" i="1"/>
  <c r="EB6" i="1"/>
  <c r="EF6" i="1"/>
  <c r="O11" i="1"/>
  <c r="CA11" i="1" s="1"/>
  <c r="S11" i="1"/>
  <c r="W11" i="1"/>
  <c r="CI11" i="1" s="1"/>
  <c r="AA11" i="1"/>
  <c r="AE11" i="1"/>
  <c r="CQ11" i="1" s="1"/>
  <c r="AI11" i="1"/>
  <c r="AO11" i="1"/>
  <c r="AZ11" i="1"/>
  <c r="BH11" i="1"/>
  <c r="BP11" i="1"/>
  <c r="DJ11" i="1"/>
  <c r="DR11" i="1"/>
  <c r="DZ11" i="1"/>
  <c r="V16" i="1"/>
  <c r="AL16" i="1"/>
  <c r="BC16" i="1"/>
  <c r="BS16" i="1"/>
  <c r="DQ16" i="1"/>
  <c r="EG16" i="1"/>
  <c r="T6" i="1"/>
  <c r="AB6" i="1"/>
  <c r="AS6" i="1"/>
  <c r="BA6" i="1"/>
  <c r="DG6" i="1"/>
  <c r="DS6" i="1"/>
  <c r="EA6" i="1"/>
  <c r="Q6" i="1"/>
  <c r="Y6" i="1"/>
  <c r="AG6" i="1"/>
  <c r="AO6" i="1"/>
  <c r="AT6" i="1"/>
  <c r="BB6" i="1"/>
  <c r="BN6" i="1"/>
  <c r="BV6" i="1"/>
  <c r="DH6" i="1"/>
  <c r="DX6" i="1"/>
  <c r="N6" i="1"/>
  <c r="R6" i="1"/>
  <c r="V6" i="1"/>
  <c r="Z6" i="1"/>
  <c r="AD6" i="1"/>
  <c r="AH6" i="1"/>
  <c r="AL6" i="1"/>
  <c r="AP6" i="1"/>
  <c r="AU6" i="1"/>
  <c r="AY6" i="1"/>
  <c r="BC6" i="1"/>
  <c r="BG6" i="1"/>
  <c r="BK6" i="1"/>
  <c r="BO6" i="1"/>
  <c r="BS6" i="1"/>
  <c r="DE6" i="1"/>
  <c r="DI6" i="1"/>
  <c r="DM6" i="1"/>
  <c r="DQ6" i="1"/>
  <c r="DU6" i="1"/>
  <c r="DY6" i="1"/>
  <c r="EC6" i="1"/>
  <c r="EG6" i="1"/>
  <c r="P11" i="1"/>
  <c r="CB11" i="1" s="1"/>
  <c r="T11" i="1"/>
  <c r="X11" i="1"/>
  <c r="CJ11" i="1" s="1"/>
  <c r="AB11" i="1"/>
  <c r="AF11" i="1"/>
  <c r="CR11" i="1" s="1"/>
  <c r="AK11" i="1"/>
  <c r="AT11" i="1"/>
  <c r="BB11" i="1"/>
  <c r="BJ11" i="1"/>
  <c r="BR11" i="1"/>
  <c r="DL11" i="1"/>
  <c r="DT11" i="1"/>
  <c r="EB11" i="1"/>
  <c r="Z16" i="1"/>
  <c r="AP16" i="1"/>
  <c r="BG16" i="1"/>
  <c r="BW16" i="1"/>
  <c r="DE16" i="1"/>
  <c r="DU16" i="1"/>
  <c r="E378" i="1"/>
  <c r="E386" i="1"/>
  <c r="E438" i="1"/>
  <c r="E542" i="1"/>
  <c r="F102" i="1"/>
  <c r="F134" i="1"/>
  <c r="F173" i="1"/>
  <c r="F183" i="1"/>
  <c r="E484" i="1"/>
  <c r="E167" i="1"/>
  <c r="E189" i="1"/>
  <c r="E395" i="1"/>
  <c r="E409" i="1"/>
  <c r="E501" i="1"/>
  <c r="E527" i="1"/>
  <c r="F385" i="1" l="1"/>
  <c r="F401" i="1"/>
  <c r="DB16" i="1"/>
  <c r="CL16" i="1"/>
  <c r="CY11" i="1"/>
  <c r="CM11" i="1"/>
  <c r="CH16" i="1"/>
  <c r="CU11" i="1"/>
  <c r="CE11" i="1"/>
  <c r="CR6" i="1"/>
  <c r="CK6" i="1"/>
  <c r="DC6" i="1"/>
  <c r="F413" i="1"/>
  <c r="F412" i="1"/>
  <c r="F402" i="1"/>
  <c r="CX6" i="1"/>
  <c r="CZ6" i="1"/>
  <c r="CW6" i="1"/>
  <c r="CN6" i="1"/>
  <c r="CJ6" i="1"/>
  <c r="CL6" i="1"/>
  <c r="CB6" i="1"/>
  <c r="CX16" i="1"/>
  <c r="BY21" i="1"/>
  <c r="BY56" i="1"/>
  <c r="CF11" i="1"/>
  <c r="CW11" i="1"/>
  <c r="F388" i="1"/>
  <c r="F387" i="1"/>
  <c r="CD11" i="1"/>
  <c r="F415" i="1"/>
  <c r="F414" i="1"/>
  <c r="BZ11" i="1"/>
  <c r="CN16" i="1"/>
  <c r="CG16" i="1"/>
  <c r="CW16" i="1"/>
  <c r="DA11" i="1"/>
  <c r="CT16" i="1"/>
  <c r="CD16" i="1"/>
  <c r="DB6" i="1"/>
  <c r="CF6" i="1"/>
  <c r="BY6" i="1"/>
  <c r="CC6" i="1"/>
  <c r="CV6" i="1"/>
  <c r="CP6" i="1"/>
  <c r="BZ6" i="1"/>
  <c r="CG6" i="1"/>
  <c r="CE16" i="1"/>
  <c r="CU16" i="1"/>
  <c r="BY46" i="1"/>
  <c r="BY36" i="1"/>
  <c r="CP16" i="1"/>
  <c r="CO11" i="1"/>
  <c r="BY11" i="1"/>
  <c r="CM6" i="1"/>
  <c r="CN11" i="1"/>
  <c r="CH6" i="1"/>
  <c r="CL11" i="1"/>
  <c r="CI16" i="1"/>
  <c r="CY16" i="1"/>
  <c r="CB16" i="1"/>
  <c r="CR16" i="1"/>
  <c r="CV11" i="1"/>
  <c r="CK16" i="1"/>
  <c r="DA16" i="1"/>
  <c r="BZ16" i="1"/>
  <c r="CK11" i="1"/>
  <c r="CY6" i="1"/>
  <c r="CI6" i="1"/>
  <c r="CP11" i="1"/>
  <c r="CT6" i="1"/>
  <c r="CD6" i="1"/>
  <c r="DA6" i="1"/>
  <c r="CO6" i="1"/>
  <c r="CH11" i="1"/>
  <c r="CM16" i="1"/>
  <c r="DC16" i="1"/>
  <c r="CF16" i="1"/>
  <c r="CV16" i="1"/>
  <c r="BY16" i="1"/>
  <c r="CO16" i="1"/>
  <c r="BY31" i="1"/>
  <c r="CX11" i="1"/>
  <c r="CG11" i="1"/>
  <c r="CU6" i="1"/>
  <c r="CE6" i="1"/>
  <c r="CS6" i="1"/>
  <c r="CT11" i="1"/>
  <c r="BY26" i="1"/>
  <c r="CJ16" i="1"/>
  <c r="CZ16" i="1"/>
  <c r="CC16" i="1"/>
  <c r="CS16" i="1"/>
  <c r="BY41" i="1"/>
  <c r="BY51" i="1"/>
  <c r="CS11" i="1"/>
  <c r="CC11" i="1"/>
  <c r="CQ6" i="1"/>
  <c r="CA6" i="1"/>
</calcChain>
</file>

<file path=xl/sharedStrings.xml><?xml version="1.0" encoding="utf-8"?>
<sst xmlns="http://schemas.openxmlformats.org/spreadsheetml/2006/main" count="2255" uniqueCount="336">
  <si>
    <t>EXPENSES</t>
  </si>
  <si>
    <t>GROSS CASH 2024</t>
  </si>
  <si>
    <t>EXPENSES 2024</t>
  </si>
  <si>
    <t>NET CASH 2024</t>
  </si>
  <si>
    <t>MOBILE MONEY SALES 2024</t>
  </si>
  <si>
    <t>ITEM</t>
  </si>
  <si>
    <t>PRICE</t>
  </si>
  <si>
    <t>JANUARY</t>
  </si>
  <si>
    <t>AVOCADO</t>
  </si>
  <si>
    <t>BEEF</t>
  </si>
  <si>
    <t xml:space="preserve">BEEF </t>
  </si>
  <si>
    <t>BEEF FILLET</t>
  </si>
  <si>
    <t>FEBRUARY</t>
  </si>
  <si>
    <t xml:space="preserve">BEFF SHIN </t>
  </si>
  <si>
    <t>BONELESS BEEF</t>
  </si>
  <si>
    <t xml:space="preserve"> </t>
  </si>
  <si>
    <t xml:space="preserve">  </t>
  </si>
  <si>
    <t>BONELESS GOAT</t>
  </si>
  <si>
    <t>BONGO</t>
  </si>
  <si>
    <t>MARCH</t>
  </si>
  <si>
    <t>CHICKEN</t>
  </si>
  <si>
    <t>DOG BONES</t>
  </si>
  <si>
    <t xml:space="preserve">DOG BONES </t>
  </si>
  <si>
    <t>DOG BONES MM</t>
  </si>
  <si>
    <t>APRIL</t>
  </si>
  <si>
    <t>DOG MINCE</t>
  </si>
  <si>
    <t>EGGS</t>
  </si>
  <si>
    <t xml:space="preserve">GHEE </t>
  </si>
  <si>
    <t>GNUTS</t>
  </si>
  <si>
    <t>GOAT</t>
  </si>
  <si>
    <t>MAY</t>
  </si>
  <si>
    <t xml:space="preserve">GOAT </t>
  </si>
  <si>
    <t>GOAT LEG</t>
  </si>
  <si>
    <t>JUNE</t>
  </si>
  <si>
    <t>GOAT RIBS</t>
  </si>
  <si>
    <t xml:space="preserve">GOAT RIBS </t>
  </si>
  <si>
    <t>GONJA</t>
  </si>
  <si>
    <t>JULY</t>
  </si>
  <si>
    <t>IRISH</t>
  </si>
  <si>
    <t>AUGUST</t>
  </si>
  <si>
    <t>IRISH POTATOES</t>
  </si>
  <si>
    <t>KIDNEYS</t>
  </si>
  <si>
    <t>KYEBANDO PAID</t>
  </si>
  <si>
    <t xml:space="preserve">LIVER </t>
  </si>
  <si>
    <t>LOCAL EGGS</t>
  </si>
  <si>
    <t>SEPTEMBER</t>
  </si>
  <si>
    <t xml:space="preserve">LOCAL EGGS </t>
  </si>
  <si>
    <t>LOCAL EGGS PCS</t>
  </si>
  <si>
    <t>MANGO  COMMISSION</t>
  </si>
  <si>
    <t>MARINATED CHICKEN</t>
  </si>
  <si>
    <t>OCTOBER</t>
  </si>
  <si>
    <t>MARINATED GOAT LEG</t>
  </si>
  <si>
    <t>MATOOKE</t>
  </si>
  <si>
    <t>NOVEMBER</t>
  </si>
  <si>
    <t>DECEMBER</t>
  </si>
  <si>
    <t xml:space="preserve">MATOOKE </t>
  </si>
  <si>
    <t>MATOOKE KGS</t>
  </si>
  <si>
    <t>MATOOKE MM</t>
  </si>
  <si>
    <t>MEAT BALLS</t>
  </si>
  <si>
    <t>MILK</t>
  </si>
  <si>
    <t xml:space="preserve">MILK </t>
  </si>
  <si>
    <t>MINCED BEEF</t>
  </si>
  <si>
    <t>NDIIZI</t>
  </si>
  <si>
    <t>OFFALS</t>
  </si>
  <si>
    <t>ONIONS</t>
  </si>
  <si>
    <t xml:space="preserve">ONIONS </t>
  </si>
  <si>
    <t>OTIM PAID</t>
  </si>
  <si>
    <t>OX-TAIL</t>
  </si>
  <si>
    <t>PEPPERS</t>
  </si>
  <si>
    <t>PLAIN YOGHURT</t>
  </si>
  <si>
    <t>SAUSAGES</t>
  </si>
  <si>
    <t>SHREDDED BEEF</t>
  </si>
  <si>
    <t>SONGE</t>
  </si>
  <si>
    <t>SOUP BONES</t>
  </si>
  <si>
    <t>TOMATOES</t>
  </si>
  <si>
    <t>YELLOW YOLK EGGS</t>
  </si>
  <si>
    <t xml:space="preserve">YELLOW YOLK EGGS </t>
  </si>
  <si>
    <t>ZIP LOCKS</t>
  </si>
  <si>
    <t>Timestamp</t>
  </si>
  <si>
    <t>ID</t>
  </si>
  <si>
    <t>QTY</t>
  </si>
  <si>
    <t>AMOUNT</t>
  </si>
  <si>
    <t>BEEF SAUSAGES</t>
  </si>
  <si>
    <t>Reason</t>
  </si>
  <si>
    <t>Amount Paid</t>
  </si>
  <si>
    <t>BOUGHT AVOCADO</t>
  </si>
  <si>
    <t>PAID FRANK</t>
  </si>
  <si>
    <t xml:space="preserve">BOUGHT MILK </t>
  </si>
  <si>
    <t>PAID EVA</t>
  </si>
  <si>
    <t xml:space="preserve">BOUGHT FATS </t>
  </si>
  <si>
    <t>BOUGHT LIVER</t>
  </si>
  <si>
    <t>PAID HOME KLIN</t>
  </si>
  <si>
    <t>BOUGHT YAKA</t>
  </si>
  <si>
    <t>BOUGHT ONIONS</t>
  </si>
  <si>
    <t>PAID REUBEN</t>
  </si>
  <si>
    <t>PAID FOOD</t>
  </si>
  <si>
    <t>PAID DIRISA</t>
  </si>
  <si>
    <t>USED G-NUT MONEY</t>
  </si>
  <si>
    <t>BOUGHT OX-TAIL</t>
  </si>
  <si>
    <t>BOUGHT BONELESS</t>
  </si>
  <si>
    <t>BOUGHT BUVEERA</t>
  </si>
  <si>
    <t>BOUGHT FILLET</t>
  </si>
  <si>
    <t>USED GHEE MONEY</t>
  </si>
  <si>
    <t>RETURNED GHEE MONEY</t>
  </si>
  <si>
    <t>BOUGHT ENVELOPES</t>
  </si>
  <si>
    <t>BOUGHT BREAD CRUMBS</t>
  </si>
  <si>
    <t>BOUGHT CHICKEN FILLET</t>
  </si>
  <si>
    <t>BOUGHT BEEF FILLET</t>
  </si>
  <si>
    <t>WELDING</t>
  </si>
  <si>
    <t>BOUGHT SALT</t>
  </si>
  <si>
    <t xml:space="preserve">BOUGHT ONIONS </t>
  </si>
  <si>
    <t xml:space="preserve">BOUGHT LIVER </t>
  </si>
  <si>
    <t>TOILET PAPER</t>
  </si>
  <si>
    <t>BOUGHT MAJORAM</t>
  </si>
  <si>
    <t>BOUGHT GARLIC</t>
  </si>
  <si>
    <t>BOUGHT GINGER</t>
  </si>
  <si>
    <t>BOUGHT PAPRIKA</t>
  </si>
  <si>
    <t xml:space="preserve">SOCKET REPAIR </t>
  </si>
  <si>
    <t xml:space="preserve">BOUGHT RUBBER </t>
  </si>
  <si>
    <t>BOUGHT TRICON BAR</t>
  </si>
  <si>
    <t>BOUGHT KLEENIT</t>
  </si>
  <si>
    <t>BOUGHT RULER</t>
  </si>
  <si>
    <t>BOUGHT SERVIETTES</t>
  </si>
  <si>
    <t>BOUGHT STICKY NOTES</t>
  </si>
  <si>
    <t xml:space="preserve">PAID BODA </t>
  </si>
  <si>
    <t>BOUGHT PUSH PINS</t>
  </si>
  <si>
    <t>BOUGHT BOOK</t>
  </si>
  <si>
    <t>BOUGHT JUNIOUR DUST</t>
  </si>
  <si>
    <t>CHARGES</t>
  </si>
  <si>
    <t>BOUGHT ROYCO</t>
  </si>
  <si>
    <t>BOUGHT CELLOTAPE</t>
  </si>
  <si>
    <t>BOUGHT HAIRNETS</t>
  </si>
  <si>
    <t>BOUGHT TOMATOES</t>
  </si>
  <si>
    <t>BOUGHT BEANS</t>
  </si>
  <si>
    <t>REMOVED GHEE MONEY</t>
  </si>
  <si>
    <t xml:space="preserve">BOUGHT FISH </t>
  </si>
  <si>
    <t>BOUGHT KIDNEY</t>
  </si>
  <si>
    <t xml:space="preserve">BOUGHT CHICKEN LEGS </t>
  </si>
  <si>
    <t xml:space="preserve">BOUGHT YAKA </t>
  </si>
  <si>
    <t>PAID YELLOW YOLK EGGS</t>
  </si>
  <si>
    <t>BOUGHT SOAP</t>
  </si>
  <si>
    <t xml:space="preserve">PAID G NUT MONEY </t>
  </si>
  <si>
    <t>PAID BACK IRISH MONEY</t>
  </si>
  <si>
    <t>CHICKEN LEGS</t>
  </si>
  <si>
    <t>BRENDA</t>
  </si>
  <si>
    <t>BUKASA</t>
  </si>
  <si>
    <t>BUZIGA</t>
  </si>
  <si>
    <t>CINDY</t>
  </si>
  <si>
    <t>DOROTHY</t>
  </si>
  <si>
    <t>ESTELLA</t>
  </si>
  <si>
    <t>IVORY CASTLE</t>
  </si>
  <si>
    <t>KIGO</t>
  </si>
  <si>
    <t>KIIRA</t>
  </si>
  <si>
    <t>KIWATULE</t>
  </si>
  <si>
    <t>KOLOLO</t>
  </si>
  <si>
    <t>KYALIWAJALA</t>
  </si>
  <si>
    <t>KYANJA</t>
  </si>
  <si>
    <t>KYEBANDO</t>
  </si>
  <si>
    <t>LUKULI</t>
  </si>
  <si>
    <t>LUZIRA</t>
  </si>
  <si>
    <t>LYDIA</t>
  </si>
  <si>
    <t>MAKERERE</t>
  </si>
  <si>
    <t>MENGO</t>
  </si>
  <si>
    <t>MIKE</t>
  </si>
  <si>
    <t>MPERERWE</t>
  </si>
  <si>
    <t>MUNYONYO</t>
  </si>
  <si>
    <t>NABINGO</t>
  </si>
  <si>
    <t>NAGURU</t>
  </si>
  <si>
    <t>NAKASERO</t>
  </si>
  <si>
    <t>NINA</t>
  </si>
  <si>
    <t>NTINDA</t>
  </si>
  <si>
    <t>SANDRA</t>
  </si>
  <si>
    <t>SEETA</t>
  </si>
  <si>
    <t>EVA</t>
  </si>
  <si>
    <t>PHONE NUMBER</t>
  </si>
  <si>
    <t>NAME</t>
  </si>
  <si>
    <t>LOCATION</t>
  </si>
  <si>
    <t>0782003350</t>
  </si>
  <si>
    <t>AGNES</t>
  </si>
  <si>
    <t>0772647262</t>
  </si>
  <si>
    <t>ALEX</t>
  </si>
  <si>
    <t>0708800902</t>
  </si>
  <si>
    <t xml:space="preserve">ALVIN </t>
  </si>
  <si>
    <t>KITENDE</t>
  </si>
  <si>
    <t>ANGELLA</t>
  </si>
  <si>
    <t>0772424554</t>
  </si>
  <si>
    <t>ANNABELLE</t>
  </si>
  <si>
    <t>KISASI</t>
  </si>
  <si>
    <t>0772301199</t>
  </si>
  <si>
    <t>AUNTIE GILL</t>
  </si>
  <si>
    <t>0752460535</t>
  </si>
  <si>
    <t>AUNTIE MARTHA TT</t>
  </si>
  <si>
    <t>0782836041/0706828761</t>
  </si>
  <si>
    <t>AUNTIE RUTH</t>
  </si>
  <si>
    <t>BEATRICE</t>
  </si>
  <si>
    <t>BETTY</t>
  </si>
  <si>
    <t>0782435857</t>
  </si>
  <si>
    <t>0772743445</t>
  </si>
  <si>
    <t>DUGGAN BYAKORA</t>
  </si>
  <si>
    <t>ELLA</t>
  </si>
  <si>
    <t>0776515700</t>
  </si>
  <si>
    <t>ELLEN</t>
  </si>
  <si>
    <t>0772454971</t>
  </si>
  <si>
    <t>0755828603</t>
  </si>
  <si>
    <t>FLORENCE</t>
  </si>
  <si>
    <t>LUNGUJJA</t>
  </si>
  <si>
    <t>GLORIA</t>
  </si>
  <si>
    <t>0774646119</t>
  </si>
  <si>
    <t>HARTIE</t>
  </si>
  <si>
    <t>0708387794</t>
  </si>
  <si>
    <t xml:space="preserve">HELEINA </t>
  </si>
  <si>
    <t>0789994261</t>
  </si>
  <si>
    <t>0772625999</t>
  </si>
  <si>
    <t>JENNY</t>
  </si>
  <si>
    <t>JOWERIA</t>
  </si>
  <si>
    <t>JUSTINE</t>
  </si>
  <si>
    <t>0752508864</t>
  </si>
  <si>
    <t>KABOYO CHRISTINE</t>
  </si>
  <si>
    <t>KANAMUNA</t>
  </si>
  <si>
    <t>0709658441</t>
  </si>
  <si>
    <t>KWALYA</t>
  </si>
  <si>
    <t>0759501769</t>
  </si>
  <si>
    <t>LILLIAN MPABULUNGI</t>
  </si>
  <si>
    <t>LILLIE</t>
  </si>
  <si>
    <t>NAMUWONGO</t>
  </si>
  <si>
    <t>0799681170</t>
  </si>
  <si>
    <t>0778665402</t>
  </si>
  <si>
    <t>MARTHA ISHAAZI</t>
  </si>
  <si>
    <t>0754699978</t>
  </si>
  <si>
    <t>MBABAZI</t>
  </si>
  <si>
    <t>0783800146</t>
  </si>
  <si>
    <t>MONICA</t>
  </si>
  <si>
    <t>MOSA COURTS</t>
  </si>
  <si>
    <t>0787078897</t>
  </si>
  <si>
    <t>NAIGA</t>
  </si>
  <si>
    <t>0705306546</t>
  </si>
  <si>
    <t>NAKUYA</t>
  </si>
  <si>
    <t>0774382882</t>
  </si>
  <si>
    <t>NEXUS LODGE</t>
  </si>
  <si>
    <t>0758649514</t>
  </si>
  <si>
    <t>NKAMBO</t>
  </si>
  <si>
    <t>0773000600</t>
  </si>
  <si>
    <t>OMAR SSERWADA</t>
  </si>
  <si>
    <t>0701309724</t>
  </si>
  <si>
    <t>PHEONA</t>
  </si>
  <si>
    <t>RACHAEL</t>
  </si>
  <si>
    <t>RITA</t>
  </si>
  <si>
    <t>0702846200</t>
  </si>
  <si>
    <t>RITA EPODOI</t>
  </si>
  <si>
    <t>0750722188</t>
  </si>
  <si>
    <t>ROSE NAKABONGE</t>
  </si>
  <si>
    <t>RUTH</t>
  </si>
  <si>
    <t>MUYENGA</t>
  </si>
  <si>
    <t>0756695421</t>
  </si>
  <si>
    <t>RWAMUSHEIJA MOSES</t>
  </si>
  <si>
    <t>0700539772</t>
  </si>
  <si>
    <t>0772428530</t>
  </si>
  <si>
    <t>SARAH</t>
  </si>
  <si>
    <t>0775899185</t>
  </si>
  <si>
    <t>SCOVIA ARYEMA</t>
  </si>
  <si>
    <t>0709658465</t>
  </si>
  <si>
    <t>SUSAN</t>
  </si>
  <si>
    <t>TIM</t>
  </si>
  <si>
    <t>TIMO</t>
  </si>
  <si>
    <t>0780841266</t>
  </si>
  <si>
    <t>TODI</t>
  </si>
  <si>
    <t>0706174617</t>
  </si>
  <si>
    <t>TRIFENA NAKABUGO</t>
  </si>
  <si>
    <t>0776141970</t>
  </si>
  <si>
    <t>SENFUKA ROAD</t>
  </si>
  <si>
    <t>0776760329</t>
  </si>
  <si>
    <t>0782064669</t>
  </si>
  <si>
    <t>NAKAWA URA</t>
  </si>
  <si>
    <t>0782131159</t>
  </si>
  <si>
    <t>NAKAWA MARKET</t>
  </si>
  <si>
    <t>0782797381</t>
  </si>
  <si>
    <t>NTINDA KIGOWA</t>
  </si>
  <si>
    <t>0782891320</t>
  </si>
  <si>
    <t>BUKOTO STREET</t>
  </si>
  <si>
    <t>0782894401</t>
  </si>
  <si>
    <t>0784556670</t>
  </si>
  <si>
    <t xml:space="preserve">KIWATULE,SUNSET APARTMENTS </t>
  </si>
  <si>
    <t>0787588341</t>
  </si>
  <si>
    <t>NTINDA NAMBI MALL</t>
  </si>
  <si>
    <t>KATUSO</t>
  </si>
  <si>
    <t>ZANA</t>
  </si>
  <si>
    <t>SEGUKU</t>
  </si>
  <si>
    <t xml:space="preserve">PAID ASHIRAF </t>
  </si>
  <si>
    <t>PAID TEVIN</t>
  </si>
  <si>
    <t>Tuesday, 2 January 2024</t>
  </si>
  <si>
    <t>Wednesday, 3 January 2024</t>
  </si>
  <si>
    <t>Thursday, 4 January 2024</t>
  </si>
  <si>
    <t>Friday, 5 January 2024</t>
  </si>
  <si>
    <t>Saturday, 6 January 2024</t>
  </si>
  <si>
    <t>Sunday, 7 January 2024</t>
  </si>
  <si>
    <t>Monday, 8 January 2024</t>
  </si>
  <si>
    <t>Tuesday, 9 January 2024</t>
  </si>
  <si>
    <t>Wednesday, 10 January 2024</t>
  </si>
  <si>
    <t>Thursday, 11 January 2024</t>
  </si>
  <si>
    <t>Friday, 12 January 2024</t>
  </si>
  <si>
    <t>Saturday, 13 January 2024</t>
  </si>
  <si>
    <t>Monday, 15 January 2024</t>
  </si>
  <si>
    <t>Tuesday, 16 January 2024</t>
  </si>
  <si>
    <t>GAYAZA</t>
  </si>
  <si>
    <t>NDEJJE</t>
  </si>
  <si>
    <t>KITEBI</t>
  </si>
  <si>
    <t>BUGOLOBI</t>
  </si>
  <si>
    <t>NAMULANDA</t>
  </si>
  <si>
    <t>NAKAWA</t>
  </si>
  <si>
    <t xml:space="preserve">NSAMBYA </t>
  </si>
  <si>
    <t>NAJEERA</t>
  </si>
  <si>
    <t xml:space="preserve">TIERNEY </t>
  </si>
  <si>
    <t>TOMAS</t>
  </si>
  <si>
    <t>TIFFANY</t>
  </si>
  <si>
    <t>JERRY</t>
  </si>
  <si>
    <t>TIMOTHY</t>
  </si>
  <si>
    <t>STEVEN</t>
  </si>
  <si>
    <t>TERRY</t>
  </si>
  <si>
    <t>ANDREW</t>
  </si>
  <si>
    <t>RICHARD</t>
  </si>
  <si>
    <t>DUNCAN</t>
  </si>
  <si>
    <t>SANDE</t>
  </si>
  <si>
    <t>RONALD</t>
  </si>
  <si>
    <t>LATITUDE</t>
  </si>
  <si>
    <t>0.2944444 </t>
  </si>
  <si>
    <t> 32.6235909</t>
  </si>
  <si>
    <t>BULINDO</t>
  </si>
  <si>
    <t>LONGITUDE</t>
  </si>
  <si>
    <t>DAY</t>
  </si>
  <si>
    <t>Tuesday</t>
  </si>
  <si>
    <t>Wednesday</t>
  </si>
  <si>
    <t>Thursday</t>
  </si>
  <si>
    <t>Friday</t>
  </si>
  <si>
    <t>Saturday</t>
  </si>
  <si>
    <t>Sunday</t>
  </si>
  <si>
    <t>Monday</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</si>
</sst>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F800]dddd\,\ mmmm\ dd\,\ yyyy"/>
    <numFmt numFmtId="165" formatCode="0.0000000"/>
    <numFmt numFmtId="166" formatCode="dd"/>
  </numFmts>
  <fonts count="16" x14ac:knownFonts="1">
    <font>
      <sz val="11"/>
      <color theme="1"/>
      <name val="Calibri"/>
      <family val="2"/>
      <charset val="1"/>
      <scheme val="minor"/>
    </font>
    <font>
      <sz val="11"/>
      <color theme="2" tint="-0.749961851863155"/>
      <name val="Calibri"/>
      <family val="2"/>
      <scheme val="minor"/>
    </font>
    <font>
      <sz val="11"/>
      <color theme="4" tint="-0.24994659260841701"/>
      <name val="Calibri Light"/>
      <family val="2"/>
      <scheme val="major"/>
    </font>
    <font>
      <sz val="11"/>
      <color theme="1"/>
      <name val="Calibri"/>
      <family val="2"/>
      <scheme val="minor"/>
    </font>
    <font>
      <sz val="12"/>
      <color theme="4" tint="-0.499984740745262"/>
      <name val="Calibri Light"/>
      <family val="2"/>
      <scheme val="major"/>
    </font>
    <font>
      <b/>
      <sz val="11"/>
      <color theme="1"/>
      <name val="Calibri"/>
      <family val="2"/>
      <scheme val="minor"/>
    </font>
    <font>
      <sz val="11"/>
      <color theme="4" tint="-0.499984740745262"/>
      <name val="Calibri"/>
      <family val="2"/>
      <scheme val="minor"/>
    </font>
    <font>
      <sz val="11"/>
      <name val="Calibri"/>
      <family val="2"/>
      <scheme val="minor"/>
    </font>
    <font>
      <b/>
      <sz val="14"/>
      <color theme="1"/>
      <name val="Calibri"/>
      <family val="2"/>
      <scheme val="minor"/>
    </font>
    <font>
      <b/>
      <sz val="18"/>
      <color theme="1"/>
      <name val="Calibri"/>
      <family val="2"/>
      <scheme val="minor"/>
    </font>
    <font>
      <sz val="14"/>
      <color theme="1"/>
      <name val="Calibri"/>
      <family val="2"/>
      <scheme val="minor"/>
    </font>
    <font>
      <b/>
      <sz val="18"/>
      <color theme="4" tint="-0.24994659260841701"/>
      <name val="Calibri"/>
      <family val="2"/>
      <scheme val="minor"/>
    </font>
    <font>
      <b/>
      <sz val="26"/>
      <color theme="3"/>
      <name val="Calibri"/>
      <family val="2"/>
      <scheme val="minor"/>
    </font>
    <font>
      <sz val="11"/>
      <color theme="1"/>
      <name val="Calibri"/>
      <family val="2"/>
      <charset val="1"/>
      <scheme val="minor"/>
    </font>
    <font>
      <sz val="11"/>
      <color rgb="FF006100"/>
      <name val="Calibri"/>
      <family val="2"/>
      <charset val="1"/>
      <scheme val="minor"/>
    </font>
    <font>
      <sz val="11"/>
      <color rgb="FF9C0006"/>
      <name val="Calibri"/>
      <family val="2"/>
      <charset val="1"/>
      <scheme val="minor"/>
    </font>
  </fonts>
  <fills count="14">
    <fill>
      <patternFill patternType="none"/>
    </fill>
    <fill>
      <patternFill patternType="gray125"/>
    </fill>
    <fill>
      <patternFill patternType="solid">
        <fgColor rgb="FF00CC99"/>
        <bgColor indexed="64"/>
      </patternFill>
    </fill>
    <fill>
      <patternFill patternType="solid">
        <fgColor theme="0"/>
        <bgColor indexed="64"/>
      </patternFill>
    </fill>
    <fill>
      <patternFill patternType="solid">
        <fgColor rgb="FFFF0000"/>
        <bgColor indexed="64"/>
      </patternFill>
    </fill>
    <fill>
      <patternFill patternType="solid">
        <fgColor theme="5" tint="0.59999389629810485"/>
        <bgColor indexed="65"/>
      </patternFill>
    </fill>
    <fill>
      <patternFill patternType="solid">
        <fgColor theme="6" tint="0.39997558519241921"/>
        <bgColor indexed="65"/>
      </patternFill>
    </fill>
    <fill>
      <patternFill patternType="solid">
        <fgColor theme="8" tint="0.59999389629810485"/>
        <bgColor indexed="65"/>
      </patternFill>
    </fill>
    <fill>
      <patternFill patternType="solid">
        <fgColor theme="2"/>
        <bgColor indexed="64"/>
      </patternFill>
    </fill>
    <fill>
      <patternFill patternType="solid">
        <fgColor theme="7" tint="0.59996337778862885"/>
        <bgColor indexed="64"/>
      </patternFill>
    </fill>
    <fill>
      <patternFill patternType="solid">
        <fgColor theme="4" tint="0.39994506668294322"/>
        <bgColor indexed="64"/>
      </patternFill>
    </fill>
    <fill>
      <patternFill patternType="solid">
        <fgColor theme="6" tint="0.59996337778862885"/>
        <bgColor indexed="64"/>
      </patternFill>
    </fill>
    <fill>
      <patternFill patternType="solid">
        <fgColor rgb="FFC6EFCE"/>
      </patternFill>
    </fill>
    <fill>
      <patternFill patternType="solid">
        <fgColor rgb="FFFFC7CE"/>
      </patternFill>
    </fill>
  </fills>
  <borders count="5">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19">
    <xf numFmtId="0" fontId="0" fillId="0" borderId="0"/>
    <xf numFmtId="0" fontId="1" fillId="0" borderId="0">
      <alignment vertical="top" wrapText="1"/>
    </xf>
    <xf numFmtId="0" fontId="2" fillId="0" borderId="0">
      <alignment horizontal="left" vertical="center"/>
    </xf>
    <xf numFmtId="0" fontId="3" fillId="0" borderId="0">
      <alignment horizontal="left" vertical="center"/>
    </xf>
    <xf numFmtId="0" fontId="4" fillId="0" borderId="0">
      <alignment vertical="center"/>
    </xf>
    <xf numFmtId="0" fontId="6" fillId="0" borderId="0">
      <alignment horizontal="center"/>
    </xf>
    <xf numFmtId="0" fontId="3" fillId="0" borderId="0">
      <alignment horizontal="left" vertical="center" wrapText="1" indent="2"/>
    </xf>
    <xf numFmtId="1" fontId="3" fillId="0" borderId="0">
      <alignment horizontal="center" vertical="center"/>
    </xf>
    <xf numFmtId="0" fontId="3" fillId="8" borderId="0"/>
    <xf numFmtId="0" fontId="11" fillId="8" borderId="0">
      <alignment horizontal="center" vertical="center"/>
    </xf>
    <xf numFmtId="0" fontId="5" fillId="7" borderId="0"/>
    <xf numFmtId="0" fontId="5" fillId="9" borderId="0"/>
    <xf numFmtId="0" fontId="5" fillId="6" borderId="0"/>
    <xf numFmtId="0" fontId="5" fillId="5" borderId="0"/>
    <xf numFmtId="0" fontId="5" fillId="10" borderId="0"/>
    <xf numFmtId="0" fontId="5" fillId="11" borderId="0">
      <alignment horizontal="right" vertical="center" indent="1"/>
    </xf>
    <xf numFmtId="0" fontId="12" fillId="0" borderId="0">
      <alignment vertical="top"/>
    </xf>
    <xf numFmtId="0" fontId="14" fillId="12" borderId="0"/>
    <xf numFmtId="0" fontId="15" fillId="13" borderId="0"/>
  </cellStyleXfs>
  <cellXfs count="52">
    <xf numFmtId="0" fontId="0" fillId="0" borderId="0" xfId="0"/>
    <xf numFmtId="0" fontId="8" fillId="0" borderId="1" xfId="0" applyFont="1" applyBorder="1" applyAlignment="1">
      <alignment horizontal="center"/>
    </xf>
    <xf numFmtId="14" fontId="3" fillId="0" borderId="1" xfId="0" applyNumberFormat="1" applyFont="1" applyBorder="1" applyAlignment="1">
      <alignment horizontal="center"/>
    </xf>
    <xf numFmtId="0" fontId="3" fillId="0" borderId="1" xfId="0" applyFont="1" applyBorder="1" applyAlignment="1">
      <alignment horizontal="center" vertical="center"/>
    </xf>
    <xf numFmtId="0" fontId="3" fillId="3" borderId="1" xfId="0" applyFont="1" applyFill="1" applyBorder="1" applyAlignment="1">
      <alignment horizontal="center"/>
    </xf>
    <xf numFmtId="164" fontId="0" fillId="0" borderId="1" xfId="0" applyNumberFormat="1" applyBorder="1"/>
    <xf numFmtId="49" fontId="0" fillId="0" borderId="0" xfId="0" applyNumberFormat="1"/>
    <xf numFmtId="0" fontId="5" fillId="0" borderId="1" xfId="0" applyFont="1" applyBorder="1" applyAlignment="1">
      <alignment horizontal="center"/>
    </xf>
    <xf numFmtId="164" fontId="5" fillId="0" borderId="1" xfId="0" applyNumberFormat="1" applyFont="1" applyBorder="1" applyAlignment="1">
      <alignment horizontal="center"/>
    </xf>
    <xf numFmtId="0" fontId="10" fillId="0" borderId="1" xfId="0" applyFont="1" applyBorder="1" applyAlignment="1">
      <alignment horizontal="center"/>
    </xf>
    <xf numFmtId="0" fontId="3" fillId="0" borderId="1" xfId="0" applyFont="1" applyBorder="1" applyAlignment="1">
      <alignment horizontal="center"/>
    </xf>
    <xf numFmtId="0" fontId="3" fillId="0" borderId="0" xfId="3" applyAlignment="1">
      <alignment horizontal="center" vertical="center"/>
    </xf>
    <xf numFmtId="0" fontId="0" fillId="0" borderId="1" xfId="0" applyBorder="1" applyAlignment="1">
      <alignment horizontal="center"/>
    </xf>
    <xf numFmtId="0" fontId="3" fillId="0" borderId="1" xfId="3" applyBorder="1" applyAlignment="1">
      <alignment horizontal="center" vertical="center"/>
    </xf>
    <xf numFmtId="14" fontId="0" fillId="0" borderId="1" xfId="0" applyNumberFormat="1" applyBorder="1" applyAlignment="1">
      <alignment horizontal="center"/>
    </xf>
    <xf numFmtId="1" fontId="8" fillId="0" borderId="1" xfId="0" applyNumberFormat="1" applyFont="1" applyBorder="1" applyAlignment="1">
      <alignment horizontal="center"/>
    </xf>
    <xf numFmtId="1" fontId="0" fillId="0" borderId="1" xfId="0" applyNumberFormat="1" applyBorder="1" applyAlignment="1">
      <alignment horizontal="center"/>
    </xf>
    <xf numFmtId="1" fontId="3" fillId="0" borderId="1" xfId="0" applyNumberFormat="1" applyFont="1" applyBorder="1" applyAlignment="1">
      <alignment horizontal="center"/>
    </xf>
    <xf numFmtId="1" fontId="0" fillId="4" borderId="1" xfId="0" applyNumberFormat="1" applyFill="1" applyBorder="1" applyAlignment="1">
      <alignment horizontal="center"/>
    </xf>
    <xf numFmtId="1" fontId="3" fillId="3" borderId="1" xfId="0" applyNumberFormat="1" applyFont="1" applyFill="1" applyBorder="1" applyAlignment="1">
      <alignment horizontal="center"/>
    </xf>
    <xf numFmtId="0" fontId="0" fillId="0" borderId="1" xfId="0" applyBorder="1"/>
    <xf numFmtId="0" fontId="5" fillId="0" borderId="0" xfId="0" applyFont="1"/>
    <xf numFmtId="14" fontId="0" fillId="3" borderId="1" xfId="0" applyNumberFormat="1" applyFill="1" applyBorder="1" applyAlignment="1">
      <alignment horizontal="center"/>
    </xf>
    <xf numFmtId="0" fontId="5" fillId="3" borderId="1" xfId="0" applyFont="1" applyFill="1" applyBorder="1" applyAlignment="1">
      <alignment horizontal="center"/>
    </xf>
    <xf numFmtId="0" fontId="0" fillId="3" borderId="1" xfId="0" applyFill="1" applyBorder="1" applyAlignment="1">
      <alignment horizontal="center"/>
    </xf>
    <xf numFmtId="164" fontId="0" fillId="0" borderId="0" xfId="0" applyNumberFormat="1"/>
    <xf numFmtId="0" fontId="15" fillId="13" borderId="1" xfId="18" applyBorder="1" applyAlignment="1">
      <alignment horizontal="center"/>
    </xf>
    <xf numFmtId="164" fontId="8" fillId="0" borderId="4" xfId="0" applyNumberFormat="1" applyFont="1" applyBorder="1" applyAlignment="1">
      <alignment horizontal="center"/>
    </xf>
    <xf numFmtId="1" fontId="14" fillId="12" borderId="1" xfId="17" applyNumberFormat="1" applyBorder="1" applyAlignment="1">
      <alignment horizontal="center"/>
    </xf>
    <xf numFmtId="0" fontId="14" fillId="12" borderId="1" xfId="17" applyBorder="1" applyAlignment="1">
      <alignment horizontal="center"/>
    </xf>
    <xf numFmtId="1" fontId="13" fillId="3" borderId="1" xfId="18" applyNumberFormat="1" applyFont="1" applyFill="1" applyBorder="1" applyAlignment="1">
      <alignment horizontal="center"/>
    </xf>
    <xf numFmtId="0" fontId="0" fillId="0" borderId="0" xfId="0"/>
    <xf numFmtId="14" fontId="8" fillId="0" borderId="1" xfId="0" applyNumberFormat="1" applyFont="1" applyBorder="1" applyAlignment="1">
      <alignment horizontal="center"/>
    </xf>
    <xf numFmtId="164" fontId="3" fillId="0" borderId="4" xfId="0" applyNumberFormat="1" applyFont="1" applyBorder="1" applyAlignment="1">
      <alignment horizontal="center"/>
    </xf>
    <xf numFmtId="49" fontId="8" fillId="0" borderId="1" xfId="0" applyNumberFormat="1" applyFont="1" applyBorder="1" applyAlignment="1">
      <alignment horizontal="center"/>
    </xf>
    <xf numFmtId="49" fontId="3" fillId="0" borderId="1" xfId="0" applyNumberFormat="1" applyFont="1" applyBorder="1" applyAlignment="1">
      <alignment horizontal="center"/>
    </xf>
    <xf numFmtId="49" fontId="0" fillId="0" borderId="1" xfId="0" applyNumberFormat="1" applyBorder="1" applyAlignment="1">
      <alignment horizontal="center"/>
    </xf>
    <xf numFmtId="49" fontId="5" fillId="0" borderId="1" xfId="0" applyNumberFormat="1" applyFont="1" applyBorder="1" applyAlignment="1">
      <alignment horizontal="center"/>
    </xf>
    <xf numFmtId="49" fontId="0" fillId="0" borderId="0" xfId="0" applyNumberFormat="1" applyAlignment="1">
      <alignment horizontal="center"/>
    </xf>
    <xf numFmtId="1" fontId="5" fillId="0" borderId="1" xfId="0" applyNumberFormat="1" applyFont="1" applyBorder="1" applyAlignment="1">
      <alignment horizontal="center"/>
    </xf>
    <xf numFmtId="1" fontId="0" fillId="0" borderId="0" xfId="0" applyNumberFormat="1" applyAlignment="1">
      <alignment horizontal="center"/>
    </xf>
    <xf numFmtId="0" fontId="0" fillId="0" borderId="0" xfId="0"/>
    <xf numFmtId="0" fontId="0" fillId="0" borderId="0" xfId="0"/>
    <xf numFmtId="165" fontId="0" fillId="0" borderId="0" xfId="0" applyNumberFormat="1"/>
    <xf numFmtId="165" fontId="5" fillId="0" borderId="0" xfId="0" applyNumberFormat="1" applyFont="1"/>
    <xf numFmtId="166" fontId="3" fillId="0" borderId="4" xfId="0" applyNumberFormat="1" applyFont="1" applyBorder="1" applyAlignment="1">
      <alignment horizontal="center"/>
    </xf>
    <xf numFmtId="166" fontId="0" fillId="0" borderId="0" xfId="0" applyNumberFormat="1"/>
    <xf numFmtId="0" fontId="3" fillId="2" borderId="1" xfId="0" applyFont="1" applyFill="1" applyBorder="1" applyAlignment="1">
      <alignment horizontal="center"/>
    </xf>
    <xf numFmtId="0" fontId="0" fillId="0" borderId="2" xfId="0" applyBorder="1"/>
    <xf numFmtId="0" fontId="0" fillId="0" borderId="3" xfId="0" applyBorder="1"/>
    <xf numFmtId="0" fontId="9" fillId="0" borderId="1" xfId="0" applyFont="1" applyBorder="1" applyAlignment="1">
      <alignment horizontal="center"/>
    </xf>
    <xf numFmtId="0" fontId="7" fillId="2" borderId="1" xfId="0" applyFont="1" applyFill="1" applyBorder="1" applyAlignment="1">
      <alignment horizontal="center"/>
    </xf>
  </cellXfs>
  <cellStyles count="19">
    <cellStyle name="20% - Accent3 2" xfId="8"/>
    <cellStyle name="40% - Accent2 2" xfId="13"/>
    <cellStyle name="40% - Accent4 2" xfId="11"/>
    <cellStyle name="40% - Accent5 2" xfId="10"/>
    <cellStyle name="40% - Accent6 2" xfId="14"/>
    <cellStyle name="60% - Accent3 2" xfId="12"/>
    <cellStyle name="Bad" xfId="18" builtinId="27"/>
    <cellStyle name="Employee" xfId="6"/>
    <cellStyle name="Good" xfId="17" builtinId="26"/>
    <cellStyle name="Heading 1 2" xfId="4"/>
    <cellStyle name="Heading 2 2" xfId="9"/>
    <cellStyle name="Heading 3 2" xfId="15"/>
    <cellStyle name="Heading 4 2" xfId="2"/>
    <cellStyle name="Label" xfId="5"/>
    <cellStyle name="Normal" xfId="0" builtinId="0"/>
    <cellStyle name="Normal 2" xfId="3"/>
    <cellStyle name="Normal 3" xfId="1"/>
    <cellStyle name="Title 2" xfId="16"/>
    <cellStyle name="Total 2" xfId="7"/>
  </cellStyles>
  <dxfs count="50">
    <dxf>
      <font>
        <color theme="0"/>
      </font>
      <border>
        <vertical/>
        <horizontal/>
      </border>
    </dxf>
    <dxf>
      <font>
        <color theme="0"/>
      </font>
      <border>
        <vertical/>
        <horizontal/>
      </border>
    </dxf>
    <dxf>
      <font>
        <color theme="0"/>
      </font>
      <border>
        <vertical/>
        <horizontal/>
      </border>
    </dxf>
    <dxf>
      <font>
        <color theme="0"/>
      </font>
      <border>
        <vertical/>
        <horizontal/>
      </border>
    </dxf>
    <dxf>
      <fill>
        <patternFill patternType="solid">
          <fgColor theme="4" tint="0.79998168889431442"/>
          <bgColor theme="4" tint="0.79998168889431442"/>
        </patternFill>
      </fill>
    </dxf>
    <dxf>
      <fill>
        <patternFill patternType="solid">
          <fgColor theme="4" tint="0.79998168889431442"/>
          <bgColor theme="4" tint="0.79998168889431442"/>
        </patternFill>
      </fill>
    </dxf>
    <dxf>
      <font>
        <color theme="1" tint="4.9989318521683403E-2"/>
      </font>
    </dxf>
    <dxf>
      <font>
        <b/>
        <color theme="4" tint="-0.249977111117893"/>
      </font>
    </dxf>
    <dxf>
      <font>
        <b/>
        <color theme="4" tint="-0.499984740745262"/>
      </font>
      <border>
        <left style="thin">
          <color theme="4"/>
        </left>
        <right style="thin">
          <color theme="4"/>
        </right>
        <top style="double">
          <color theme="4"/>
        </top>
        <bottom style="thin">
          <color theme="4"/>
        </bottom>
      </border>
    </dxf>
    <dxf>
      <font>
        <color theme="4" tint="-0.24994659260841701"/>
      </font>
      <border>
        <left style="thin">
          <color theme="4"/>
        </left>
        <right style="thin">
          <color theme="4"/>
        </right>
        <top style="thin">
          <color theme="4"/>
        </top>
        <vertical/>
        <horizontal/>
      </border>
    </dxf>
    <dxf>
      <font>
        <color theme="3"/>
      </font>
      <border>
        <left style="thin">
          <color theme="4"/>
        </left>
        <right style="thin">
          <color theme="4"/>
        </right>
        <top style="thin">
          <color theme="4"/>
        </top>
        <bottom style="thin">
          <color theme="4"/>
        </bottom>
        <vertical style="thin">
          <color theme="4"/>
        </vertical>
        <horizontal style="thin">
          <color theme="4"/>
        </horizontal>
      </border>
    </dxf>
    <dxf>
      <fill>
        <patternFill patternType="solid">
          <bgColor theme="6" tint="0.79998168889431442"/>
        </patternFill>
      </fill>
      <border>
        <left/>
        <right/>
        <top style="thin">
          <color theme="0" tint="-0.1498764000366222"/>
        </top>
        <bottom style="medium">
          <color theme="2" tint="-0.499984740745262"/>
        </bottom>
        <vertical/>
        <horizontal/>
      </border>
    </dxf>
    <dxf>
      <font>
        <color theme="1"/>
      </font>
      <fill>
        <patternFill patternType="solid">
          <bgColor theme="6" tint="0.79998168889431442"/>
        </patternFill>
      </fill>
      <border>
        <left/>
        <right/>
        <top style="thin">
          <color theme="0" tint="-0.1498764000366222"/>
        </top>
        <bottom style="medium">
          <color theme="2" tint="-0.499984740745262"/>
        </bottom>
        <vertical/>
        <horizontal style="thin">
          <color theme="0" tint="-0.1498764000366222"/>
        </horizontal>
      </border>
    </dxf>
    <dxf>
      <font>
        <color theme="1"/>
      </font>
      <fill>
        <patternFill patternType="solid">
          <bgColor theme="2"/>
        </patternFill>
      </fill>
      <border>
        <left/>
        <right/>
        <top/>
        <bottom style="thin">
          <color theme="0" tint="-0.1498764000366222"/>
        </bottom>
        <vertical/>
        <horizontal/>
      </border>
    </dxf>
    <dxf>
      <font>
        <color theme="1"/>
      </font>
      <fill>
        <patternFill>
          <bgColor auto="1"/>
        </patternFill>
      </fill>
      <border>
        <left/>
        <right/>
        <top style="thin">
          <color theme="0" tint="-0.1498764000366222"/>
        </top>
        <bottom style="thin">
          <color theme="0" tint="-0.1498764000366222"/>
        </bottom>
        <vertical/>
        <horizontal/>
      </border>
    </dxf>
    <dxf>
      <fill>
        <patternFill>
          <bgColor theme="0" tint="-0.1498764000366222"/>
        </patternFill>
      </fill>
      <border>
        <left style="thin">
          <color theme="0"/>
        </left>
        <right style="thin">
          <color theme="0"/>
        </right>
        <vertical style="thin">
          <color theme="0"/>
        </vertical>
      </border>
    </dxf>
    <dxf>
      <fill>
        <patternFill>
          <bgColor theme="0" tint="-4.9989318521683403E-2"/>
        </patternFill>
      </fill>
      <border>
        <left style="thin">
          <color theme="0"/>
        </left>
        <right style="thin">
          <color theme="0"/>
        </right>
        <vertical style="thin">
          <color theme="0"/>
        </vertical>
      </border>
    </dxf>
    <dxf>
      <fill>
        <patternFill>
          <bgColor theme="0" tint="-0.1498764000366222"/>
        </patternFill>
      </fill>
    </dxf>
    <dxf>
      <fill>
        <patternFill patternType="solid">
          <fgColor theme="4" tint="0.79992065187536243"/>
          <bgColor theme="0" tint="-4.9989318521683403E-2"/>
        </patternFill>
      </fill>
    </dxf>
    <dxf>
      <font>
        <color theme="1"/>
      </font>
      <fill>
        <patternFill>
          <bgColor auto="1"/>
        </patternFill>
      </fill>
      <border>
        <left/>
        <right/>
        <top/>
        <bottom style="thin">
          <color theme="0" tint="-0.1498764000366222"/>
        </bottom>
        <vertical/>
        <horizontal style="thin">
          <color theme="0" tint="-0.1498764000366222"/>
        </horizontal>
      </border>
    </dxf>
    <dxf>
      <font>
        <color theme="1"/>
      </font>
      <fill>
        <patternFill>
          <bgColor auto="1"/>
        </patternFill>
      </fill>
      <border>
        <left/>
        <right/>
        <top style="thin">
          <color theme="2" tint="-9.9917600024414813E-2"/>
        </top>
        <bottom style="thin">
          <color theme="2" tint="-9.9948118533890809E-2"/>
        </bottom>
        <vertical/>
        <horizontal style="thin">
          <color theme="2" tint="-9.9917600024414813E-2"/>
        </horizontal>
      </border>
    </dxf>
    <dxf>
      <font>
        <color theme="1"/>
      </font>
      <fill>
        <patternFill>
          <bgColor theme="6" tint="0.79998168889431442"/>
        </patternFill>
      </fill>
      <border>
        <left style="thin">
          <color theme="0"/>
        </left>
        <right style="thin">
          <color theme="0"/>
        </right>
        <top/>
        <bottom style="medium">
          <color theme="2" tint="-0.499984740745262"/>
        </bottom>
        <vertical style="thin">
          <color theme="0"/>
        </vertical>
        <horizontal/>
      </border>
    </dxf>
    <dxf>
      <font>
        <color theme="0"/>
      </font>
      <fill>
        <patternFill>
          <bgColor theme="3"/>
        </patternFill>
      </fill>
    </dxf>
    <dxf>
      <font>
        <color theme="1"/>
      </font>
      <border>
        <left/>
        <right/>
        <top/>
        <bottom/>
        <vertical style="thin">
          <color theme="0"/>
        </vertical>
        <horizontal/>
      </border>
    </dxf>
    <dxf>
      <fill>
        <patternFill patternType="solid">
          <bgColor theme="6" tint="0.79998168889431442"/>
        </patternFill>
      </fill>
      <border>
        <left/>
        <right/>
        <top style="thin">
          <color theme="0" tint="-0.1498764000366222"/>
        </top>
        <bottom style="medium">
          <color theme="2" tint="-0.499984740745262"/>
        </bottom>
        <vertical/>
        <horizontal/>
      </border>
    </dxf>
    <dxf>
      <font>
        <color theme="1"/>
      </font>
      <fill>
        <patternFill patternType="solid">
          <bgColor theme="6" tint="0.79998168889431442"/>
        </patternFill>
      </fill>
      <border>
        <left/>
        <right/>
        <top style="thin">
          <color theme="0" tint="-0.1498764000366222"/>
        </top>
        <bottom style="medium">
          <color theme="2" tint="-0.499984740745262"/>
        </bottom>
        <vertical/>
        <horizontal style="thin">
          <color theme="0" tint="-0.1498764000366222"/>
        </horizontal>
      </border>
    </dxf>
    <dxf>
      <font>
        <color theme="1"/>
      </font>
      <fill>
        <patternFill patternType="solid">
          <bgColor theme="2"/>
        </patternFill>
      </fill>
      <border>
        <left/>
        <right/>
        <top/>
        <bottom style="thin">
          <color theme="0" tint="-0.1498764000366222"/>
        </bottom>
        <vertical/>
        <horizontal/>
      </border>
    </dxf>
    <dxf>
      <font>
        <color theme="1"/>
      </font>
      <fill>
        <patternFill>
          <bgColor auto="1"/>
        </patternFill>
      </fill>
      <border>
        <left/>
        <right/>
        <top style="thin">
          <color theme="0" tint="-0.1498764000366222"/>
        </top>
        <bottom style="thin">
          <color theme="0" tint="-0.1498764000366222"/>
        </bottom>
        <vertical/>
        <horizontal/>
      </border>
    </dxf>
    <dxf>
      <fill>
        <patternFill>
          <bgColor theme="0" tint="-0.1498764000366222"/>
        </patternFill>
      </fill>
      <border>
        <left style="thin">
          <color theme="0"/>
        </left>
        <right style="thin">
          <color theme="0"/>
        </right>
        <vertical style="thin">
          <color theme="0"/>
        </vertical>
      </border>
    </dxf>
    <dxf>
      <fill>
        <patternFill>
          <bgColor theme="0" tint="-4.9989318521683403E-2"/>
        </patternFill>
      </fill>
      <border>
        <left style="thin">
          <color theme="0"/>
        </left>
        <right style="thin">
          <color theme="0"/>
        </right>
        <vertical style="thin">
          <color theme="0"/>
        </vertical>
      </border>
    </dxf>
    <dxf>
      <fill>
        <patternFill>
          <bgColor theme="0" tint="-0.1498764000366222"/>
        </patternFill>
      </fill>
    </dxf>
    <dxf>
      <fill>
        <patternFill patternType="solid">
          <fgColor theme="4" tint="0.79992065187536243"/>
          <bgColor theme="0" tint="-4.9989318521683403E-2"/>
        </patternFill>
      </fill>
    </dxf>
    <dxf>
      <font>
        <color theme="1"/>
      </font>
      <fill>
        <patternFill>
          <bgColor auto="1"/>
        </patternFill>
      </fill>
      <border>
        <left/>
        <right/>
        <top/>
        <bottom style="thin">
          <color theme="0" tint="-0.1498764000366222"/>
        </bottom>
        <vertical/>
        <horizontal style="thin">
          <color theme="0" tint="-0.1498764000366222"/>
        </horizontal>
      </border>
    </dxf>
    <dxf>
      <font>
        <color theme="1"/>
      </font>
      <fill>
        <patternFill>
          <bgColor auto="1"/>
        </patternFill>
      </fill>
      <border>
        <left/>
        <right/>
        <top style="thin">
          <color theme="2" tint="-9.9917600024414813E-2"/>
        </top>
        <bottom style="thin">
          <color theme="2" tint="-9.9948118533890809E-2"/>
        </bottom>
        <vertical/>
        <horizontal style="thin">
          <color theme="2" tint="-9.9917600024414813E-2"/>
        </horizontal>
      </border>
    </dxf>
    <dxf>
      <font>
        <color theme="1"/>
      </font>
      <fill>
        <patternFill>
          <bgColor theme="6" tint="0.79998168889431442"/>
        </patternFill>
      </fill>
      <border>
        <left style="thin">
          <color theme="0"/>
        </left>
        <right style="thin">
          <color theme="0"/>
        </right>
        <top/>
        <bottom style="medium">
          <color theme="2" tint="-0.499984740745262"/>
        </bottom>
        <vertical style="thin">
          <color theme="0"/>
        </vertical>
        <horizontal/>
      </border>
    </dxf>
    <dxf>
      <font>
        <color theme="0"/>
      </font>
      <fill>
        <patternFill>
          <bgColor theme="3"/>
        </patternFill>
      </fill>
    </dxf>
    <dxf>
      <font>
        <color theme="1"/>
      </font>
      <border>
        <left/>
        <right/>
        <top/>
        <bottom/>
        <vertical style="thin">
          <color theme="0"/>
        </vertical>
        <horizontal/>
      </border>
    </dxf>
    <dxf>
      <fill>
        <patternFill patternType="solid">
          <bgColor theme="6" tint="0.79998168889431442"/>
        </patternFill>
      </fill>
      <border>
        <left/>
        <right/>
        <top style="thin">
          <color theme="0" tint="-0.1498764000366222"/>
        </top>
        <bottom style="medium">
          <color theme="2" tint="-0.499984740745262"/>
        </bottom>
        <vertical/>
        <horizontal/>
      </border>
    </dxf>
    <dxf>
      <font>
        <color theme="1"/>
      </font>
      <fill>
        <patternFill patternType="solid">
          <bgColor theme="6" tint="0.79998168889431442"/>
        </patternFill>
      </fill>
      <border>
        <left/>
        <right/>
        <top style="thin">
          <color theme="0" tint="-0.1498764000366222"/>
        </top>
        <bottom style="medium">
          <color theme="2" tint="-0.499984740745262"/>
        </bottom>
        <vertical/>
        <horizontal style="thin">
          <color theme="0" tint="-0.1498764000366222"/>
        </horizontal>
      </border>
    </dxf>
    <dxf>
      <font>
        <color theme="1"/>
      </font>
      <fill>
        <patternFill patternType="solid">
          <bgColor theme="2"/>
        </patternFill>
      </fill>
      <border>
        <left/>
        <right/>
        <top/>
        <bottom style="thin">
          <color theme="0" tint="-0.1498764000366222"/>
        </bottom>
        <vertical/>
        <horizontal/>
      </border>
    </dxf>
    <dxf>
      <font>
        <color theme="1"/>
      </font>
      <fill>
        <patternFill>
          <bgColor auto="1"/>
        </patternFill>
      </fill>
      <border>
        <left/>
        <right/>
        <top style="thin">
          <color theme="0" tint="-0.1498764000366222"/>
        </top>
        <bottom style="thin">
          <color theme="0" tint="-0.1498764000366222"/>
        </bottom>
        <vertical/>
        <horizontal/>
      </border>
    </dxf>
    <dxf>
      <fill>
        <patternFill>
          <bgColor theme="0" tint="-0.1498764000366222"/>
        </patternFill>
      </fill>
      <border>
        <left style="thin">
          <color theme="0"/>
        </left>
        <right style="thin">
          <color theme="0"/>
        </right>
        <vertical style="thin">
          <color theme="0"/>
        </vertical>
      </border>
    </dxf>
    <dxf>
      <fill>
        <patternFill>
          <bgColor theme="0" tint="-4.9989318521683403E-2"/>
        </patternFill>
      </fill>
      <border>
        <left style="thin">
          <color theme="0"/>
        </left>
        <right style="thin">
          <color theme="0"/>
        </right>
        <vertical style="thin">
          <color theme="0"/>
        </vertical>
      </border>
    </dxf>
    <dxf>
      <fill>
        <patternFill>
          <bgColor theme="0" tint="-0.1498764000366222"/>
        </patternFill>
      </fill>
    </dxf>
    <dxf>
      <fill>
        <patternFill patternType="solid">
          <fgColor theme="4" tint="0.79992065187536243"/>
          <bgColor theme="0" tint="-4.9989318521683403E-2"/>
        </patternFill>
      </fill>
    </dxf>
    <dxf>
      <font>
        <color theme="1"/>
      </font>
      <fill>
        <patternFill>
          <bgColor auto="1"/>
        </patternFill>
      </fill>
      <border>
        <left/>
        <right/>
        <top/>
        <bottom style="thin">
          <color theme="0" tint="-0.1498764000366222"/>
        </bottom>
        <vertical/>
        <horizontal style="thin">
          <color theme="0" tint="-0.1498764000366222"/>
        </horizontal>
      </border>
    </dxf>
    <dxf>
      <font>
        <color theme="1"/>
      </font>
      <fill>
        <patternFill>
          <bgColor auto="1"/>
        </patternFill>
      </fill>
      <border>
        <left/>
        <right/>
        <top style="thin">
          <color theme="2" tint="-9.9917600024414813E-2"/>
        </top>
        <bottom style="thin">
          <color theme="2" tint="-9.9948118533890809E-2"/>
        </bottom>
        <vertical/>
        <horizontal style="thin">
          <color theme="2" tint="-9.9917600024414813E-2"/>
        </horizontal>
      </border>
    </dxf>
    <dxf>
      <font>
        <color theme="1"/>
      </font>
      <fill>
        <patternFill>
          <bgColor theme="6" tint="0.79998168889431442"/>
        </patternFill>
      </fill>
      <border>
        <left style="thin">
          <color theme="0"/>
        </left>
        <right style="thin">
          <color theme="0"/>
        </right>
        <top/>
        <bottom style="medium">
          <color theme="2" tint="-0.499984740745262"/>
        </bottom>
        <vertical style="thin">
          <color theme="0"/>
        </vertical>
        <horizontal/>
      </border>
    </dxf>
    <dxf>
      <font>
        <color theme="0"/>
      </font>
      <fill>
        <patternFill>
          <bgColor theme="3"/>
        </patternFill>
      </fill>
    </dxf>
    <dxf>
      <font>
        <color theme="1"/>
      </font>
      <border>
        <left/>
        <right/>
        <top/>
        <bottom/>
        <vertical style="thin">
          <color theme="0"/>
        </vertical>
        <horizontal/>
      </border>
    </dxf>
  </dxfs>
  <tableStyles count="4" defaultTableStyle="TableStyleMedium2" defaultPivotStyle="PivotStyleLight16">
    <tableStyle name="Employee Absence Table" pivot="0" count="13">
      <tableStyleElement type="wholeTable" dxfId="49"/>
      <tableStyleElement type="headerRow" dxfId="48"/>
      <tableStyleElement type="totalRow" dxfId="47"/>
      <tableStyleElement type="firstColumn" dxfId="46"/>
      <tableStyleElement type="lastColumn" dxfId="45"/>
      <tableStyleElement type="firstRowStripe" dxfId="44"/>
      <tableStyleElement type="secondRowStripe" dxfId="43"/>
      <tableStyleElement type="firstColumnStripe" dxfId="42"/>
      <tableStyleElement type="secondColumnStripe" dxfId="41"/>
      <tableStyleElement type="firstHeaderCell" dxfId="40"/>
      <tableStyleElement type="lastHeaderCell" dxfId="39"/>
      <tableStyleElement type="firstTotalCell" dxfId="38"/>
      <tableStyleElement type="lastTotalCell" dxfId="37"/>
    </tableStyle>
    <tableStyle name="Employee Absence Table 2" pivot="0" count="13">
      <tableStyleElement type="wholeTable" dxfId="36"/>
      <tableStyleElement type="headerRow" dxfId="35"/>
      <tableStyleElement type="totalRow" dxfId="34"/>
      <tableStyleElement type="firstColumn" dxfId="33"/>
      <tableStyleElement type="lastColumn" dxfId="32"/>
      <tableStyleElement type="firstRowStripe" dxfId="31"/>
      <tableStyleElement type="secondRowStripe" dxfId="30"/>
      <tableStyleElement type="firstColumnStripe" dxfId="29"/>
      <tableStyleElement type="secondColumnStripe" dxfId="28"/>
      <tableStyleElement type="firstHeaderCell" dxfId="27"/>
      <tableStyleElement type="lastHeaderCell" dxfId="26"/>
      <tableStyleElement type="firstTotalCell" dxfId="25"/>
      <tableStyleElement type="lastTotalCell" dxfId="24"/>
    </tableStyle>
    <tableStyle name="Employee Absence Table 3" pivot="0" count="13">
      <tableStyleElement type="wholeTable" dxfId="23"/>
      <tableStyleElement type="headerRow" dxfId="22"/>
      <tableStyleElement type="totalRow" dxfId="21"/>
      <tableStyleElement type="firstColumn" dxfId="20"/>
      <tableStyleElement type="lastColumn" dxfId="19"/>
      <tableStyleElement type="firstRowStripe" dxfId="18"/>
      <tableStyleElement type="secondRowStripe" dxfId="17"/>
      <tableStyleElement type="firstColumnStripe" dxfId="16"/>
      <tableStyleElement type="secondColumnStripe" dxfId="15"/>
      <tableStyleElement type="firstHeaderCell" dxfId="14"/>
      <tableStyleElement type="lastHeaderCell" dxfId="13"/>
      <tableStyleElement type="firstTotalCell" dxfId="12"/>
      <tableStyleElement type="lastTotalCell" dxfId="11"/>
    </tableStyle>
    <tableStyle name="Sales Invoice Table" pivot="0" count="7">
      <tableStyleElement type="wholeTable" dxfId="10"/>
      <tableStyleElement type="headerRow" dxfId="9"/>
      <tableStyleElement type="totalRow" dxfId="8"/>
      <tableStyleElement type="firstColumn" dxfId="7"/>
      <tableStyleElement type="lastColumn" dxfId="6"/>
      <tableStyleElement type="firstRowStripe" dxfId="5"/>
      <tableStyleElement type="firstColumnStripe" dxfId="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5" Type="http://schemas.openxmlformats.org/officeDocument/2006/relationships/externalLink" Target="externalLinks/externalLink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JDFWOD.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Sales%20invoice%20tracker1"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mployee Names"/>
      <sheetName val="January"/>
      <sheetName val="February"/>
      <sheetName val="March"/>
      <sheetName val="April"/>
      <sheetName val="May"/>
      <sheetName val="June"/>
      <sheetName val="July"/>
      <sheetName val="August"/>
      <sheetName val="September"/>
      <sheetName val="October"/>
      <sheetName val="November"/>
      <sheetName val="December"/>
      <sheetName val="SE"/>
      <sheetName val="JDFWOD"/>
    </sheetNames>
    <sheetDataSet>
      <sheetData sheetId="0"/>
      <sheetData sheetId="1" refreshError="1"/>
      <sheetData sheetId="2" refreshError="1"/>
      <sheetData sheetId="3"/>
      <sheetData sheetId="4"/>
      <sheetData sheetId="5"/>
      <sheetData sheetId="6"/>
      <sheetData sheetId="7"/>
      <sheetData sheetId="8"/>
      <sheetData sheetId="9"/>
      <sheetData sheetId="10"/>
      <sheetData sheetId="11"/>
      <sheetData sheetId="12"/>
      <sheetData sheetId="13" refreshError="1"/>
      <sheetData sheetId="14"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This Invoice Tracker"/>
      <sheetName val="Invoice"/>
      <sheetName val="Customers (2)"/>
      <sheetName val="Invoices - Main"/>
      <sheetName val="Invoice Details"/>
      <sheetName val="Sales invoice tracker1"/>
    </sheetNames>
    <sheetDataSet>
      <sheetData sheetId="0" refreshError="1"/>
      <sheetData sheetId="1">
        <row r="1">
          <cell r="B1" t="str">
            <v>company name</v>
          </cell>
        </row>
        <row r="4">
          <cell r="G4" t="str">
            <v>3-456-2</v>
          </cell>
        </row>
      </sheetData>
      <sheetData sheetId="2" refreshError="1"/>
      <sheetData sheetId="3"/>
      <sheetData sheetId="4" refreshError="1"/>
      <sheetData sheetId="5"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GW1818"/>
  <sheetViews>
    <sheetView topLeftCell="A332" zoomScale="62" zoomScaleNormal="97" workbookViewId="0">
      <selection activeCell="S538" sqref="S538"/>
    </sheetView>
  </sheetViews>
  <sheetFormatPr defaultColWidth="9.140625" defaultRowHeight="15" x14ac:dyDescent="0.25"/>
  <cols>
    <col min="1" max="1" width="35" style="10" bestFit="1" customWidth="1"/>
    <col min="2" max="2" width="8.28515625" style="7" bestFit="1" customWidth="1"/>
    <col min="3" max="3" width="10.42578125" style="17" bestFit="1" customWidth="1"/>
    <col min="4" max="4" width="28.42578125" style="10" bestFit="1" customWidth="1"/>
    <col min="5" max="5" width="12.28515625" style="10" bestFit="1" customWidth="1"/>
    <col min="6" max="6" width="16.7109375" style="17" bestFit="1" customWidth="1"/>
    <col min="7" max="7" width="9.140625" style="10" customWidth="1"/>
    <col min="8" max="8" width="18.5703125" style="10" bestFit="1" customWidth="1"/>
    <col min="9" max="9" width="3.7109375" style="10" bestFit="1" customWidth="1"/>
    <col min="10" max="10" width="24.7109375" style="10" bestFit="1" customWidth="1"/>
    <col min="11" max="11" width="16" style="10" bestFit="1" customWidth="1"/>
    <col min="12" max="12" width="12.42578125" style="10" customWidth="1"/>
    <col min="13" max="43" width="12" style="10" bestFit="1" customWidth="1"/>
    <col min="44" max="44" width="9.140625" style="10" customWidth="1"/>
    <col min="45" max="45" width="10.7109375" style="10" bestFit="1" customWidth="1"/>
    <col min="46" max="46" width="14.5703125" style="10" bestFit="1" customWidth="1"/>
    <col min="47" max="75" width="10.7109375" style="10" bestFit="1" customWidth="1"/>
    <col min="76" max="76" width="9.140625" style="10" customWidth="1"/>
    <col min="77" max="106" width="10.7109375" style="10" bestFit="1" customWidth="1"/>
    <col min="107" max="107" width="10.85546875" style="10" bestFit="1" customWidth="1"/>
    <col min="108" max="108" width="12.140625" style="10" bestFit="1" customWidth="1"/>
    <col min="109" max="109" width="10.85546875" style="10" bestFit="1" customWidth="1"/>
    <col min="110" max="138" width="10.7109375" style="10" bestFit="1" customWidth="1"/>
    <col min="139" max="139" width="10.85546875" style="10" bestFit="1" customWidth="1"/>
    <col min="140" max="142" width="10.85546875" style="10" customWidth="1"/>
    <col min="143" max="143" width="34.7109375" style="10" bestFit="1" customWidth="1"/>
    <col min="144" max="144" width="19.28515625" style="10" bestFit="1" customWidth="1"/>
    <col min="145" max="145" width="14.5703125" style="10" bestFit="1" customWidth="1"/>
    <col min="146" max="148" width="10.85546875" style="10" customWidth="1"/>
    <col min="149" max="149" width="21.42578125" style="10" bestFit="1" customWidth="1"/>
    <col min="150" max="150" width="12.28515625" style="10" bestFit="1" customWidth="1"/>
    <col min="151" max="202" width="10.85546875" style="10" customWidth="1"/>
    <col min="203" max="203" width="10.5703125" style="10" bestFit="1" customWidth="1"/>
    <col min="204" max="204" width="9.140625" style="10" customWidth="1"/>
    <col min="205" max="205" width="35.42578125" style="10" bestFit="1" customWidth="1"/>
    <col min="206" max="206" width="19.42578125" style="10" bestFit="1" customWidth="1"/>
    <col min="207" max="207" width="26.42578125" style="10" bestFit="1" customWidth="1"/>
    <col min="208" max="208" width="7.85546875" style="10" bestFit="1" customWidth="1"/>
    <col min="209" max="218" width="9.140625" style="10" customWidth="1"/>
    <col min="219" max="16384" width="9.140625" style="10"/>
  </cols>
  <sheetData>
    <row r="1" spans="1:155" ht="23.25" customHeight="1" x14ac:dyDescent="0.35">
      <c r="A1" s="1" t="str">
        <f>(SALES!$A:$A)</f>
        <v>Timestamp</v>
      </c>
      <c r="B1" s="1" t="str">
        <f>(SALES!$C:$C)</f>
        <v>ID</v>
      </c>
      <c r="C1" s="1" t="str">
        <f>(SALES!$D:$D)</f>
        <v>QTY</v>
      </c>
      <c r="D1" s="1" t="str">
        <f>(SALES!$E:$E)</f>
        <v>ITEM</v>
      </c>
      <c r="E1" s="1" t="str">
        <f>(SALES!$F:$F)</f>
        <v>PRICE</v>
      </c>
      <c r="F1" s="1" t="str">
        <f>(SALES!$G:$G)</f>
        <v>AMOUNT</v>
      </c>
      <c r="H1" s="50" t="s">
        <v>0</v>
      </c>
      <c r="I1" s="48"/>
      <c r="J1" s="48"/>
      <c r="K1" s="49"/>
      <c r="EJ1" s="12"/>
      <c r="EK1" s="12"/>
      <c r="EL1" s="12"/>
      <c r="EM1" s="1" t="e">
        <f>(#REF!)</f>
        <v>#REF!</v>
      </c>
      <c r="EN1" s="9"/>
      <c r="EO1" s="9"/>
      <c r="EP1" s="9"/>
      <c r="EQ1" s="12"/>
      <c r="ER1" s="1"/>
      <c r="ES1" s="12"/>
      <c r="ET1" s="12"/>
      <c r="EU1" s="1"/>
      <c r="EV1" s="1"/>
      <c r="EW1" s="1"/>
      <c r="EX1" s="1"/>
      <c r="EY1" s="1"/>
    </row>
    <row r="2" spans="1:155" ht="18.75" customHeight="1" x14ac:dyDescent="0.35">
      <c r="A2" s="32" t="str">
        <f>(SALES!$A:$A)</f>
        <v>Tuesday, 2 January 2024</v>
      </c>
      <c r="B2" s="1">
        <f>(SALES!$C:$C)</f>
        <v>1</v>
      </c>
      <c r="C2" s="1">
        <f>(SALES!$D:$D)</f>
        <v>0.5</v>
      </c>
      <c r="D2" s="1" t="str">
        <f>(SALES!$E:$E)</f>
        <v>BEEF</v>
      </c>
      <c r="E2" s="1">
        <f>(SALES!$F:$F)</f>
        <v>16000</v>
      </c>
      <c r="F2" s="1">
        <f>(SALES!$G:$G)</f>
        <v>8000</v>
      </c>
      <c r="H2" s="1">
        <f>(EXPENSES!$A:$A)</f>
        <v>45293</v>
      </c>
      <c r="I2" s="1">
        <f>(EXPENSES!$B:$B)</f>
        <v>5</v>
      </c>
      <c r="J2" s="1" t="str">
        <f>(EXPENSES!$C:$C)</f>
        <v xml:space="preserve">PAID ASHIRAF </v>
      </c>
      <c r="K2" s="1">
        <f>(EXPENSES!$D:$D)</f>
        <v>3000</v>
      </c>
      <c r="M2" s="50" t="s">
        <v>1</v>
      </c>
      <c r="N2" s="48"/>
      <c r="O2" s="48"/>
      <c r="P2" s="48"/>
      <c r="Q2" s="48"/>
      <c r="R2" s="48"/>
      <c r="S2" s="48"/>
      <c r="T2" s="48"/>
      <c r="U2" s="48"/>
      <c r="V2" s="48"/>
      <c r="W2" s="48"/>
      <c r="X2" s="48"/>
      <c r="Y2" s="48"/>
      <c r="Z2" s="48"/>
      <c r="AA2" s="48"/>
      <c r="AB2" s="48"/>
      <c r="AC2" s="48"/>
      <c r="AD2" s="48"/>
      <c r="AE2" s="48"/>
      <c r="AF2" s="48"/>
      <c r="AG2" s="48"/>
      <c r="AH2" s="48"/>
      <c r="AI2" s="48"/>
      <c r="AJ2" s="48"/>
      <c r="AK2" s="48"/>
      <c r="AL2" s="48"/>
      <c r="AM2" s="48"/>
      <c r="AN2" s="48"/>
      <c r="AO2" s="48"/>
      <c r="AP2" s="48"/>
      <c r="AQ2" s="49"/>
      <c r="AS2" s="50" t="s">
        <v>2</v>
      </c>
      <c r="AT2" s="48"/>
      <c r="AU2" s="48"/>
      <c r="AV2" s="48"/>
      <c r="AW2" s="48"/>
      <c r="AX2" s="48"/>
      <c r="AY2" s="48"/>
      <c r="AZ2" s="48"/>
      <c r="BA2" s="48"/>
      <c r="BB2" s="48"/>
      <c r="BC2" s="48"/>
      <c r="BD2" s="48"/>
      <c r="BE2" s="48"/>
      <c r="BF2" s="48"/>
      <c r="BG2" s="48"/>
      <c r="BH2" s="48"/>
      <c r="BI2" s="48"/>
      <c r="BJ2" s="48"/>
      <c r="BK2" s="48"/>
      <c r="BL2" s="48"/>
      <c r="BM2" s="48"/>
      <c r="BN2" s="48"/>
      <c r="BO2" s="48"/>
      <c r="BP2" s="48"/>
      <c r="BQ2" s="48"/>
      <c r="BR2" s="48"/>
      <c r="BS2" s="48"/>
      <c r="BT2" s="48"/>
      <c r="BU2" s="48"/>
      <c r="BV2" s="48"/>
      <c r="BW2" s="49"/>
      <c r="BY2" s="50" t="s">
        <v>3</v>
      </c>
      <c r="BZ2" s="48"/>
      <c r="CA2" s="48"/>
      <c r="CB2" s="48"/>
      <c r="CC2" s="48"/>
      <c r="CD2" s="48"/>
      <c r="CE2" s="48"/>
      <c r="CF2" s="48"/>
      <c r="CG2" s="48"/>
      <c r="CH2" s="48"/>
      <c r="CI2" s="48"/>
      <c r="CJ2" s="48"/>
      <c r="CK2" s="48"/>
      <c r="CL2" s="48"/>
      <c r="CM2" s="48"/>
      <c r="CN2" s="48"/>
      <c r="CO2" s="48"/>
      <c r="CP2" s="48"/>
      <c r="CQ2" s="48"/>
      <c r="CR2" s="48"/>
      <c r="CS2" s="48"/>
      <c r="CT2" s="48"/>
      <c r="CU2" s="48"/>
      <c r="CV2" s="48"/>
      <c r="CW2" s="48"/>
      <c r="CX2" s="48"/>
      <c r="CY2" s="48"/>
      <c r="CZ2" s="48"/>
      <c r="DA2" s="48"/>
      <c r="DB2" s="48"/>
      <c r="DC2" s="49"/>
      <c r="DE2" s="50" t="s">
        <v>4</v>
      </c>
      <c r="DF2" s="48"/>
      <c r="DG2" s="48"/>
      <c r="DH2" s="48"/>
      <c r="DI2" s="48"/>
      <c r="DJ2" s="48"/>
      <c r="DK2" s="48"/>
      <c r="DL2" s="48"/>
      <c r="DM2" s="48"/>
      <c r="DN2" s="48"/>
      <c r="DO2" s="48"/>
      <c r="DP2" s="48"/>
      <c r="DQ2" s="48"/>
      <c r="DR2" s="48"/>
      <c r="DS2" s="48"/>
      <c r="DT2" s="48"/>
      <c r="DU2" s="48"/>
      <c r="DV2" s="48"/>
      <c r="DW2" s="48"/>
      <c r="DX2" s="48"/>
      <c r="DY2" s="48"/>
      <c r="DZ2" s="48"/>
      <c r="EA2" s="48"/>
      <c r="EB2" s="48"/>
      <c r="EC2" s="48"/>
      <c r="ED2" s="48"/>
      <c r="EE2" s="48"/>
      <c r="EF2" s="48"/>
      <c r="EG2" s="48"/>
      <c r="EH2" s="48"/>
      <c r="EI2" s="49"/>
      <c r="EJ2" s="12"/>
      <c r="EK2" s="12"/>
      <c r="EL2" s="12"/>
      <c r="EM2" s="1" t="e">
        <f>(#REF!)</f>
        <v>#REF!</v>
      </c>
      <c r="EN2" s="1" t="e">
        <f>(#REF!)</f>
        <v>#REF!</v>
      </c>
      <c r="EO2" s="1" t="e">
        <f>(#REF!)</f>
        <v>#REF!</v>
      </c>
      <c r="EP2" s="1" t="e">
        <f>(#REF!)</f>
        <v>#REF!</v>
      </c>
      <c r="EQ2" s="12"/>
      <c r="ER2" s="1"/>
      <c r="ES2" s="1" t="s">
        <v>5</v>
      </c>
      <c r="ET2" s="1" t="s">
        <v>6</v>
      </c>
      <c r="EU2" s="1"/>
      <c r="EV2" s="1"/>
      <c r="EW2" s="1"/>
      <c r="EX2" s="1"/>
      <c r="EY2" s="1"/>
    </row>
    <row r="3" spans="1:155" ht="18" customHeight="1" x14ac:dyDescent="0.3">
      <c r="A3" s="32" t="str">
        <f>(SALES!$A:$A)</f>
        <v>Tuesday, 2 January 2024</v>
      </c>
      <c r="B3" s="1">
        <f>(SALES!$C:$C)</f>
        <v>2</v>
      </c>
      <c r="C3" s="1">
        <f>(SALES!$D:$D)</f>
        <v>3.3</v>
      </c>
      <c r="D3" s="1" t="str">
        <f>(SALES!$E:$E)</f>
        <v>MATOOKE KGS</v>
      </c>
      <c r="E3" s="1">
        <f>(SALES!$F:$F)</f>
        <v>1500</v>
      </c>
      <c r="F3" s="1">
        <f>(SALES!$G:$G)</f>
        <v>4950</v>
      </c>
      <c r="H3" s="2">
        <f>(EXPENSES!$A:$A)</f>
        <v>45293</v>
      </c>
      <c r="I3" s="10">
        <f>(EXPENSES!$B:$B)</f>
        <v>3</v>
      </c>
      <c r="J3" s="10" t="str">
        <f>(EXPENSES!$C:$C)</f>
        <v xml:space="preserve">PAID ASHIRAF </v>
      </c>
      <c r="K3" s="10">
        <f>(EXPENSES!$D:$D)</f>
        <v>10000</v>
      </c>
      <c r="M3" s="51" t="s">
        <v>7</v>
      </c>
      <c r="N3" s="48"/>
      <c r="O3" s="48"/>
      <c r="P3" s="48"/>
      <c r="Q3" s="48"/>
      <c r="R3" s="48"/>
      <c r="S3" s="48"/>
      <c r="T3" s="48"/>
      <c r="U3" s="48"/>
      <c r="V3" s="48"/>
      <c r="W3" s="48"/>
      <c r="X3" s="48"/>
      <c r="Y3" s="48"/>
      <c r="Z3" s="48"/>
      <c r="AA3" s="48"/>
      <c r="AB3" s="48"/>
      <c r="AC3" s="48"/>
      <c r="AD3" s="48"/>
      <c r="AE3" s="48"/>
      <c r="AF3" s="48"/>
      <c r="AG3" s="48"/>
      <c r="AH3" s="48"/>
      <c r="AI3" s="48"/>
      <c r="AJ3" s="48"/>
      <c r="AK3" s="48"/>
      <c r="AL3" s="48"/>
      <c r="AM3" s="48"/>
      <c r="AN3" s="48"/>
      <c r="AO3" s="48"/>
      <c r="AP3" s="48"/>
      <c r="AQ3" s="49"/>
      <c r="AS3" s="51" t="s">
        <v>7</v>
      </c>
      <c r="AT3" s="48"/>
      <c r="AU3" s="48"/>
      <c r="AV3" s="48"/>
      <c r="AW3" s="48"/>
      <c r="AX3" s="48"/>
      <c r="AY3" s="48"/>
      <c r="AZ3" s="48"/>
      <c r="BA3" s="48"/>
      <c r="BB3" s="48"/>
      <c r="BC3" s="48"/>
      <c r="BD3" s="48"/>
      <c r="BE3" s="48"/>
      <c r="BF3" s="48"/>
      <c r="BG3" s="48"/>
      <c r="BH3" s="48"/>
      <c r="BI3" s="48"/>
      <c r="BJ3" s="48"/>
      <c r="BK3" s="48"/>
      <c r="BL3" s="48"/>
      <c r="BM3" s="48"/>
      <c r="BN3" s="48"/>
      <c r="BO3" s="48"/>
      <c r="BP3" s="48"/>
      <c r="BQ3" s="48"/>
      <c r="BR3" s="48"/>
      <c r="BS3" s="48"/>
      <c r="BT3" s="48"/>
      <c r="BU3" s="48"/>
      <c r="BV3" s="48"/>
      <c r="BW3" s="49"/>
      <c r="BY3" s="51" t="s">
        <v>7</v>
      </c>
      <c r="BZ3" s="48"/>
      <c r="CA3" s="48"/>
      <c r="CB3" s="48"/>
      <c r="CC3" s="48"/>
      <c r="CD3" s="48"/>
      <c r="CE3" s="48"/>
      <c r="CF3" s="48"/>
      <c r="CG3" s="48"/>
      <c r="CH3" s="48"/>
      <c r="CI3" s="48"/>
      <c r="CJ3" s="48"/>
      <c r="CK3" s="48"/>
      <c r="CL3" s="48"/>
      <c r="CM3" s="48"/>
      <c r="CN3" s="48"/>
      <c r="CO3" s="48"/>
      <c r="CP3" s="48"/>
      <c r="CQ3" s="48"/>
      <c r="CR3" s="48"/>
      <c r="CS3" s="48"/>
      <c r="CT3" s="48"/>
      <c r="CU3" s="48"/>
      <c r="CV3" s="48"/>
      <c r="CW3" s="48"/>
      <c r="CX3" s="48"/>
      <c r="CY3" s="48"/>
      <c r="CZ3" s="48"/>
      <c r="DA3" s="48"/>
      <c r="DB3" s="48"/>
      <c r="DC3" s="49"/>
      <c r="DE3" s="51" t="s">
        <v>7</v>
      </c>
      <c r="DF3" s="48"/>
      <c r="DG3" s="48"/>
      <c r="DH3" s="48"/>
      <c r="DI3" s="48"/>
      <c r="DJ3" s="48"/>
      <c r="DK3" s="48"/>
      <c r="DL3" s="48"/>
      <c r="DM3" s="48"/>
      <c r="DN3" s="48"/>
      <c r="DO3" s="48"/>
      <c r="DP3" s="48"/>
      <c r="DQ3" s="48"/>
      <c r="DR3" s="48"/>
      <c r="DS3" s="48"/>
      <c r="DT3" s="48"/>
      <c r="DU3" s="48"/>
      <c r="DV3" s="48"/>
      <c r="DW3" s="48"/>
      <c r="DX3" s="48"/>
      <c r="DY3" s="48"/>
      <c r="DZ3" s="48"/>
      <c r="EA3" s="48"/>
      <c r="EB3" s="48"/>
      <c r="EC3" s="48"/>
      <c r="ED3" s="48"/>
      <c r="EE3" s="48"/>
      <c r="EF3" s="48"/>
      <c r="EG3" s="48"/>
      <c r="EH3" s="48"/>
      <c r="EI3" s="49"/>
      <c r="EJ3" s="3"/>
      <c r="EK3" s="3"/>
      <c r="EL3" s="13"/>
      <c r="EM3" s="1" t="e">
        <f>(#REF!)</f>
        <v>#REF!</v>
      </c>
      <c r="EN3" s="9" t="e">
        <f>(#REF!)</f>
        <v>#REF!</v>
      </c>
      <c r="EO3" s="9" t="e">
        <f>(#REF!)</f>
        <v>#REF!</v>
      </c>
      <c r="EP3" s="9" t="e">
        <f>(#REF!)</f>
        <v>#REF!</v>
      </c>
      <c r="EQ3" s="12"/>
      <c r="ER3" s="1"/>
      <c r="ES3" s="10" t="s">
        <v>8</v>
      </c>
      <c r="ET3" s="10">
        <v>1000</v>
      </c>
      <c r="EU3" s="1"/>
      <c r="EV3" s="1"/>
      <c r="EW3" s="1"/>
      <c r="EX3" s="1"/>
      <c r="EY3" s="1"/>
    </row>
    <row r="4" spans="1:155" ht="18" customHeight="1" x14ac:dyDescent="0.3">
      <c r="A4" s="32" t="str">
        <f>(SALES!$A:$A)</f>
        <v>Tuesday, 2 January 2024</v>
      </c>
      <c r="B4" s="1">
        <f>(SALES!$C:$C)</f>
        <v>3</v>
      </c>
      <c r="C4" s="1">
        <f>(SALES!$D:$D)</f>
        <v>1</v>
      </c>
      <c r="D4" s="1" t="str">
        <f>(SALES!$E:$E)</f>
        <v>MILK</v>
      </c>
      <c r="E4" s="1">
        <f>(SALES!$F:$F)</f>
        <v>2000</v>
      </c>
      <c r="F4" s="1">
        <f>(SALES!$G:$G)</f>
        <v>2000</v>
      </c>
      <c r="H4" s="2">
        <f>(EXPENSES!$A:$A)</f>
        <v>45293</v>
      </c>
      <c r="I4" s="10">
        <f>(EXPENSES!$B:$B)</f>
        <v>1</v>
      </c>
      <c r="J4" s="10" t="str">
        <f>(EXPENSES!$C:$C)</f>
        <v>BOUGHT AVOCADO</v>
      </c>
      <c r="K4" s="10">
        <f>(EXPENSES!$D:$D)</f>
        <v>25000</v>
      </c>
      <c r="M4" s="11" t="e">
        <f>TEXT(WEEKDAY(DATE(CalendarYear,1,1),1),"aaa")</f>
        <v>#REF!</v>
      </c>
      <c r="N4" s="11" t="e">
        <f>TEXT(WEEKDAY(DATE(CalendarYear,1,2),1),"aaa")</f>
        <v>#REF!</v>
      </c>
      <c r="O4" s="11" t="e">
        <f>TEXT(WEEKDAY(DATE(CalendarYear,1,3),1),"aaa")</f>
        <v>#REF!</v>
      </c>
      <c r="P4" s="11" t="e">
        <f>TEXT(WEEKDAY(DATE(CalendarYear,1,4),1),"aaa")</f>
        <v>#REF!</v>
      </c>
      <c r="Q4" s="11" t="e">
        <f>TEXT(WEEKDAY(DATE(CalendarYear,1,5),1),"aaa")</f>
        <v>#REF!</v>
      </c>
      <c r="R4" s="11" t="e">
        <f>TEXT(WEEKDAY(DATE(CalendarYear,1,6),1),"aaa")</f>
        <v>#REF!</v>
      </c>
      <c r="S4" s="11" t="e">
        <f>TEXT(WEEKDAY(DATE(CalendarYear,1,7),1),"aaa")</f>
        <v>#REF!</v>
      </c>
      <c r="T4" s="11" t="e">
        <f>TEXT(WEEKDAY(DATE(CalendarYear,1,8),1),"aaa")</f>
        <v>#REF!</v>
      </c>
      <c r="U4" s="11" t="e">
        <f>TEXT(WEEKDAY(DATE(CalendarYear,1,9),1),"aaa")</f>
        <v>#REF!</v>
      </c>
      <c r="V4" s="11" t="e">
        <f>TEXT(WEEKDAY(DATE(CalendarYear,1,10),1),"aaa")</f>
        <v>#REF!</v>
      </c>
      <c r="W4" s="11" t="e">
        <f>TEXT(WEEKDAY(DATE(CalendarYear,1,11),1),"aaa")</f>
        <v>#REF!</v>
      </c>
      <c r="X4" s="11" t="e">
        <f>TEXT(WEEKDAY(DATE(CalendarYear,1,12),1),"aaa")</f>
        <v>#REF!</v>
      </c>
      <c r="Y4" s="11" t="e">
        <f>TEXT(WEEKDAY(DATE(CalendarYear,1,13),1),"aaa")</f>
        <v>#REF!</v>
      </c>
      <c r="Z4" s="11" t="e">
        <f>TEXT(WEEKDAY(DATE(CalendarYear,1,14),1),"aaa")</f>
        <v>#REF!</v>
      </c>
      <c r="AA4" s="11" t="e">
        <f>TEXT(WEEKDAY(DATE(CalendarYear,1,15),1),"aaa")</f>
        <v>#REF!</v>
      </c>
      <c r="AB4" s="11" t="e">
        <f>TEXT(WEEKDAY(DATE(CalendarYear,1,16),1),"aaa")</f>
        <v>#REF!</v>
      </c>
      <c r="AC4" s="11" t="e">
        <f>TEXT(WEEKDAY(DATE(CalendarYear,1,17),1),"aaa")</f>
        <v>#REF!</v>
      </c>
      <c r="AD4" s="11" t="e">
        <f>TEXT(WEEKDAY(DATE(CalendarYear,1,18),1),"aaa")</f>
        <v>#REF!</v>
      </c>
      <c r="AE4" s="11" t="e">
        <f>TEXT(WEEKDAY(DATE(CalendarYear,1,19),1),"aaa")</f>
        <v>#REF!</v>
      </c>
      <c r="AF4" s="11" t="e">
        <f>TEXT(WEEKDAY(DATE(CalendarYear,1,20),1),"aaa")</f>
        <v>#REF!</v>
      </c>
      <c r="AG4" s="11" t="e">
        <f>TEXT(WEEKDAY(DATE(CalendarYear,1,21),1),"aaa")</f>
        <v>#REF!</v>
      </c>
      <c r="AH4" s="11" t="e">
        <f>TEXT(WEEKDAY(DATE(CalendarYear,1,22),1),"aaa")</f>
        <v>#REF!</v>
      </c>
      <c r="AI4" s="11" t="e">
        <f>TEXT(WEEKDAY(DATE(CalendarYear,1,23),1),"aaa")</f>
        <v>#REF!</v>
      </c>
      <c r="AJ4" s="11" t="e">
        <f>TEXT(WEEKDAY(DATE(CalendarYear,1,24),1),"aaa")</f>
        <v>#REF!</v>
      </c>
      <c r="AK4" s="11" t="e">
        <f>TEXT(WEEKDAY(DATE(CalendarYear,1,25),1),"aaa")</f>
        <v>#REF!</v>
      </c>
      <c r="AL4" s="11" t="e">
        <f>TEXT(WEEKDAY(DATE(CalendarYear,1,26),1),"aaa")</f>
        <v>#REF!</v>
      </c>
      <c r="AM4" s="11" t="e">
        <f>TEXT(WEEKDAY(DATE(CalendarYear,1,27),1),"aaa")</f>
        <v>#REF!</v>
      </c>
      <c r="AN4" s="11" t="e">
        <f>TEXT(WEEKDAY(DATE(CalendarYear,1,28),1),"aaa")</f>
        <v>#REF!</v>
      </c>
      <c r="AO4" s="11" t="e">
        <f>TEXT(WEEKDAY(DATE(CalendarYear,1,29),1),"aaa")</f>
        <v>#REF!</v>
      </c>
      <c r="AP4" s="11" t="e">
        <f>TEXT(WEEKDAY(DATE(CalendarYear,1,30),1),"aaa")</f>
        <v>#REF!</v>
      </c>
      <c r="AQ4" s="11" t="e">
        <f>TEXT(WEEKDAY(DATE(CalendarYear,1,31),1),"aaa")</f>
        <v>#REF!</v>
      </c>
      <c r="AS4" s="3" t="e">
        <f>TEXT(WEEKDAY(DATE(CalendarYear,1,1),1),"aaa")</f>
        <v>#REF!</v>
      </c>
      <c r="AT4" s="3" t="e">
        <f>TEXT(WEEKDAY(DATE(CalendarYear,1,2),1),"aaa")</f>
        <v>#REF!</v>
      </c>
      <c r="AU4" s="3" t="e">
        <f>TEXT(WEEKDAY(DATE(CalendarYear,1,3),1),"aaa")</f>
        <v>#REF!</v>
      </c>
      <c r="AV4" s="3" t="e">
        <f>TEXT(WEEKDAY(DATE(CalendarYear,1,4),1),"aaa")</f>
        <v>#REF!</v>
      </c>
      <c r="AW4" s="3" t="e">
        <f>TEXT(WEEKDAY(DATE(CalendarYear,1,5),1),"aaa")</f>
        <v>#REF!</v>
      </c>
      <c r="AX4" s="3" t="e">
        <f>TEXT(WEEKDAY(DATE(CalendarYear,1,6),1),"aaa")</f>
        <v>#REF!</v>
      </c>
      <c r="AY4" s="3" t="e">
        <f>TEXT(WEEKDAY(DATE(CalendarYear,1,7),1),"aaa")</f>
        <v>#REF!</v>
      </c>
      <c r="AZ4" s="3" t="e">
        <f>TEXT(WEEKDAY(DATE(CalendarYear,1,8),1),"aaa")</f>
        <v>#REF!</v>
      </c>
      <c r="BA4" s="3" t="e">
        <f>TEXT(WEEKDAY(DATE(CalendarYear,1,9),1),"aaa")</f>
        <v>#REF!</v>
      </c>
      <c r="BB4" s="3" t="e">
        <f>TEXT(WEEKDAY(DATE(CalendarYear,1,10),1),"aaa")</f>
        <v>#REF!</v>
      </c>
      <c r="BC4" s="3" t="e">
        <f>TEXT(WEEKDAY(DATE(CalendarYear,1,11),1),"aaa")</f>
        <v>#REF!</v>
      </c>
      <c r="BD4" s="3" t="e">
        <f>TEXT(WEEKDAY(DATE(CalendarYear,1,12),1),"aaa")</f>
        <v>#REF!</v>
      </c>
      <c r="BE4" s="3" t="e">
        <f>TEXT(WEEKDAY(DATE(CalendarYear,1,13),1),"aaa")</f>
        <v>#REF!</v>
      </c>
      <c r="BF4" s="3" t="e">
        <f>TEXT(WEEKDAY(DATE(CalendarYear,1,14),1),"aaa")</f>
        <v>#REF!</v>
      </c>
      <c r="BG4" s="3" t="e">
        <f>TEXT(WEEKDAY(DATE(CalendarYear,1,15),1),"aaa")</f>
        <v>#REF!</v>
      </c>
      <c r="BH4" s="3" t="e">
        <f>TEXT(WEEKDAY(DATE(CalendarYear,1,16),1),"aaa")</f>
        <v>#REF!</v>
      </c>
      <c r="BI4" s="3" t="e">
        <f>TEXT(WEEKDAY(DATE(CalendarYear,1,17),1),"aaa")</f>
        <v>#REF!</v>
      </c>
      <c r="BJ4" s="3" t="e">
        <f>TEXT(WEEKDAY(DATE(CalendarYear,1,18),1),"aaa")</f>
        <v>#REF!</v>
      </c>
      <c r="BK4" s="3" t="e">
        <f>TEXT(WEEKDAY(DATE(CalendarYear,1,19),1),"aaa")</f>
        <v>#REF!</v>
      </c>
      <c r="BL4" s="3" t="e">
        <f>TEXT(WEEKDAY(DATE(CalendarYear,1,20),1),"aaa")</f>
        <v>#REF!</v>
      </c>
      <c r="BM4" s="3" t="e">
        <f>TEXT(WEEKDAY(DATE(CalendarYear,1,21),1),"aaa")</f>
        <v>#REF!</v>
      </c>
      <c r="BN4" s="3" t="e">
        <f>TEXT(WEEKDAY(DATE(CalendarYear,1,22),1),"aaa")</f>
        <v>#REF!</v>
      </c>
      <c r="BO4" s="3" t="e">
        <f>TEXT(WEEKDAY(DATE(CalendarYear,1,23),1),"aaa")</f>
        <v>#REF!</v>
      </c>
      <c r="BP4" s="3" t="e">
        <f>TEXT(WEEKDAY(DATE(CalendarYear,1,24),1),"aaa")</f>
        <v>#REF!</v>
      </c>
      <c r="BQ4" s="3" t="e">
        <f>TEXT(WEEKDAY(DATE(CalendarYear,1,25),1),"aaa")</f>
        <v>#REF!</v>
      </c>
      <c r="BR4" s="3" t="e">
        <f>TEXT(WEEKDAY(DATE(CalendarYear,1,26),1),"aaa")</f>
        <v>#REF!</v>
      </c>
      <c r="BS4" s="3" t="e">
        <f>TEXT(WEEKDAY(DATE(CalendarYear,1,27),1),"aaa")</f>
        <v>#REF!</v>
      </c>
      <c r="BT4" s="3" t="e">
        <f>TEXT(WEEKDAY(DATE(CalendarYear,1,28),1),"aaa")</f>
        <v>#REF!</v>
      </c>
      <c r="BU4" s="3" t="e">
        <f>TEXT(WEEKDAY(DATE(CalendarYear,1,29),1),"aaa")</f>
        <v>#REF!</v>
      </c>
      <c r="BV4" s="3" t="e">
        <f>TEXT(WEEKDAY(DATE(CalendarYear,1,30),1),"aaa")</f>
        <v>#REF!</v>
      </c>
      <c r="BW4" s="3" t="e">
        <f>TEXT(WEEKDAY(DATE(CalendarYear,1,31),1),"aaa")</f>
        <v>#REF!</v>
      </c>
      <c r="BY4" s="3" t="e">
        <f>TEXT(WEEKDAY(DATE(CalendarYear,1,1),1),"aaa")</f>
        <v>#REF!</v>
      </c>
      <c r="BZ4" s="3" t="e">
        <f>TEXT(WEEKDAY(DATE(CalendarYear,1,2),1),"aaa")</f>
        <v>#REF!</v>
      </c>
      <c r="CA4" s="3" t="e">
        <f>TEXT(WEEKDAY(DATE(CalendarYear,1,3),1),"aaa")</f>
        <v>#REF!</v>
      </c>
      <c r="CB4" s="3" t="e">
        <f>TEXT(WEEKDAY(DATE(CalendarYear,1,4),1),"aaa")</f>
        <v>#REF!</v>
      </c>
      <c r="CC4" s="3" t="e">
        <f>TEXT(WEEKDAY(DATE(CalendarYear,1,5),1),"aaa")</f>
        <v>#REF!</v>
      </c>
      <c r="CD4" s="3" t="e">
        <f>TEXT(WEEKDAY(DATE(CalendarYear,1,6),1),"aaa")</f>
        <v>#REF!</v>
      </c>
      <c r="CE4" s="3" t="e">
        <f>TEXT(WEEKDAY(DATE(CalendarYear,1,7),1),"aaa")</f>
        <v>#REF!</v>
      </c>
      <c r="CF4" s="3" t="e">
        <f>TEXT(WEEKDAY(DATE(CalendarYear,1,8),1),"aaa")</f>
        <v>#REF!</v>
      </c>
      <c r="CG4" s="3" t="e">
        <f>TEXT(WEEKDAY(DATE(CalendarYear,1,9),1),"aaa")</f>
        <v>#REF!</v>
      </c>
      <c r="CH4" s="3" t="e">
        <f>TEXT(WEEKDAY(DATE(CalendarYear,1,10),1),"aaa")</f>
        <v>#REF!</v>
      </c>
      <c r="CI4" s="3" t="e">
        <f>TEXT(WEEKDAY(DATE(CalendarYear,1,11),1),"aaa")</f>
        <v>#REF!</v>
      </c>
      <c r="CJ4" s="3" t="e">
        <f>TEXT(WEEKDAY(DATE(CalendarYear,1,12),1),"aaa")</f>
        <v>#REF!</v>
      </c>
      <c r="CK4" s="3" t="e">
        <f>TEXT(WEEKDAY(DATE(CalendarYear,1,13),1),"aaa")</f>
        <v>#REF!</v>
      </c>
      <c r="CL4" s="3" t="e">
        <f>TEXT(WEEKDAY(DATE(CalendarYear,1,14),1),"aaa")</f>
        <v>#REF!</v>
      </c>
      <c r="CM4" s="3" t="e">
        <f>TEXT(WEEKDAY(DATE(CalendarYear,1,15),1),"aaa")</f>
        <v>#REF!</v>
      </c>
      <c r="CN4" s="3" t="e">
        <f>TEXT(WEEKDAY(DATE(CalendarYear,1,16),1),"aaa")</f>
        <v>#REF!</v>
      </c>
      <c r="CO4" s="3" t="e">
        <f>TEXT(WEEKDAY(DATE(CalendarYear,1,17),1),"aaa")</f>
        <v>#REF!</v>
      </c>
      <c r="CP4" s="3" t="e">
        <f>TEXT(WEEKDAY(DATE(CalendarYear,1,18),1),"aaa")</f>
        <v>#REF!</v>
      </c>
      <c r="CQ4" s="3" t="e">
        <f>TEXT(WEEKDAY(DATE(CalendarYear,1,19),1),"aaa")</f>
        <v>#REF!</v>
      </c>
      <c r="CR4" s="3" t="e">
        <f>TEXT(WEEKDAY(DATE(CalendarYear,1,20),1),"aaa")</f>
        <v>#REF!</v>
      </c>
      <c r="CS4" s="3" t="e">
        <f>TEXT(WEEKDAY(DATE(CalendarYear,1,21),1),"aaa")</f>
        <v>#REF!</v>
      </c>
      <c r="CT4" s="3" t="e">
        <f>TEXT(WEEKDAY(DATE(CalendarYear,1,22),1),"aaa")</f>
        <v>#REF!</v>
      </c>
      <c r="CU4" s="3" t="e">
        <f>TEXT(WEEKDAY(DATE(CalendarYear,1,23),1),"aaa")</f>
        <v>#REF!</v>
      </c>
      <c r="CV4" s="3" t="e">
        <f>TEXT(WEEKDAY(DATE(CalendarYear,1,24),1),"aaa")</f>
        <v>#REF!</v>
      </c>
      <c r="CW4" s="3" t="e">
        <f>TEXT(WEEKDAY(DATE(CalendarYear,1,25),1),"aaa")</f>
        <v>#REF!</v>
      </c>
      <c r="CX4" s="3" t="e">
        <f>TEXT(WEEKDAY(DATE(CalendarYear,1,26),1),"aaa")</f>
        <v>#REF!</v>
      </c>
      <c r="CY4" s="3" t="e">
        <f>TEXT(WEEKDAY(DATE(CalendarYear,1,27),1),"aaa")</f>
        <v>#REF!</v>
      </c>
      <c r="CZ4" s="3" t="e">
        <f>TEXT(WEEKDAY(DATE(CalendarYear,1,28),1),"aaa")</f>
        <v>#REF!</v>
      </c>
      <c r="DA4" s="3" t="e">
        <f>TEXT(WEEKDAY(DATE(CalendarYear,1,29),1),"aaa")</f>
        <v>#REF!</v>
      </c>
      <c r="DB4" s="3" t="e">
        <f>TEXT(WEEKDAY(DATE(CalendarYear,1,30),1),"aaa")</f>
        <v>#REF!</v>
      </c>
      <c r="DC4" s="3" t="e">
        <f>TEXT(WEEKDAY(DATE(CalendarYear,1,31),1),"aaa")</f>
        <v>#REF!</v>
      </c>
      <c r="DE4" s="3" t="e">
        <f>TEXT(WEEKDAY(DATE(CalendarYear,1,1),1),"aaa")</f>
        <v>#REF!</v>
      </c>
      <c r="DF4" s="3" t="e">
        <f>TEXT(WEEKDAY(DATE(CalendarYear,1,2),1),"aaa")</f>
        <v>#REF!</v>
      </c>
      <c r="DG4" s="3" t="e">
        <f>TEXT(WEEKDAY(DATE(CalendarYear,1,3),1),"aaa")</f>
        <v>#REF!</v>
      </c>
      <c r="DH4" s="3" t="e">
        <f>TEXT(WEEKDAY(DATE(CalendarYear,1,4),1),"aaa")</f>
        <v>#REF!</v>
      </c>
      <c r="DI4" s="3" t="e">
        <f>TEXT(WEEKDAY(DATE(CalendarYear,1,5),1),"aaa")</f>
        <v>#REF!</v>
      </c>
      <c r="DJ4" s="3" t="e">
        <f>TEXT(WEEKDAY(DATE(CalendarYear,1,6),1),"aaa")</f>
        <v>#REF!</v>
      </c>
      <c r="DK4" s="3" t="e">
        <f>TEXT(WEEKDAY(DATE(CalendarYear,1,7),1),"aaa")</f>
        <v>#REF!</v>
      </c>
      <c r="DL4" s="3" t="e">
        <f>TEXT(WEEKDAY(DATE(CalendarYear,1,8),1),"aaa")</f>
        <v>#REF!</v>
      </c>
      <c r="DM4" s="3" t="e">
        <f>TEXT(WEEKDAY(DATE(CalendarYear,1,9),1),"aaa")</f>
        <v>#REF!</v>
      </c>
      <c r="DN4" s="3" t="e">
        <f>TEXT(WEEKDAY(DATE(CalendarYear,1,10),1),"aaa")</f>
        <v>#REF!</v>
      </c>
      <c r="DO4" s="3" t="e">
        <f>TEXT(WEEKDAY(DATE(CalendarYear,1,11),1),"aaa")</f>
        <v>#REF!</v>
      </c>
      <c r="DP4" s="3" t="e">
        <f>TEXT(WEEKDAY(DATE(CalendarYear,1,12),1),"aaa")</f>
        <v>#REF!</v>
      </c>
      <c r="DQ4" s="3" t="e">
        <f>TEXT(WEEKDAY(DATE(CalendarYear,1,13),1),"aaa")</f>
        <v>#REF!</v>
      </c>
      <c r="DR4" s="3" t="e">
        <f>TEXT(WEEKDAY(DATE(CalendarYear,1,14),1),"aaa")</f>
        <v>#REF!</v>
      </c>
      <c r="DS4" s="3" t="e">
        <f>TEXT(WEEKDAY(DATE(CalendarYear,1,15),1),"aaa")</f>
        <v>#REF!</v>
      </c>
      <c r="DT4" s="3" t="e">
        <f>TEXT(WEEKDAY(DATE(CalendarYear,1,16),1),"aaa")</f>
        <v>#REF!</v>
      </c>
      <c r="DU4" s="3" t="e">
        <f>TEXT(WEEKDAY(DATE(CalendarYear,1,17),1),"aaa")</f>
        <v>#REF!</v>
      </c>
      <c r="DV4" s="3" t="e">
        <f>TEXT(WEEKDAY(DATE(CalendarYear,1,18),1),"aaa")</f>
        <v>#REF!</v>
      </c>
      <c r="DW4" s="3" t="e">
        <f>TEXT(WEEKDAY(DATE(CalendarYear,1,19),1),"aaa")</f>
        <v>#REF!</v>
      </c>
      <c r="DX4" s="3" t="e">
        <f>TEXT(WEEKDAY(DATE(CalendarYear,1,20),1),"aaa")</f>
        <v>#REF!</v>
      </c>
      <c r="DY4" s="3" t="e">
        <f>TEXT(WEEKDAY(DATE(CalendarYear,1,21),1),"aaa")</f>
        <v>#REF!</v>
      </c>
      <c r="DZ4" s="3" t="e">
        <f>TEXT(WEEKDAY(DATE(CalendarYear,1,22),1),"aaa")</f>
        <v>#REF!</v>
      </c>
      <c r="EA4" s="3" t="e">
        <f>TEXT(WEEKDAY(DATE(CalendarYear,1,23),1),"aaa")</f>
        <v>#REF!</v>
      </c>
      <c r="EB4" s="3" t="e">
        <f>TEXT(WEEKDAY(DATE(CalendarYear,1,24),1),"aaa")</f>
        <v>#REF!</v>
      </c>
      <c r="EC4" s="3" t="e">
        <f>TEXT(WEEKDAY(DATE(CalendarYear,1,25),1),"aaa")</f>
        <v>#REF!</v>
      </c>
      <c r="ED4" s="3" t="e">
        <f>TEXT(WEEKDAY(DATE(CalendarYear,1,26),1),"aaa")</f>
        <v>#REF!</v>
      </c>
      <c r="EE4" s="3" t="e">
        <f>TEXT(WEEKDAY(DATE(CalendarYear,1,27),1),"aaa")</f>
        <v>#REF!</v>
      </c>
      <c r="EF4" s="3" t="e">
        <f>TEXT(WEEKDAY(DATE(CalendarYear,1,28),1),"aaa")</f>
        <v>#REF!</v>
      </c>
      <c r="EG4" s="3" t="e">
        <f>TEXT(WEEKDAY(DATE(CalendarYear,1,29),1),"aaa")</f>
        <v>#REF!</v>
      </c>
      <c r="EH4" s="3" t="e">
        <f>TEXT(WEEKDAY(DATE(CalendarYear,1,30),1),"aaa")</f>
        <v>#REF!</v>
      </c>
      <c r="EI4" s="3" t="e">
        <f>TEXT(WEEKDAY(DATE(CalendarYear,1,31),1),"aaa")</f>
        <v>#REF!</v>
      </c>
      <c r="EJ4" s="2"/>
      <c r="EK4" s="2"/>
      <c r="EL4" s="2"/>
      <c r="EM4" s="1" t="e">
        <f>(#REF!)</f>
        <v>#REF!</v>
      </c>
      <c r="EN4" s="9" t="e">
        <f>(#REF!)</f>
        <v>#REF!</v>
      </c>
      <c r="EO4" s="9" t="e">
        <f>(#REF!)</f>
        <v>#REF!</v>
      </c>
      <c r="EP4" s="9" t="e">
        <f>(#REF!)</f>
        <v>#REF!</v>
      </c>
      <c r="EQ4" s="12"/>
      <c r="ER4" s="1"/>
      <c r="ES4" s="12" t="s">
        <v>9</v>
      </c>
      <c r="ET4" s="12">
        <v>15000</v>
      </c>
      <c r="EU4" s="1"/>
      <c r="EV4" s="1"/>
      <c r="EW4" s="1"/>
      <c r="EX4" s="1"/>
      <c r="EY4" s="1"/>
    </row>
    <row r="5" spans="1:155" ht="18" customHeight="1" x14ac:dyDescent="0.3">
      <c r="A5" s="32" t="str">
        <f>(SALES!$A:$A)</f>
        <v>Tuesday, 2 January 2024</v>
      </c>
      <c r="B5" s="1">
        <f>(SALES!$C:$C)</f>
        <v>4</v>
      </c>
      <c r="C5" s="1">
        <f>(SALES!$D:$D)</f>
        <v>1</v>
      </c>
      <c r="D5" s="1" t="str">
        <f>(SALES!$E:$E)</f>
        <v>LOCAL EGGS</v>
      </c>
      <c r="E5" s="1">
        <f>(SALES!$F:$F)</f>
        <v>25000</v>
      </c>
      <c r="F5" s="1">
        <f>(SALES!$G:$G)</f>
        <v>25000</v>
      </c>
      <c r="H5" s="2">
        <f>(EXPENSES!$A:$A)</f>
        <v>45293</v>
      </c>
      <c r="I5" s="10">
        <f>(EXPENSES!$B:$B)</f>
        <v>4</v>
      </c>
      <c r="J5" s="10" t="str">
        <f>(EXPENSES!$C:$C)</f>
        <v>PAID FRANK</v>
      </c>
      <c r="K5" s="10">
        <f>(EXPENSES!$D:$D)</f>
        <v>34000</v>
      </c>
      <c r="M5" s="2">
        <v>45292</v>
      </c>
      <c r="N5" s="2">
        <v>45293</v>
      </c>
      <c r="O5" s="2">
        <v>45294</v>
      </c>
      <c r="P5" s="2">
        <v>45295</v>
      </c>
      <c r="Q5" s="2">
        <v>45296</v>
      </c>
      <c r="R5" s="2">
        <v>45297</v>
      </c>
      <c r="S5" s="2">
        <v>45298</v>
      </c>
      <c r="T5" s="2">
        <v>45299</v>
      </c>
      <c r="U5" s="2">
        <v>45300</v>
      </c>
      <c r="V5" s="2">
        <v>45301</v>
      </c>
      <c r="W5" s="2">
        <v>45302</v>
      </c>
      <c r="X5" s="2">
        <v>45303</v>
      </c>
      <c r="Y5" s="2">
        <v>45304</v>
      </c>
      <c r="Z5" s="2">
        <v>45305</v>
      </c>
      <c r="AA5" s="2">
        <v>45306</v>
      </c>
      <c r="AB5" s="2">
        <v>45307</v>
      </c>
      <c r="AC5" s="2">
        <v>45308</v>
      </c>
      <c r="AD5" s="2">
        <v>45309</v>
      </c>
      <c r="AE5" s="2">
        <v>45310</v>
      </c>
      <c r="AF5" s="2">
        <v>45311</v>
      </c>
      <c r="AG5" s="2">
        <v>45312</v>
      </c>
      <c r="AH5" s="2">
        <v>45313</v>
      </c>
      <c r="AI5" s="2">
        <v>45314</v>
      </c>
      <c r="AJ5" s="2">
        <v>45315</v>
      </c>
      <c r="AK5" s="2">
        <v>45316</v>
      </c>
      <c r="AL5" s="2">
        <v>45317</v>
      </c>
      <c r="AM5" s="2">
        <v>45318</v>
      </c>
      <c r="AN5" s="2">
        <v>45319</v>
      </c>
      <c r="AO5" s="2">
        <v>45320</v>
      </c>
      <c r="AP5" s="2">
        <v>45321</v>
      </c>
      <c r="AQ5" s="2">
        <v>45322</v>
      </c>
      <c r="AR5" s="3"/>
      <c r="AS5" s="2">
        <v>45292</v>
      </c>
      <c r="AT5" s="2">
        <v>45293</v>
      </c>
      <c r="AU5" s="2">
        <v>45294</v>
      </c>
      <c r="AV5" s="2">
        <v>45295</v>
      </c>
      <c r="AW5" s="2">
        <v>45296</v>
      </c>
      <c r="AX5" s="2">
        <v>45297</v>
      </c>
      <c r="AY5" s="2">
        <v>45298</v>
      </c>
      <c r="AZ5" s="2">
        <v>45299</v>
      </c>
      <c r="BA5" s="2">
        <v>45300</v>
      </c>
      <c r="BB5" s="2">
        <v>45301</v>
      </c>
      <c r="BC5" s="2">
        <v>45302</v>
      </c>
      <c r="BD5" s="2">
        <v>45303</v>
      </c>
      <c r="BE5" s="2">
        <v>45304</v>
      </c>
      <c r="BF5" s="2">
        <v>45305</v>
      </c>
      <c r="BG5" s="2">
        <v>45306</v>
      </c>
      <c r="BH5" s="2">
        <v>45307</v>
      </c>
      <c r="BI5" s="2">
        <v>45308</v>
      </c>
      <c r="BJ5" s="2">
        <v>45309</v>
      </c>
      <c r="BK5" s="2">
        <v>45310</v>
      </c>
      <c r="BL5" s="2">
        <v>45311</v>
      </c>
      <c r="BM5" s="2">
        <v>45312</v>
      </c>
      <c r="BN5" s="2">
        <v>45313</v>
      </c>
      <c r="BO5" s="2">
        <v>45314</v>
      </c>
      <c r="BP5" s="2">
        <v>45315</v>
      </c>
      <c r="BQ5" s="2">
        <v>45316</v>
      </c>
      <c r="BR5" s="2">
        <v>45317</v>
      </c>
      <c r="BS5" s="2">
        <v>45318</v>
      </c>
      <c r="BT5" s="2">
        <v>45319</v>
      </c>
      <c r="BU5" s="2">
        <v>45320</v>
      </c>
      <c r="BV5" s="2">
        <v>45321</v>
      </c>
      <c r="BW5" s="2">
        <v>45322</v>
      </c>
      <c r="BX5" s="3"/>
      <c r="BY5" s="2">
        <v>45292</v>
      </c>
      <c r="BZ5" s="2">
        <v>45293</v>
      </c>
      <c r="CA5" s="2">
        <v>45294</v>
      </c>
      <c r="CB5" s="2">
        <v>45295</v>
      </c>
      <c r="CC5" s="2">
        <v>45296</v>
      </c>
      <c r="CD5" s="2">
        <v>45297</v>
      </c>
      <c r="CE5" s="2">
        <v>45298</v>
      </c>
      <c r="CF5" s="2">
        <v>45299</v>
      </c>
      <c r="CG5" s="2">
        <v>45300</v>
      </c>
      <c r="CH5" s="2">
        <v>45301</v>
      </c>
      <c r="CI5" s="2">
        <v>45302</v>
      </c>
      <c r="CJ5" s="2">
        <v>45303</v>
      </c>
      <c r="CK5" s="2">
        <v>45304</v>
      </c>
      <c r="CL5" s="2">
        <v>45305</v>
      </c>
      <c r="CM5" s="2">
        <v>45306</v>
      </c>
      <c r="CN5" s="2">
        <v>45307</v>
      </c>
      <c r="CO5" s="2">
        <v>45308</v>
      </c>
      <c r="CP5" s="2">
        <v>45309</v>
      </c>
      <c r="CQ5" s="2">
        <v>45310</v>
      </c>
      <c r="CR5" s="2">
        <v>45311</v>
      </c>
      <c r="CS5" s="2">
        <v>45312</v>
      </c>
      <c r="CT5" s="2">
        <v>45313</v>
      </c>
      <c r="CU5" s="2">
        <v>45314</v>
      </c>
      <c r="CV5" s="2">
        <v>45315</v>
      </c>
      <c r="CW5" s="2">
        <v>45316</v>
      </c>
      <c r="CX5" s="2">
        <v>45317</v>
      </c>
      <c r="CY5" s="2">
        <v>45318</v>
      </c>
      <c r="CZ5" s="2">
        <v>45319</v>
      </c>
      <c r="DA5" s="2">
        <v>45320</v>
      </c>
      <c r="DB5" s="2">
        <v>45321</v>
      </c>
      <c r="DC5" s="2">
        <v>45322</v>
      </c>
      <c r="DD5" s="3"/>
      <c r="DE5" s="2">
        <v>45292</v>
      </c>
      <c r="DF5" s="2">
        <v>45293</v>
      </c>
      <c r="DG5" s="2">
        <v>45294</v>
      </c>
      <c r="DH5" s="2">
        <v>45295</v>
      </c>
      <c r="DI5" s="2">
        <v>45296</v>
      </c>
      <c r="DJ5" s="2">
        <v>45297</v>
      </c>
      <c r="DK5" s="2">
        <v>45298</v>
      </c>
      <c r="DL5" s="2">
        <v>45299</v>
      </c>
      <c r="DM5" s="2">
        <v>45300</v>
      </c>
      <c r="DN5" s="2">
        <v>45301</v>
      </c>
      <c r="DO5" s="2">
        <v>45302</v>
      </c>
      <c r="DP5" s="2">
        <v>45303</v>
      </c>
      <c r="DQ5" s="2">
        <v>45304</v>
      </c>
      <c r="DR5" s="2">
        <v>45305</v>
      </c>
      <c r="DS5" s="2">
        <v>45306</v>
      </c>
      <c r="DT5" s="2">
        <v>45307</v>
      </c>
      <c r="DU5" s="2">
        <v>45308</v>
      </c>
      <c r="DV5" s="2">
        <v>45309</v>
      </c>
      <c r="DW5" s="2">
        <v>45310</v>
      </c>
      <c r="DX5" s="2">
        <v>45311</v>
      </c>
      <c r="DY5" s="2">
        <v>45312</v>
      </c>
      <c r="DZ5" s="2">
        <v>45313</v>
      </c>
      <c r="EA5" s="2">
        <v>45314</v>
      </c>
      <c r="EB5" s="2">
        <v>45315</v>
      </c>
      <c r="EC5" s="2">
        <v>45316</v>
      </c>
      <c r="ED5" s="2">
        <v>45317</v>
      </c>
      <c r="EE5" s="2">
        <v>45318</v>
      </c>
      <c r="EF5" s="2">
        <v>45319</v>
      </c>
      <c r="EG5" s="2">
        <v>45320</v>
      </c>
      <c r="EH5" s="2">
        <v>45321</v>
      </c>
      <c r="EI5" s="2">
        <v>45322</v>
      </c>
      <c r="EJ5" s="3"/>
      <c r="EK5" s="3"/>
      <c r="EM5" s="1" t="e">
        <f>(#REF!)</f>
        <v>#REF!</v>
      </c>
      <c r="EN5" s="9" t="e">
        <f>(#REF!)</f>
        <v>#REF!</v>
      </c>
      <c r="EO5" s="9" t="e">
        <f>(#REF!)</f>
        <v>#REF!</v>
      </c>
      <c r="EP5" s="9" t="e">
        <f>(#REF!)</f>
        <v>#REF!</v>
      </c>
      <c r="EQ5" s="12"/>
      <c r="ER5" s="1"/>
      <c r="ES5" s="10" t="s">
        <v>9</v>
      </c>
      <c r="ET5" s="10">
        <v>16000</v>
      </c>
      <c r="EU5" s="1"/>
      <c r="EV5" s="1"/>
      <c r="EW5" s="1"/>
      <c r="EX5" s="1"/>
      <c r="EY5" s="1"/>
    </row>
    <row r="6" spans="1:155" ht="18" customHeight="1" x14ac:dyDescent="0.3">
      <c r="A6" s="32" t="str">
        <f>(SALES!$A:$A)</f>
        <v>Tuesday, 2 January 2024</v>
      </c>
      <c r="B6" s="1">
        <f>(SALES!$C:$C)</f>
        <v>5</v>
      </c>
      <c r="C6" s="1">
        <f>(SALES!$D:$D)</f>
        <v>0.5</v>
      </c>
      <c r="D6" s="1" t="str">
        <f>(SALES!$E:$E)</f>
        <v>MILK</v>
      </c>
      <c r="E6" s="1">
        <f>(SALES!$F:$F)</f>
        <v>2000</v>
      </c>
      <c r="F6" s="1">
        <f>(SALES!$G:$G)</f>
        <v>1000</v>
      </c>
      <c r="H6" s="2">
        <f>(EXPENSES!$A:$A)</f>
        <v>45293</v>
      </c>
      <c r="I6" s="10">
        <f>(EXPENSES!$B:$B)</f>
        <v>2</v>
      </c>
      <c r="J6" s="10" t="str">
        <f>(EXPENSES!$C:$C)</f>
        <v xml:space="preserve">BOUGHT MILK </v>
      </c>
      <c r="K6" s="10">
        <f>(EXPENSES!$D:$D)</f>
        <v>65000</v>
      </c>
      <c r="M6" s="3">
        <f>SUMIF($A:$A, "01/01/2024",$F:$F )</f>
        <v>0</v>
      </c>
      <c r="N6" s="12">
        <f>SUMIF($A:$A, "02/01/2024",$F:$F )</f>
        <v>0</v>
      </c>
      <c r="O6" s="3">
        <f>SUMIF($A:$A, "03/01/2024",$F:$F )</f>
        <v>0</v>
      </c>
      <c r="P6" s="3">
        <f>SUMIF($A:$A, "04/01/2024",$F:$F )</f>
        <v>0</v>
      </c>
      <c r="Q6" s="3">
        <f>SUMIF($A:$A, "05/01/2024",$F:$F )</f>
        <v>0</v>
      </c>
      <c r="R6" s="3">
        <f>SUMIF($A:$A, "06/01/2024",$F:$F )</f>
        <v>0</v>
      </c>
      <c r="S6" s="3">
        <f>SUMIF($A:$A, "07/01/2024",$F:$F )</f>
        <v>0</v>
      </c>
      <c r="T6" s="3">
        <f>SUMIF($A:$A, "08/01/2024",$F:$F )</f>
        <v>0</v>
      </c>
      <c r="U6" s="3">
        <f>SUMIF($A:$A, "09/01/2024",$F:$F )</f>
        <v>0</v>
      </c>
      <c r="V6" s="3">
        <f>SUMIF($A:$A, "10/01/2024",$F:$F )</f>
        <v>0</v>
      </c>
      <c r="W6" s="3">
        <f>SUMIF($A:$A, "11/01/2024",$F:$F )</f>
        <v>0</v>
      </c>
      <c r="X6" s="3">
        <f>SUMIF($A:$A, "12/01/2024",$F:$F )</f>
        <v>0</v>
      </c>
      <c r="Y6" s="3">
        <f>SUMIF($A:$A, "13/01/2024",$F:$F )</f>
        <v>0</v>
      </c>
      <c r="Z6" s="3">
        <f>SUMIF($A:$A, "14/01/2024",$F:$F )</f>
        <v>0</v>
      </c>
      <c r="AA6" s="3">
        <f>SUMIF($A:$A, "15/01/2024",$F:$F )</f>
        <v>0</v>
      </c>
      <c r="AB6" s="3">
        <f>SUMIF($A:$A, "16/01/2024",$F:$F )</f>
        <v>0</v>
      </c>
      <c r="AC6" s="3">
        <f t="shared" ref="AC6:AQ6" si="0">SUMIF($A:$A, "08/01/2024",$F:$F )</f>
        <v>0</v>
      </c>
      <c r="AD6" s="3">
        <f t="shared" si="0"/>
        <v>0</v>
      </c>
      <c r="AE6" s="3">
        <f t="shared" si="0"/>
        <v>0</v>
      </c>
      <c r="AF6" s="3">
        <f t="shared" si="0"/>
        <v>0</v>
      </c>
      <c r="AG6" s="3">
        <f t="shared" si="0"/>
        <v>0</v>
      </c>
      <c r="AH6" s="3">
        <f t="shared" si="0"/>
        <v>0</v>
      </c>
      <c r="AI6" s="3">
        <f t="shared" si="0"/>
        <v>0</v>
      </c>
      <c r="AJ6" s="3">
        <f t="shared" si="0"/>
        <v>0</v>
      </c>
      <c r="AK6" s="3">
        <f t="shared" si="0"/>
        <v>0</v>
      </c>
      <c r="AL6" s="3">
        <f t="shared" si="0"/>
        <v>0</v>
      </c>
      <c r="AM6" s="3">
        <f t="shared" si="0"/>
        <v>0</v>
      </c>
      <c r="AN6" s="3">
        <f t="shared" si="0"/>
        <v>0</v>
      </c>
      <c r="AO6" s="3">
        <f t="shared" si="0"/>
        <v>0</v>
      </c>
      <c r="AP6" s="3">
        <f t="shared" si="0"/>
        <v>0</v>
      </c>
      <c r="AQ6" s="3">
        <f t="shared" si="0"/>
        <v>0</v>
      </c>
      <c r="AS6" s="3">
        <f>SUMIF($H:$H, "01/01/2024",$K:$K )</f>
        <v>0</v>
      </c>
      <c r="AT6" s="3">
        <f>SUMIF($H:$H, "02/01/2024",$K:$K )</f>
        <v>287000</v>
      </c>
      <c r="AU6" s="3">
        <f>SUMIF($H:$H, "03/01/2024",$K:$K )</f>
        <v>223000</v>
      </c>
      <c r="AV6" s="3">
        <f>SUMIF($H:$H, "04/01/2024",$K:$K )</f>
        <v>739000</v>
      </c>
      <c r="AW6" s="3">
        <f>SUMIF($H:$H, "05/01/2024",$K:$K )</f>
        <v>542000</v>
      </c>
      <c r="AX6" s="3">
        <f>SUMIF($H:$H, "06/01/2024",$K:$K )</f>
        <v>693600</v>
      </c>
      <c r="AY6" s="3">
        <f>SUMIF($H:$H, "07/01/2024",$K:$K )</f>
        <v>180000</v>
      </c>
      <c r="AZ6" s="3">
        <f>SUMIF($H:$H, "08/01/2024",$K:$K )</f>
        <v>50000</v>
      </c>
      <c r="BA6" s="3">
        <f>SUMIF($H:$H, "09/01/2024",$K:$K )</f>
        <v>182200</v>
      </c>
      <c r="BB6" s="3">
        <f>SUMIF($H:$H, "10/01/2024",$K:$K )</f>
        <v>900900</v>
      </c>
      <c r="BC6" s="3">
        <f>SUMIF($H:$H, "11/01/2024",$K:$K )</f>
        <v>628300</v>
      </c>
      <c r="BD6" s="3">
        <f>SUMIF($H:$H, "12/01/2024",$K:$K )</f>
        <v>118000</v>
      </c>
      <c r="BE6" s="3">
        <f t="shared" ref="BE6:BW6" si="1">SUMIF($H:$H, "01/01/2024",$K:$K )</f>
        <v>0</v>
      </c>
      <c r="BF6" s="3">
        <f t="shared" si="1"/>
        <v>0</v>
      </c>
      <c r="BG6" s="3">
        <f t="shared" si="1"/>
        <v>0</v>
      </c>
      <c r="BH6" s="3">
        <f t="shared" si="1"/>
        <v>0</v>
      </c>
      <c r="BI6" s="3">
        <f t="shared" si="1"/>
        <v>0</v>
      </c>
      <c r="BJ6" s="3">
        <f t="shared" si="1"/>
        <v>0</v>
      </c>
      <c r="BK6" s="3">
        <f t="shared" si="1"/>
        <v>0</v>
      </c>
      <c r="BL6" s="3">
        <f t="shared" si="1"/>
        <v>0</v>
      </c>
      <c r="BM6" s="3">
        <f t="shared" si="1"/>
        <v>0</v>
      </c>
      <c r="BN6" s="3">
        <f t="shared" si="1"/>
        <v>0</v>
      </c>
      <c r="BO6" s="3">
        <f t="shared" si="1"/>
        <v>0</v>
      </c>
      <c r="BP6" s="3">
        <f t="shared" si="1"/>
        <v>0</v>
      </c>
      <c r="BQ6" s="3">
        <f t="shared" si="1"/>
        <v>0</v>
      </c>
      <c r="BR6" s="3">
        <f t="shared" si="1"/>
        <v>0</v>
      </c>
      <c r="BS6" s="3">
        <f t="shared" si="1"/>
        <v>0</v>
      </c>
      <c r="BT6" s="3">
        <f t="shared" si="1"/>
        <v>0</v>
      </c>
      <c r="BU6" s="3">
        <f t="shared" si="1"/>
        <v>0</v>
      </c>
      <c r="BV6" s="3">
        <f t="shared" si="1"/>
        <v>0</v>
      </c>
      <c r="BW6" s="3">
        <f t="shared" si="1"/>
        <v>0</v>
      </c>
      <c r="BY6" s="3">
        <f t="shared" ref="BY6:DC6" si="2">(M6-AS6)</f>
        <v>0</v>
      </c>
      <c r="BZ6" s="3">
        <f t="shared" si="2"/>
        <v>-287000</v>
      </c>
      <c r="CA6" s="3">
        <f t="shared" si="2"/>
        <v>-223000</v>
      </c>
      <c r="CB6" s="3">
        <f t="shared" si="2"/>
        <v>-739000</v>
      </c>
      <c r="CC6" s="3">
        <f t="shared" si="2"/>
        <v>-542000</v>
      </c>
      <c r="CD6" s="3">
        <f t="shared" si="2"/>
        <v>-693600</v>
      </c>
      <c r="CE6" s="3">
        <f t="shared" si="2"/>
        <v>-180000</v>
      </c>
      <c r="CF6" s="3">
        <f t="shared" si="2"/>
        <v>-50000</v>
      </c>
      <c r="CG6" s="3">
        <f t="shared" si="2"/>
        <v>-182200</v>
      </c>
      <c r="CH6" s="3">
        <f t="shared" si="2"/>
        <v>-900900</v>
      </c>
      <c r="CI6" s="3">
        <f t="shared" si="2"/>
        <v>-628300</v>
      </c>
      <c r="CJ6" s="3">
        <f t="shared" si="2"/>
        <v>-118000</v>
      </c>
      <c r="CK6" s="3">
        <f t="shared" si="2"/>
        <v>0</v>
      </c>
      <c r="CL6" s="3">
        <f t="shared" si="2"/>
        <v>0</v>
      </c>
      <c r="CM6" s="3">
        <f t="shared" si="2"/>
        <v>0</v>
      </c>
      <c r="CN6" s="3">
        <f t="shared" si="2"/>
        <v>0</v>
      </c>
      <c r="CO6" s="3">
        <f t="shared" si="2"/>
        <v>0</v>
      </c>
      <c r="CP6" s="3">
        <f t="shared" si="2"/>
        <v>0</v>
      </c>
      <c r="CQ6" s="3">
        <f t="shared" si="2"/>
        <v>0</v>
      </c>
      <c r="CR6" s="3">
        <f t="shared" si="2"/>
        <v>0</v>
      </c>
      <c r="CS6" s="3">
        <f t="shared" si="2"/>
        <v>0</v>
      </c>
      <c r="CT6" s="3">
        <f t="shared" si="2"/>
        <v>0</v>
      </c>
      <c r="CU6" s="3">
        <f t="shared" si="2"/>
        <v>0</v>
      </c>
      <c r="CV6" s="3">
        <f t="shared" si="2"/>
        <v>0</v>
      </c>
      <c r="CW6" s="3">
        <f t="shared" si="2"/>
        <v>0</v>
      </c>
      <c r="CX6" s="3">
        <f t="shared" si="2"/>
        <v>0</v>
      </c>
      <c r="CY6" s="3">
        <f t="shared" si="2"/>
        <v>0</v>
      </c>
      <c r="CZ6" s="3">
        <f t="shared" si="2"/>
        <v>0</v>
      </c>
      <c r="DA6" s="3">
        <f t="shared" si="2"/>
        <v>0</v>
      </c>
      <c r="DB6" s="3">
        <f t="shared" si="2"/>
        <v>0</v>
      </c>
      <c r="DC6" s="3">
        <f t="shared" si="2"/>
        <v>0</v>
      </c>
      <c r="DE6" s="3">
        <f>SUMIF($A:$A, "01/01/2024",$F:$F )</f>
        <v>0</v>
      </c>
      <c r="DF6" s="12">
        <f>SUMIF($A:$A, "02/01/2024*",$F:$F )</f>
        <v>0</v>
      </c>
      <c r="DG6" s="3">
        <f>SUMIF($A:$A, "03/01/2024*",$F:$F )</f>
        <v>0</v>
      </c>
      <c r="DH6" s="3">
        <f>SUMIF($A:$A, "04/01/2024*",$F:$F )</f>
        <v>0</v>
      </c>
      <c r="DI6" s="3">
        <f>SUMIF($A:$A, "05/01/2024*",$F:$F )</f>
        <v>0</v>
      </c>
      <c r="DJ6" s="3">
        <f>SUMIF($A:$A, "06/01/2024*",$F:$F )</f>
        <v>0</v>
      </c>
      <c r="DK6" s="3">
        <f>SUMIF($A:$A, "07/01/2024*",$F:$F )</f>
        <v>0</v>
      </c>
      <c r="DL6" s="3">
        <f>SUMIF($A:$A, "08/01/2024*",$F:$F )</f>
        <v>0</v>
      </c>
      <c r="DM6" s="3">
        <f>SUMIF($A:$A, "2024-01-09*",$F:$F )</f>
        <v>0</v>
      </c>
      <c r="DN6" s="3">
        <f>SUMIF($A:$A, "2024-01-10*",$F:$F )</f>
        <v>0</v>
      </c>
      <c r="DO6" s="3">
        <f>SUMIF($A:$A, "2024-01-11*",$F:$F )</f>
        <v>0</v>
      </c>
      <c r="DP6" s="3">
        <f>SUMIF($A:$A, "2024-01-12*",$F:$F )</f>
        <v>0</v>
      </c>
      <c r="DQ6" s="3">
        <f>SUMIF($A:$A, "2024-01-13*",$F:$F )</f>
        <v>0</v>
      </c>
      <c r="DR6" s="3">
        <f>SUMIF($A:$A, "2024-01-14*",$F:$F )</f>
        <v>0</v>
      </c>
      <c r="DS6" s="3">
        <f>SUMIF($A:$A, "2024-01-15*",$F:$F )</f>
        <v>0</v>
      </c>
      <c r="DT6" s="3">
        <f>SUMIF($A:$A, "2024-01-16*",$F:$F )</f>
        <v>0</v>
      </c>
      <c r="DU6" s="3">
        <f>SUMIF($A:$A, "2024-01-17*",$F:$F )</f>
        <v>0</v>
      </c>
      <c r="DV6" s="3">
        <f>SUMIF($A:$A, "2024-01-18*",$F:$F )</f>
        <v>0</v>
      </c>
      <c r="DW6" s="3">
        <f>SUMIF($A:$A, "2024-01-19*",$F:$F )</f>
        <v>0</v>
      </c>
      <c r="DX6" s="3">
        <f>SUMIF($A:$A, "2024-01-20*",$F:$F )</f>
        <v>0</v>
      </c>
      <c r="DY6" s="3">
        <f>SUMIF($A:$A, "2024-01-21*",$F:$F )</f>
        <v>0</v>
      </c>
      <c r="DZ6" s="3">
        <f>SUMIF($A:$A, "2024-01-22*",$F:$F )</f>
        <v>0</v>
      </c>
      <c r="EA6" s="3">
        <f>SUMIF($A:$A, "2024-01-23*",$F:$F )</f>
        <v>0</v>
      </c>
      <c r="EB6" s="3">
        <f t="shared" ref="EB6:EI6" si="3">SUMIF($A:$A, "2024-01-11*",$F:$F )</f>
        <v>0</v>
      </c>
      <c r="EC6" s="3">
        <f t="shared" si="3"/>
        <v>0</v>
      </c>
      <c r="ED6" s="3">
        <f t="shared" si="3"/>
        <v>0</v>
      </c>
      <c r="EE6" s="3">
        <f t="shared" si="3"/>
        <v>0</v>
      </c>
      <c r="EF6" s="3">
        <f t="shared" si="3"/>
        <v>0</v>
      </c>
      <c r="EG6" s="3">
        <f t="shared" si="3"/>
        <v>0</v>
      </c>
      <c r="EH6" s="3">
        <f t="shared" si="3"/>
        <v>0</v>
      </c>
      <c r="EI6" s="3">
        <f t="shared" si="3"/>
        <v>0</v>
      </c>
      <c r="EM6" s="1" t="e">
        <f>(#REF!)</f>
        <v>#REF!</v>
      </c>
      <c r="EN6" s="9" t="e">
        <f>(#REF!)</f>
        <v>#REF!</v>
      </c>
      <c r="EO6" s="9" t="e">
        <f>(#REF!)</f>
        <v>#REF!</v>
      </c>
      <c r="EP6" s="9" t="e">
        <f>(#REF!)</f>
        <v>#REF!</v>
      </c>
      <c r="EQ6" s="12"/>
      <c r="ER6" s="1"/>
      <c r="ES6" s="12" t="s">
        <v>10</v>
      </c>
      <c r="ET6" s="10">
        <v>16000</v>
      </c>
      <c r="EU6" s="1"/>
      <c r="EV6" s="1"/>
      <c r="EW6" s="1"/>
      <c r="EX6" s="1"/>
      <c r="EY6" s="1"/>
    </row>
    <row r="7" spans="1:155" ht="18" customHeight="1" x14ac:dyDescent="0.3">
      <c r="A7" s="32" t="str">
        <f>(SALES!$A:$A)</f>
        <v>Tuesday, 2 January 2024</v>
      </c>
      <c r="B7" s="1">
        <f>(SALES!$C:$C)</f>
        <v>6</v>
      </c>
      <c r="C7" s="1">
        <f>(SALES!$D:$D)</f>
        <v>4</v>
      </c>
      <c r="D7" s="1" t="str">
        <f>(SALES!$E:$E)</f>
        <v>DOG BONES</v>
      </c>
      <c r="E7" s="1">
        <f>(SALES!$F:$F)</f>
        <v>4000</v>
      </c>
      <c r="F7" s="1">
        <f>(SALES!$G:$G)</f>
        <v>16000</v>
      </c>
      <c r="H7" s="2">
        <f>(EXPENSES!$A:$A)</f>
        <v>45293</v>
      </c>
      <c r="I7" s="10">
        <f>(EXPENSES!$B:$B)</f>
        <v>6</v>
      </c>
      <c r="J7" s="10" t="str">
        <f>(EXPENSES!$C:$C)</f>
        <v>PAID EVA</v>
      </c>
      <c r="K7" s="10">
        <f>(EXPENSES!$D:$D)</f>
        <v>150000</v>
      </c>
      <c r="T7" s="3"/>
      <c r="AZ7" s="3"/>
      <c r="CF7" s="3"/>
      <c r="DL7" s="3"/>
      <c r="EM7" s="1" t="e">
        <f>(#REF!)</f>
        <v>#REF!</v>
      </c>
      <c r="EN7" s="9" t="e">
        <f>(#REF!)</f>
        <v>#REF!</v>
      </c>
      <c r="EO7" s="9" t="e">
        <f>(#REF!)</f>
        <v>#REF!</v>
      </c>
      <c r="EP7" s="9" t="e">
        <f>(#REF!)</f>
        <v>#REF!</v>
      </c>
      <c r="EQ7" s="12"/>
      <c r="ER7" s="1"/>
      <c r="ES7" s="10" t="s">
        <v>11</v>
      </c>
      <c r="ET7" s="10">
        <v>30000</v>
      </c>
      <c r="EU7" s="1"/>
      <c r="EV7" s="1"/>
      <c r="EW7" s="1"/>
      <c r="EX7" s="1"/>
      <c r="EY7" s="1"/>
    </row>
    <row r="8" spans="1:155" ht="18" customHeight="1" x14ac:dyDescent="0.3">
      <c r="A8" s="32" t="str">
        <f>(SALES!$A:$A)</f>
        <v>Tuesday, 2 January 2024</v>
      </c>
      <c r="B8" s="1">
        <f>(SALES!$C:$C)</f>
        <v>7</v>
      </c>
      <c r="C8" s="1">
        <f>(SALES!$D:$D)</f>
        <v>1</v>
      </c>
      <c r="D8" s="1" t="str">
        <f>(SALES!$E:$E)</f>
        <v>GONJA</v>
      </c>
      <c r="E8" s="1">
        <f>(SALES!$F:$F)</f>
        <v>5000</v>
      </c>
      <c r="F8" s="1">
        <f>(SALES!$G:$G)</f>
        <v>5000</v>
      </c>
      <c r="H8" s="2">
        <f>(EXPENSES!$A:$A)</f>
        <v>45294</v>
      </c>
      <c r="I8" s="10">
        <f>(EXPENSES!$B:$B)</f>
        <v>12</v>
      </c>
      <c r="J8" s="10" t="str">
        <f>(EXPENSES!$C:$C)</f>
        <v xml:space="preserve">PAID ASHIRAF </v>
      </c>
      <c r="K8" s="10">
        <f>(EXPENSES!$D:$D)</f>
        <v>2000</v>
      </c>
      <c r="M8" s="47" t="s">
        <v>12</v>
      </c>
      <c r="N8" s="48"/>
      <c r="O8" s="48"/>
      <c r="P8" s="48"/>
      <c r="Q8" s="48"/>
      <c r="R8" s="48"/>
      <c r="S8" s="48"/>
      <c r="T8" s="48"/>
      <c r="U8" s="48"/>
      <c r="V8" s="48"/>
      <c r="W8" s="48"/>
      <c r="X8" s="48"/>
      <c r="Y8" s="48"/>
      <c r="Z8" s="48"/>
      <c r="AA8" s="48"/>
      <c r="AB8" s="48"/>
      <c r="AC8" s="48"/>
      <c r="AD8" s="48"/>
      <c r="AE8" s="48"/>
      <c r="AF8" s="48"/>
      <c r="AG8" s="48"/>
      <c r="AH8" s="48"/>
      <c r="AI8" s="48"/>
      <c r="AJ8" s="48"/>
      <c r="AK8" s="48"/>
      <c r="AL8" s="48"/>
      <c r="AM8" s="48"/>
      <c r="AN8" s="48"/>
      <c r="AO8" s="49"/>
      <c r="AS8" s="47" t="s">
        <v>12</v>
      </c>
      <c r="AT8" s="48"/>
      <c r="AU8" s="48"/>
      <c r="AV8" s="48"/>
      <c r="AW8" s="48"/>
      <c r="AX8" s="48"/>
      <c r="AY8" s="48"/>
      <c r="AZ8" s="48"/>
      <c r="BA8" s="48"/>
      <c r="BB8" s="48"/>
      <c r="BC8" s="48"/>
      <c r="BD8" s="48"/>
      <c r="BE8" s="48"/>
      <c r="BF8" s="48"/>
      <c r="BG8" s="48"/>
      <c r="BH8" s="48"/>
      <c r="BI8" s="48"/>
      <c r="BJ8" s="48"/>
      <c r="BK8" s="48"/>
      <c r="BL8" s="48"/>
      <c r="BM8" s="48"/>
      <c r="BN8" s="48"/>
      <c r="BO8" s="48"/>
      <c r="BP8" s="48"/>
      <c r="BQ8" s="48"/>
      <c r="BR8" s="48"/>
      <c r="BS8" s="48"/>
      <c r="BT8" s="48"/>
      <c r="BU8" s="49"/>
      <c r="BY8" s="47" t="s">
        <v>12</v>
      </c>
      <c r="BZ8" s="48"/>
      <c r="CA8" s="48"/>
      <c r="CB8" s="48"/>
      <c r="CC8" s="48"/>
      <c r="CD8" s="48"/>
      <c r="CE8" s="48"/>
      <c r="CF8" s="48"/>
      <c r="CG8" s="48"/>
      <c r="CH8" s="48"/>
      <c r="CI8" s="48"/>
      <c r="CJ8" s="48"/>
      <c r="CK8" s="48"/>
      <c r="CL8" s="48"/>
      <c r="CM8" s="48"/>
      <c r="CN8" s="48"/>
      <c r="CO8" s="48"/>
      <c r="CP8" s="48"/>
      <c r="CQ8" s="48"/>
      <c r="CR8" s="48"/>
      <c r="CS8" s="48"/>
      <c r="CT8" s="48"/>
      <c r="CU8" s="48"/>
      <c r="CV8" s="48"/>
      <c r="CW8" s="48"/>
      <c r="CX8" s="48"/>
      <c r="CY8" s="48"/>
      <c r="CZ8" s="48"/>
      <c r="DA8" s="49"/>
      <c r="DE8" s="47" t="s">
        <v>12</v>
      </c>
      <c r="DF8" s="48"/>
      <c r="DG8" s="48"/>
      <c r="DH8" s="48"/>
      <c r="DI8" s="48"/>
      <c r="DJ8" s="48"/>
      <c r="DK8" s="48"/>
      <c r="DL8" s="48"/>
      <c r="DM8" s="48"/>
      <c r="DN8" s="48"/>
      <c r="DO8" s="48"/>
      <c r="DP8" s="48"/>
      <c r="DQ8" s="48"/>
      <c r="DR8" s="48"/>
      <c r="DS8" s="48"/>
      <c r="DT8" s="48"/>
      <c r="DU8" s="48"/>
      <c r="DV8" s="48"/>
      <c r="DW8" s="48"/>
      <c r="DX8" s="48"/>
      <c r="DY8" s="48"/>
      <c r="DZ8" s="48"/>
      <c r="EA8" s="48"/>
      <c r="EB8" s="48"/>
      <c r="EC8" s="48"/>
      <c r="ED8" s="48"/>
      <c r="EE8" s="48"/>
      <c r="EF8" s="48"/>
      <c r="EG8" s="49"/>
      <c r="EJ8" s="3"/>
      <c r="EK8" s="3"/>
      <c r="EM8" s="1" t="e">
        <f>(#REF!)</f>
        <v>#REF!</v>
      </c>
      <c r="EN8" s="9" t="e">
        <f>(#REF!)</f>
        <v>#REF!</v>
      </c>
      <c r="EO8" s="9" t="e">
        <f>(#REF!)</f>
        <v>#REF!</v>
      </c>
      <c r="EP8" s="9" t="e">
        <f>(#REF!)</f>
        <v>#REF!</v>
      </c>
      <c r="EQ8" s="12"/>
      <c r="ER8" s="1"/>
      <c r="ES8" s="12" t="s">
        <v>13</v>
      </c>
      <c r="ET8" s="12">
        <v>18000</v>
      </c>
      <c r="EU8" s="1"/>
      <c r="EV8" s="1"/>
      <c r="EW8" s="1"/>
      <c r="EX8" s="1"/>
      <c r="EY8" s="1"/>
    </row>
    <row r="9" spans="1:155" ht="18" customHeight="1" x14ac:dyDescent="0.3">
      <c r="A9" s="32" t="str">
        <f>(SALES!$A:$A)</f>
        <v>Tuesday, 2 January 2024</v>
      </c>
      <c r="B9" s="1">
        <f>(SALES!$C:$C)</f>
        <v>8</v>
      </c>
      <c r="C9" s="1">
        <f>(SALES!$D:$D)</f>
        <v>1</v>
      </c>
      <c r="D9" s="1" t="str">
        <f>(SALES!$E:$E)</f>
        <v>MILK</v>
      </c>
      <c r="E9" s="1">
        <f>(SALES!$F:$F)</f>
        <v>2000</v>
      </c>
      <c r="F9" s="1">
        <f>(SALES!$G:$G)</f>
        <v>2000</v>
      </c>
      <c r="H9" s="2">
        <f>(EXPENSES!$A:$A)</f>
        <v>45294</v>
      </c>
      <c r="I9" s="10">
        <f>(EXPENSES!$B:$B)</f>
        <v>13</v>
      </c>
      <c r="J9" s="10" t="str">
        <f>(EXPENSES!$C:$C)</f>
        <v xml:space="preserve">PAID ASHIRAF </v>
      </c>
      <c r="K9" s="10">
        <f>(EXPENSES!$D:$D)</f>
        <v>3000</v>
      </c>
      <c r="M9" s="3" t="e">
        <f>TEXT(WEEKDAY(DATE(CalendarYear,2,1),1),"aaa")</f>
        <v>#REF!</v>
      </c>
      <c r="N9" s="3" t="e">
        <f>TEXT(WEEKDAY(DATE(CalendarYear,2,2),1),"aaa")</f>
        <v>#REF!</v>
      </c>
      <c r="O9" s="3" t="e">
        <f>TEXT(WEEKDAY(DATE(CalendarYear,2,3),1),"aaa")</f>
        <v>#REF!</v>
      </c>
      <c r="P9" s="3" t="e">
        <f>TEXT(WEEKDAY(DATE(CalendarYear,2,4),1),"aaa")</f>
        <v>#REF!</v>
      </c>
      <c r="Q9" s="3" t="e">
        <f>TEXT(WEEKDAY(DATE(CalendarYear,2,5),1),"aaa")</f>
        <v>#REF!</v>
      </c>
      <c r="R9" s="3" t="e">
        <f>TEXT(WEEKDAY(DATE(CalendarYear,2,6),1),"aaa")</f>
        <v>#REF!</v>
      </c>
      <c r="S9" s="3" t="e">
        <f>TEXT(WEEKDAY(DATE(CalendarYear,2,7),1),"aaa")</f>
        <v>#REF!</v>
      </c>
      <c r="T9" s="3" t="e">
        <f>TEXT(WEEKDAY(DATE(CalendarYear,2,8),1),"aaa")</f>
        <v>#REF!</v>
      </c>
      <c r="U9" s="3" t="e">
        <f>TEXT(WEEKDAY(DATE(CalendarYear,2,9),1),"aaa")</f>
        <v>#REF!</v>
      </c>
      <c r="V9" s="3" t="e">
        <f>TEXT(WEEKDAY(DATE(CalendarYear,2,10),1),"aaa")</f>
        <v>#REF!</v>
      </c>
      <c r="W9" s="3" t="e">
        <f>TEXT(WEEKDAY(DATE(CalendarYear,2,11),1),"aaa")</f>
        <v>#REF!</v>
      </c>
      <c r="X9" s="3" t="e">
        <f>TEXT(WEEKDAY(DATE(CalendarYear,2,12),1),"aaa")</f>
        <v>#REF!</v>
      </c>
      <c r="Y9" s="3" t="e">
        <f>TEXT(WEEKDAY(DATE(CalendarYear,2,13),1),"aaa")</f>
        <v>#REF!</v>
      </c>
      <c r="Z9" s="3" t="e">
        <f>TEXT(WEEKDAY(DATE(CalendarYear,2,14),1),"aaa")</f>
        <v>#REF!</v>
      </c>
      <c r="AA9" s="3" t="e">
        <f>TEXT(WEEKDAY(DATE(CalendarYear,2,15),1),"aaa")</f>
        <v>#REF!</v>
      </c>
      <c r="AB9" s="3" t="e">
        <f>TEXT(WEEKDAY(DATE(CalendarYear,2,16),1),"aaa")</f>
        <v>#REF!</v>
      </c>
      <c r="AC9" s="3" t="e">
        <f>TEXT(WEEKDAY(DATE(CalendarYear,2,17),1),"aaa")</f>
        <v>#REF!</v>
      </c>
      <c r="AD9" s="3" t="e">
        <f>TEXT(WEEKDAY(DATE(CalendarYear,2,18),1),"aaa")</f>
        <v>#REF!</v>
      </c>
      <c r="AE9" s="3" t="e">
        <f>TEXT(WEEKDAY(DATE(CalendarYear,2,19),1),"aaa")</f>
        <v>#REF!</v>
      </c>
      <c r="AF9" s="3" t="e">
        <f>TEXT(WEEKDAY(DATE(CalendarYear,2,20),1),"aaa")</f>
        <v>#REF!</v>
      </c>
      <c r="AG9" s="3" t="e">
        <f>TEXT(WEEKDAY(DATE(CalendarYear,2,21),1),"aaa")</f>
        <v>#REF!</v>
      </c>
      <c r="AH9" s="3" t="e">
        <f>TEXT(WEEKDAY(DATE(CalendarYear,2,22),1),"aaa")</f>
        <v>#REF!</v>
      </c>
      <c r="AI9" s="3" t="e">
        <f>TEXT(WEEKDAY(DATE(CalendarYear,2,23),1),"aaa")</f>
        <v>#REF!</v>
      </c>
      <c r="AJ9" s="3" t="e">
        <f>TEXT(WEEKDAY(DATE(CalendarYear,2,24),1),"aaa")</f>
        <v>#REF!</v>
      </c>
      <c r="AK9" s="3" t="e">
        <f>TEXT(WEEKDAY(DATE(CalendarYear,2,25),1),"aaa")</f>
        <v>#REF!</v>
      </c>
      <c r="AL9" s="3" t="e">
        <f>TEXT(WEEKDAY(DATE(CalendarYear,2,26),1),"aaa")</f>
        <v>#REF!</v>
      </c>
      <c r="AM9" s="3" t="e">
        <f>TEXT(WEEKDAY(DATE(CalendarYear,2,27),1),"aaa")</f>
        <v>#REF!</v>
      </c>
      <c r="AN9" s="3" t="e">
        <f>TEXT(WEEKDAY(DATE(CalendarYear,2,28),1),"aaa")</f>
        <v>#REF!</v>
      </c>
      <c r="AO9" s="3" t="e">
        <f>TEXT(WEEKDAY(DATE(CalendarYear,2,29),1),"aaa")</f>
        <v>#REF!</v>
      </c>
      <c r="AP9" s="3"/>
      <c r="AQ9" s="3"/>
      <c r="AS9" s="3" t="e">
        <f>TEXT(WEEKDAY(DATE(CalendarYear,2,1),1),"aaa")</f>
        <v>#REF!</v>
      </c>
      <c r="AT9" s="3" t="e">
        <f>TEXT(WEEKDAY(DATE(CalendarYear,2,2),1),"aaa")</f>
        <v>#REF!</v>
      </c>
      <c r="AU9" s="3" t="e">
        <f>TEXT(WEEKDAY(DATE(CalendarYear,2,3),1),"aaa")</f>
        <v>#REF!</v>
      </c>
      <c r="AV9" s="3" t="e">
        <f>TEXT(WEEKDAY(DATE(CalendarYear,2,4),1),"aaa")</f>
        <v>#REF!</v>
      </c>
      <c r="AW9" s="3" t="e">
        <f>TEXT(WEEKDAY(DATE(CalendarYear,2,5),1),"aaa")</f>
        <v>#REF!</v>
      </c>
      <c r="AX9" s="3" t="e">
        <f>TEXT(WEEKDAY(DATE(CalendarYear,2,6),1),"aaa")</f>
        <v>#REF!</v>
      </c>
      <c r="AY9" s="3" t="e">
        <f>TEXT(WEEKDAY(DATE(CalendarYear,2,7),1),"aaa")</f>
        <v>#REF!</v>
      </c>
      <c r="AZ9" s="3" t="e">
        <f>TEXT(WEEKDAY(DATE(CalendarYear,2,8),1),"aaa")</f>
        <v>#REF!</v>
      </c>
      <c r="BA9" s="3" t="e">
        <f>TEXT(WEEKDAY(DATE(CalendarYear,2,9),1),"aaa")</f>
        <v>#REF!</v>
      </c>
      <c r="BB9" s="3" t="e">
        <f>TEXT(WEEKDAY(DATE(CalendarYear,2,10),1),"aaa")</f>
        <v>#REF!</v>
      </c>
      <c r="BC9" s="3" t="e">
        <f>TEXT(WEEKDAY(DATE(CalendarYear,2,11),1),"aaa")</f>
        <v>#REF!</v>
      </c>
      <c r="BD9" s="3" t="e">
        <f>TEXT(WEEKDAY(DATE(CalendarYear,2,12),1),"aaa")</f>
        <v>#REF!</v>
      </c>
      <c r="BE9" s="3" t="e">
        <f>TEXT(WEEKDAY(DATE(CalendarYear,2,13),1),"aaa")</f>
        <v>#REF!</v>
      </c>
      <c r="BF9" s="3" t="e">
        <f>TEXT(WEEKDAY(DATE(CalendarYear,2,14),1),"aaa")</f>
        <v>#REF!</v>
      </c>
      <c r="BG9" s="3" t="e">
        <f>TEXT(WEEKDAY(DATE(CalendarYear,2,15),1),"aaa")</f>
        <v>#REF!</v>
      </c>
      <c r="BH9" s="3" t="e">
        <f>TEXT(WEEKDAY(DATE(CalendarYear,2,16),1),"aaa")</f>
        <v>#REF!</v>
      </c>
      <c r="BI9" s="3" t="e">
        <f>TEXT(WEEKDAY(DATE(CalendarYear,2,17),1),"aaa")</f>
        <v>#REF!</v>
      </c>
      <c r="BJ9" s="3" t="e">
        <f>TEXT(WEEKDAY(DATE(CalendarYear,2,18),1),"aaa")</f>
        <v>#REF!</v>
      </c>
      <c r="BK9" s="3" t="e">
        <f>TEXT(WEEKDAY(DATE(CalendarYear,2,19),1),"aaa")</f>
        <v>#REF!</v>
      </c>
      <c r="BL9" s="3" t="e">
        <f>TEXT(WEEKDAY(DATE(CalendarYear,2,20),1),"aaa")</f>
        <v>#REF!</v>
      </c>
      <c r="BM9" s="3" t="e">
        <f>TEXT(WEEKDAY(DATE(CalendarYear,2,21),1),"aaa")</f>
        <v>#REF!</v>
      </c>
      <c r="BN9" s="3" t="e">
        <f>TEXT(WEEKDAY(DATE(CalendarYear,2,22),1),"aaa")</f>
        <v>#REF!</v>
      </c>
      <c r="BO9" s="3" t="e">
        <f>TEXT(WEEKDAY(DATE(CalendarYear,2,23),1),"aaa")</f>
        <v>#REF!</v>
      </c>
      <c r="BP9" s="3" t="e">
        <f>TEXT(WEEKDAY(DATE(CalendarYear,2,24),1),"aaa")</f>
        <v>#REF!</v>
      </c>
      <c r="BQ9" s="3" t="e">
        <f>TEXT(WEEKDAY(DATE(CalendarYear,2,25),1),"aaa")</f>
        <v>#REF!</v>
      </c>
      <c r="BR9" s="3" t="e">
        <f>TEXT(WEEKDAY(DATE(CalendarYear,2,26),1),"aaa")</f>
        <v>#REF!</v>
      </c>
      <c r="BS9" s="3" t="e">
        <f>TEXT(WEEKDAY(DATE(CalendarYear,2,27),1),"aaa")</f>
        <v>#REF!</v>
      </c>
      <c r="BT9" s="3" t="e">
        <f>TEXT(WEEKDAY(DATE(CalendarYear,2,28),1),"aaa")</f>
        <v>#REF!</v>
      </c>
      <c r="BU9" s="3" t="e">
        <f>TEXT(WEEKDAY(DATE(CalendarYear,2,29),1),"aaa")</f>
        <v>#REF!</v>
      </c>
      <c r="BV9" s="3"/>
      <c r="BW9" s="3"/>
      <c r="BY9" s="3" t="e">
        <f>TEXT(WEEKDAY(DATE(CalendarYear,2,1),1),"aaa")</f>
        <v>#REF!</v>
      </c>
      <c r="BZ9" s="3" t="e">
        <f>TEXT(WEEKDAY(DATE(CalendarYear,2,2),1),"aaa")</f>
        <v>#REF!</v>
      </c>
      <c r="CA9" s="3" t="e">
        <f>TEXT(WEEKDAY(DATE(CalendarYear,2,3),1),"aaa")</f>
        <v>#REF!</v>
      </c>
      <c r="CB9" s="3" t="e">
        <f>TEXT(WEEKDAY(DATE(CalendarYear,2,4),1),"aaa")</f>
        <v>#REF!</v>
      </c>
      <c r="CC9" s="3" t="e">
        <f>TEXT(WEEKDAY(DATE(CalendarYear,2,5),1),"aaa")</f>
        <v>#REF!</v>
      </c>
      <c r="CD9" s="3" t="e">
        <f>TEXT(WEEKDAY(DATE(CalendarYear,2,6),1),"aaa")</f>
        <v>#REF!</v>
      </c>
      <c r="CE9" s="3" t="e">
        <f>TEXT(WEEKDAY(DATE(CalendarYear,2,7),1),"aaa")</f>
        <v>#REF!</v>
      </c>
      <c r="CF9" s="3" t="e">
        <f>TEXT(WEEKDAY(DATE(CalendarYear,2,8),1),"aaa")</f>
        <v>#REF!</v>
      </c>
      <c r="CG9" s="3" t="e">
        <f>TEXT(WEEKDAY(DATE(CalendarYear,2,9),1),"aaa")</f>
        <v>#REF!</v>
      </c>
      <c r="CH9" s="3" t="e">
        <f>TEXT(WEEKDAY(DATE(CalendarYear,2,10),1),"aaa")</f>
        <v>#REF!</v>
      </c>
      <c r="CI9" s="3" t="e">
        <f>TEXT(WEEKDAY(DATE(CalendarYear,2,11),1),"aaa")</f>
        <v>#REF!</v>
      </c>
      <c r="CJ9" s="3" t="e">
        <f>TEXT(WEEKDAY(DATE(CalendarYear,2,12),1),"aaa")</f>
        <v>#REF!</v>
      </c>
      <c r="CK9" s="3" t="e">
        <f>TEXT(WEEKDAY(DATE(CalendarYear,2,13),1),"aaa")</f>
        <v>#REF!</v>
      </c>
      <c r="CL9" s="3" t="e">
        <f>TEXT(WEEKDAY(DATE(CalendarYear,2,14),1),"aaa")</f>
        <v>#REF!</v>
      </c>
      <c r="CM9" s="3" t="e">
        <f>TEXT(WEEKDAY(DATE(CalendarYear,2,15),1),"aaa")</f>
        <v>#REF!</v>
      </c>
      <c r="CN9" s="3" t="e">
        <f>TEXT(WEEKDAY(DATE(CalendarYear,2,16),1),"aaa")</f>
        <v>#REF!</v>
      </c>
      <c r="CO9" s="3" t="e">
        <f>TEXT(WEEKDAY(DATE(CalendarYear,2,17),1),"aaa")</f>
        <v>#REF!</v>
      </c>
      <c r="CP9" s="3" t="e">
        <f>TEXT(WEEKDAY(DATE(CalendarYear,2,18),1),"aaa")</f>
        <v>#REF!</v>
      </c>
      <c r="CQ9" s="3" t="e">
        <f>TEXT(WEEKDAY(DATE(CalendarYear,2,19),1),"aaa")</f>
        <v>#REF!</v>
      </c>
      <c r="CR9" s="3" t="e">
        <f>TEXT(WEEKDAY(DATE(CalendarYear,2,20),1),"aaa")</f>
        <v>#REF!</v>
      </c>
      <c r="CS9" s="3" t="e">
        <f>TEXT(WEEKDAY(DATE(CalendarYear,2,21),1),"aaa")</f>
        <v>#REF!</v>
      </c>
      <c r="CT9" s="3" t="e">
        <f>TEXT(WEEKDAY(DATE(CalendarYear,2,22),1),"aaa")</f>
        <v>#REF!</v>
      </c>
      <c r="CU9" s="3" t="e">
        <f>TEXT(WEEKDAY(DATE(CalendarYear,2,23),1),"aaa")</f>
        <v>#REF!</v>
      </c>
      <c r="CV9" s="3" t="e">
        <f>TEXT(WEEKDAY(DATE(CalendarYear,2,24),1),"aaa")</f>
        <v>#REF!</v>
      </c>
      <c r="CW9" s="3" t="e">
        <f>TEXT(WEEKDAY(DATE(CalendarYear,2,25),1),"aaa")</f>
        <v>#REF!</v>
      </c>
      <c r="CX9" s="3" t="e">
        <f>TEXT(WEEKDAY(DATE(CalendarYear,2,26),1),"aaa")</f>
        <v>#REF!</v>
      </c>
      <c r="CY9" s="3" t="e">
        <f>TEXT(WEEKDAY(DATE(CalendarYear,2,27),1),"aaa")</f>
        <v>#REF!</v>
      </c>
      <c r="CZ9" s="3" t="e">
        <f>TEXT(WEEKDAY(DATE(CalendarYear,2,28),1),"aaa")</f>
        <v>#REF!</v>
      </c>
      <c r="DA9" s="3" t="e">
        <f>TEXT(WEEKDAY(DATE(CalendarYear,2,29),1),"aaa")</f>
        <v>#REF!</v>
      </c>
      <c r="DB9" s="3"/>
      <c r="DC9" s="3"/>
      <c r="DE9" s="3" t="e">
        <f>TEXT(WEEKDAY(DATE(CalendarYear,2,1),1),"aaa")</f>
        <v>#REF!</v>
      </c>
      <c r="DF9" s="3" t="e">
        <f>TEXT(WEEKDAY(DATE(CalendarYear,2,2),1),"aaa")</f>
        <v>#REF!</v>
      </c>
      <c r="DG9" s="3" t="e">
        <f>TEXT(WEEKDAY(DATE(CalendarYear,2,3),1),"aaa")</f>
        <v>#REF!</v>
      </c>
      <c r="DH9" s="3" t="e">
        <f>TEXT(WEEKDAY(DATE(CalendarYear,2,4),1),"aaa")</f>
        <v>#REF!</v>
      </c>
      <c r="DI9" s="3" t="e">
        <f>TEXT(WEEKDAY(DATE(CalendarYear,2,5),1),"aaa")</f>
        <v>#REF!</v>
      </c>
      <c r="DJ9" s="3" t="e">
        <f>TEXT(WEEKDAY(DATE(CalendarYear,2,6),1),"aaa")</f>
        <v>#REF!</v>
      </c>
      <c r="DK9" s="3" t="e">
        <f>TEXT(WEEKDAY(DATE(CalendarYear,2,7),1),"aaa")</f>
        <v>#REF!</v>
      </c>
      <c r="DL9" s="3" t="e">
        <f>TEXT(WEEKDAY(DATE(CalendarYear,2,8),1),"aaa")</f>
        <v>#REF!</v>
      </c>
      <c r="DM9" s="3" t="e">
        <f>TEXT(WEEKDAY(DATE(CalendarYear,2,9),1),"aaa")</f>
        <v>#REF!</v>
      </c>
      <c r="DN9" s="3" t="e">
        <f>TEXT(WEEKDAY(DATE(CalendarYear,2,10),1),"aaa")</f>
        <v>#REF!</v>
      </c>
      <c r="DO9" s="3" t="e">
        <f>TEXT(WEEKDAY(DATE(CalendarYear,2,11),1),"aaa")</f>
        <v>#REF!</v>
      </c>
      <c r="DP9" s="3" t="e">
        <f>TEXT(WEEKDAY(DATE(CalendarYear,2,12),1),"aaa")</f>
        <v>#REF!</v>
      </c>
      <c r="DQ9" s="3" t="e">
        <f>TEXT(WEEKDAY(DATE(CalendarYear,2,13),1),"aaa")</f>
        <v>#REF!</v>
      </c>
      <c r="DR9" s="3" t="e">
        <f>TEXT(WEEKDAY(DATE(CalendarYear,2,14),1),"aaa")</f>
        <v>#REF!</v>
      </c>
      <c r="DS9" s="3" t="e">
        <f>TEXT(WEEKDAY(DATE(CalendarYear,2,15),1),"aaa")</f>
        <v>#REF!</v>
      </c>
      <c r="DT9" s="3" t="e">
        <f>TEXT(WEEKDAY(DATE(CalendarYear,2,16),1),"aaa")</f>
        <v>#REF!</v>
      </c>
      <c r="DU9" s="3" t="e">
        <f>TEXT(WEEKDAY(DATE(CalendarYear,2,17),1),"aaa")</f>
        <v>#REF!</v>
      </c>
      <c r="DV9" s="3" t="e">
        <f>TEXT(WEEKDAY(DATE(CalendarYear,2,18),1),"aaa")</f>
        <v>#REF!</v>
      </c>
      <c r="DW9" s="3" t="e">
        <f>TEXT(WEEKDAY(DATE(CalendarYear,2,19),1),"aaa")</f>
        <v>#REF!</v>
      </c>
      <c r="DX9" s="3" t="e">
        <f>TEXT(WEEKDAY(DATE(CalendarYear,2,20),1),"aaa")</f>
        <v>#REF!</v>
      </c>
      <c r="DY9" s="3" t="e">
        <f>TEXT(WEEKDAY(DATE(CalendarYear,2,21),1),"aaa")</f>
        <v>#REF!</v>
      </c>
      <c r="DZ9" s="3" t="e">
        <f>TEXT(WEEKDAY(DATE(CalendarYear,2,22),1),"aaa")</f>
        <v>#REF!</v>
      </c>
      <c r="EA9" s="3" t="e">
        <f>TEXT(WEEKDAY(DATE(CalendarYear,2,23),1),"aaa")</f>
        <v>#REF!</v>
      </c>
      <c r="EB9" s="3" t="e">
        <f>TEXT(WEEKDAY(DATE(CalendarYear,2,24),1),"aaa")</f>
        <v>#REF!</v>
      </c>
      <c r="EC9" s="3" t="e">
        <f>TEXT(WEEKDAY(DATE(CalendarYear,2,25),1),"aaa")</f>
        <v>#REF!</v>
      </c>
      <c r="ED9" s="3" t="e">
        <f>TEXT(WEEKDAY(DATE(CalendarYear,2,26),1),"aaa")</f>
        <v>#REF!</v>
      </c>
      <c r="EE9" s="3" t="e">
        <f>TEXT(WEEKDAY(DATE(CalendarYear,2,27),1),"aaa")</f>
        <v>#REF!</v>
      </c>
      <c r="EF9" s="3" t="e">
        <f>TEXT(WEEKDAY(DATE(CalendarYear,2,28),1),"aaa")</f>
        <v>#REF!</v>
      </c>
      <c r="EG9" s="3" t="e">
        <f>TEXT(WEEKDAY(DATE(CalendarYear,2,29),1),"aaa")</f>
        <v>#REF!</v>
      </c>
      <c r="EH9" s="3"/>
      <c r="EI9" s="3"/>
      <c r="EJ9" s="3"/>
      <c r="EK9" s="3"/>
      <c r="EM9" s="1" t="e">
        <f>(#REF!)</f>
        <v>#REF!</v>
      </c>
      <c r="EN9" s="9" t="e">
        <f>(#REF!)</f>
        <v>#REF!</v>
      </c>
      <c r="EO9" s="9" t="e">
        <f>(#REF!)</f>
        <v>#REF!</v>
      </c>
      <c r="EP9" s="9" t="e">
        <f>(#REF!)</f>
        <v>#REF!</v>
      </c>
      <c r="EQ9" s="12"/>
      <c r="ER9" s="1"/>
      <c r="ES9" s="10" t="s">
        <v>14</v>
      </c>
      <c r="ET9" s="10">
        <v>22000</v>
      </c>
      <c r="EU9" s="1"/>
      <c r="EV9" s="1"/>
      <c r="EW9" s="1"/>
      <c r="EX9" s="1"/>
      <c r="EY9" s="1"/>
    </row>
    <row r="10" spans="1:155" ht="18" customHeight="1" x14ac:dyDescent="0.3">
      <c r="A10" s="32" t="str">
        <f>(SALES!$A:$A)</f>
        <v>Tuesday, 2 January 2024</v>
      </c>
      <c r="B10" s="1">
        <f>(SALES!$C:$C)</f>
        <v>9</v>
      </c>
      <c r="C10" s="1">
        <f>(SALES!$D:$D)</f>
        <v>2</v>
      </c>
      <c r="D10" s="1" t="str">
        <f>(SALES!$E:$E)</f>
        <v>LOCAL EGGS</v>
      </c>
      <c r="E10" s="1">
        <f>(SALES!$F:$F)</f>
        <v>25000</v>
      </c>
      <c r="F10" s="1">
        <f>(SALES!$G:$G)</f>
        <v>50000</v>
      </c>
      <c r="H10" s="2">
        <f>(EXPENSES!$A:$A)</f>
        <v>45294</v>
      </c>
      <c r="I10" s="10">
        <f>(EXPENSES!$B:$B)</f>
        <v>7</v>
      </c>
      <c r="J10" s="10" t="str">
        <f>(EXPENSES!$C:$C)</f>
        <v xml:space="preserve">BOUGHT FATS </v>
      </c>
      <c r="K10" s="10">
        <f>(EXPENSES!$D:$D)</f>
        <v>20000</v>
      </c>
      <c r="M10" s="2">
        <v>45323</v>
      </c>
      <c r="N10" s="2">
        <v>45324</v>
      </c>
      <c r="O10" s="2">
        <v>45325</v>
      </c>
      <c r="P10" s="2">
        <v>45326</v>
      </c>
      <c r="Q10" s="2">
        <v>45327</v>
      </c>
      <c r="R10" s="2">
        <v>45328</v>
      </c>
      <c r="S10" s="2">
        <v>45329</v>
      </c>
      <c r="T10" s="2">
        <v>45330</v>
      </c>
      <c r="U10" s="2">
        <v>45331</v>
      </c>
      <c r="V10" s="2">
        <v>45332</v>
      </c>
      <c r="W10" s="2">
        <v>45333</v>
      </c>
      <c r="X10" s="2">
        <v>45334</v>
      </c>
      <c r="Y10" s="2">
        <v>45335</v>
      </c>
      <c r="Z10" s="2">
        <v>45336</v>
      </c>
      <c r="AA10" s="2">
        <v>45337</v>
      </c>
      <c r="AB10" s="2">
        <v>45338</v>
      </c>
      <c r="AC10" s="2">
        <v>45339</v>
      </c>
      <c r="AD10" s="2">
        <v>45340</v>
      </c>
      <c r="AE10" s="2">
        <v>45341</v>
      </c>
      <c r="AF10" s="2">
        <v>45342</v>
      </c>
      <c r="AG10" s="2">
        <v>45343</v>
      </c>
      <c r="AH10" s="2">
        <v>45344</v>
      </c>
      <c r="AI10" s="2">
        <v>45345</v>
      </c>
      <c r="AJ10" s="2">
        <v>45346</v>
      </c>
      <c r="AK10" s="2">
        <v>45347</v>
      </c>
      <c r="AL10" s="2">
        <v>45348</v>
      </c>
      <c r="AM10" s="2">
        <v>45349</v>
      </c>
      <c r="AN10" s="2">
        <v>45350</v>
      </c>
      <c r="AO10" s="2">
        <v>45351</v>
      </c>
      <c r="AP10" s="3" t="s">
        <v>15</v>
      </c>
      <c r="AQ10" s="3" t="s">
        <v>16</v>
      </c>
      <c r="AS10" s="2">
        <v>45323</v>
      </c>
      <c r="AT10" s="2">
        <v>45324</v>
      </c>
      <c r="AU10" s="2">
        <v>45325</v>
      </c>
      <c r="AV10" s="2">
        <v>45326</v>
      </c>
      <c r="AW10" s="2">
        <v>45327</v>
      </c>
      <c r="AX10" s="2">
        <v>45328</v>
      </c>
      <c r="AY10" s="2">
        <v>45329</v>
      </c>
      <c r="AZ10" s="2">
        <v>45330</v>
      </c>
      <c r="BA10" s="2">
        <v>45331</v>
      </c>
      <c r="BB10" s="2">
        <v>45332</v>
      </c>
      <c r="BC10" s="2">
        <v>45333</v>
      </c>
      <c r="BD10" s="2">
        <v>45334</v>
      </c>
      <c r="BE10" s="2">
        <v>45335</v>
      </c>
      <c r="BF10" s="2">
        <v>45336</v>
      </c>
      <c r="BG10" s="2">
        <v>45337</v>
      </c>
      <c r="BH10" s="2">
        <v>45338</v>
      </c>
      <c r="BI10" s="2">
        <v>45339</v>
      </c>
      <c r="BJ10" s="2">
        <v>45340</v>
      </c>
      <c r="BK10" s="2">
        <v>45341</v>
      </c>
      <c r="BL10" s="2">
        <v>45342</v>
      </c>
      <c r="BM10" s="2">
        <v>45343</v>
      </c>
      <c r="BN10" s="2">
        <v>45344</v>
      </c>
      <c r="BO10" s="2">
        <v>45345</v>
      </c>
      <c r="BP10" s="2">
        <v>45346</v>
      </c>
      <c r="BQ10" s="2">
        <v>45347</v>
      </c>
      <c r="BR10" s="2">
        <v>45348</v>
      </c>
      <c r="BS10" s="2">
        <v>45349</v>
      </c>
      <c r="BT10" s="2">
        <v>45350</v>
      </c>
      <c r="BU10" s="2">
        <v>45351</v>
      </c>
      <c r="BV10" s="3" t="s">
        <v>15</v>
      </c>
      <c r="BW10" s="3" t="s">
        <v>16</v>
      </c>
      <c r="BY10" s="2">
        <v>45323</v>
      </c>
      <c r="BZ10" s="2">
        <v>45324</v>
      </c>
      <c r="CA10" s="2">
        <v>45325</v>
      </c>
      <c r="CB10" s="2">
        <v>45326</v>
      </c>
      <c r="CC10" s="2">
        <v>45327</v>
      </c>
      <c r="CD10" s="2">
        <v>45328</v>
      </c>
      <c r="CE10" s="2">
        <v>45329</v>
      </c>
      <c r="CF10" s="2">
        <v>45330</v>
      </c>
      <c r="CG10" s="2">
        <v>45331</v>
      </c>
      <c r="CH10" s="2">
        <v>45332</v>
      </c>
      <c r="CI10" s="2">
        <v>45333</v>
      </c>
      <c r="CJ10" s="2">
        <v>45334</v>
      </c>
      <c r="CK10" s="2">
        <v>45335</v>
      </c>
      <c r="CL10" s="2">
        <v>45336</v>
      </c>
      <c r="CM10" s="2">
        <v>45337</v>
      </c>
      <c r="CN10" s="2">
        <v>45338</v>
      </c>
      <c r="CO10" s="2">
        <v>45339</v>
      </c>
      <c r="CP10" s="2">
        <v>45340</v>
      </c>
      <c r="CQ10" s="2">
        <v>45341</v>
      </c>
      <c r="CR10" s="2">
        <v>45342</v>
      </c>
      <c r="CS10" s="2">
        <v>45343</v>
      </c>
      <c r="CT10" s="2">
        <v>45344</v>
      </c>
      <c r="CU10" s="2">
        <v>45345</v>
      </c>
      <c r="CV10" s="2">
        <v>45346</v>
      </c>
      <c r="CW10" s="2">
        <v>45347</v>
      </c>
      <c r="CX10" s="2">
        <v>45348</v>
      </c>
      <c r="CY10" s="2">
        <v>45349</v>
      </c>
      <c r="CZ10" s="2">
        <v>45350</v>
      </c>
      <c r="DA10" s="2">
        <v>45351</v>
      </c>
      <c r="DB10" s="3" t="s">
        <v>15</v>
      </c>
      <c r="DC10" s="3" t="s">
        <v>16</v>
      </c>
      <c r="DE10" s="2">
        <v>45323</v>
      </c>
      <c r="DF10" s="2">
        <v>45324</v>
      </c>
      <c r="DG10" s="2">
        <v>45325</v>
      </c>
      <c r="DH10" s="2">
        <v>45326</v>
      </c>
      <c r="DI10" s="2">
        <v>45327</v>
      </c>
      <c r="DJ10" s="2">
        <v>45328</v>
      </c>
      <c r="DK10" s="2">
        <v>45329</v>
      </c>
      <c r="DL10" s="2">
        <v>45330</v>
      </c>
      <c r="DM10" s="2">
        <v>45331</v>
      </c>
      <c r="DN10" s="2">
        <v>45332</v>
      </c>
      <c r="DO10" s="2">
        <v>45333</v>
      </c>
      <c r="DP10" s="2">
        <v>45334</v>
      </c>
      <c r="DQ10" s="2">
        <v>45335</v>
      </c>
      <c r="DR10" s="2">
        <v>45336</v>
      </c>
      <c r="DS10" s="2">
        <v>45337</v>
      </c>
      <c r="DT10" s="2">
        <v>45338</v>
      </c>
      <c r="DU10" s="2">
        <v>45339</v>
      </c>
      <c r="DV10" s="2">
        <v>45340</v>
      </c>
      <c r="DW10" s="2">
        <v>45341</v>
      </c>
      <c r="DX10" s="2">
        <v>45342</v>
      </c>
      <c r="DY10" s="2">
        <v>45343</v>
      </c>
      <c r="DZ10" s="2">
        <v>45344</v>
      </c>
      <c r="EA10" s="2">
        <v>45345</v>
      </c>
      <c r="EB10" s="2">
        <v>45346</v>
      </c>
      <c r="EC10" s="2">
        <v>45347</v>
      </c>
      <c r="ED10" s="2">
        <v>45348</v>
      </c>
      <c r="EE10" s="2">
        <v>45349</v>
      </c>
      <c r="EF10" s="2">
        <v>45350</v>
      </c>
      <c r="EG10" s="2">
        <v>45351</v>
      </c>
      <c r="EH10" s="3" t="s">
        <v>15</v>
      </c>
      <c r="EI10" s="3" t="s">
        <v>16</v>
      </c>
      <c r="EM10" s="1" t="e">
        <f>(#REF!)</f>
        <v>#REF!</v>
      </c>
      <c r="EN10" s="9" t="e">
        <f>(#REF!)</f>
        <v>#REF!</v>
      </c>
      <c r="EO10" s="9" t="e">
        <f>(#REF!)</f>
        <v>#REF!</v>
      </c>
      <c r="EP10" s="9" t="e">
        <f>(#REF!)</f>
        <v>#REF!</v>
      </c>
      <c r="EQ10" s="12"/>
      <c r="ER10" s="1"/>
      <c r="ES10" s="12" t="s">
        <v>14</v>
      </c>
      <c r="ET10" s="12">
        <v>30000</v>
      </c>
      <c r="EU10" s="1"/>
      <c r="EV10" s="1"/>
      <c r="EW10" s="1"/>
      <c r="EX10" s="1"/>
      <c r="EY10" s="1"/>
    </row>
    <row r="11" spans="1:155" ht="18" customHeight="1" x14ac:dyDescent="0.3">
      <c r="A11" s="32" t="str">
        <f>(SALES!$A:$A)</f>
        <v>Tuesday, 2 January 2024</v>
      </c>
      <c r="B11" s="1">
        <f>(SALES!$C:$C)</f>
        <v>10</v>
      </c>
      <c r="C11" s="1">
        <f>(SALES!$D:$D)</f>
        <v>1</v>
      </c>
      <c r="D11" s="1" t="str">
        <f>(SALES!$E:$E)</f>
        <v>AVOCADO</v>
      </c>
      <c r="E11" s="1">
        <f>(SALES!$F:$F)</f>
        <v>1000</v>
      </c>
      <c r="F11" s="1">
        <f>(SALES!$G:$G)</f>
        <v>1000</v>
      </c>
      <c r="H11" s="2">
        <f>(EXPENSES!$A:$A)</f>
        <v>45294</v>
      </c>
      <c r="I11" s="10">
        <f>(EXPENSES!$B:$B)</f>
        <v>8</v>
      </c>
      <c r="J11" s="10" t="str">
        <f>(EXPENSES!$C:$C)</f>
        <v>BOUGHT LIVER</v>
      </c>
      <c r="K11" s="10">
        <f>(EXPENSES!$D:$D)</f>
        <v>22000</v>
      </c>
      <c r="M11" s="3">
        <f t="shared" ref="M11:AO11" si="4">SUMIF($A:$A, "01/02/2024",$F:$F )</f>
        <v>0</v>
      </c>
      <c r="N11" s="3">
        <f t="shared" si="4"/>
        <v>0</v>
      </c>
      <c r="O11" s="3">
        <f t="shared" si="4"/>
        <v>0</v>
      </c>
      <c r="P11" s="3">
        <f t="shared" si="4"/>
        <v>0</v>
      </c>
      <c r="Q11" s="3">
        <f t="shared" si="4"/>
        <v>0</v>
      </c>
      <c r="R11" s="3">
        <f t="shared" si="4"/>
        <v>0</v>
      </c>
      <c r="S11" s="3">
        <f t="shared" si="4"/>
        <v>0</v>
      </c>
      <c r="T11" s="3">
        <f t="shared" si="4"/>
        <v>0</v>
      </c>
      <c r="U11" s="3">
        <f t="shared" si="4"/>
        <v>0</v>
      </c>
      <c r="V11" s="3">
        <f t="shared" si="4"/>
        <v>0</v>
      </c>
      <c r="W11" s="3">
        <f t="shared" si="4"/>
        <v>0</v>
      </c>
      <c r="X11" s="3">
        <f t="shared" si="4"/>
        <v>0</v>
      </c>
      <c r="Y11" s="3">
        <f t="shared" si="4"/>
        <v>0</v>
      </c>
      <c r="Z11" s="3">
        <f t="shared" si="4"/>
        <v>0</v>
      </c>
      <c r="AA11" s="3">
        <f t="shared" si="4"/>
        <v>0</v>
      </c>
      <c r="AB11" s="3">
        <f t="shared" si="4"/>
        <v>0</v>
      </c>
      <c r="AC11" s="3">
        <f t="shared" si="4"/>
        <v>0</v>
      </c>
      <c r="AD11" s="3">
        <f t="shared" si="4"/>
        <v>0</v>
      </c>
      <c r="AE11" s="3">
        <f t="shared" si="4"/>
        <v>0</v>
      </c>
      <c r="AF11" s="3">
        <f t="shared" si="4"/>
        <v>0</v>
      </c>
      <c r="AG11" s="3">
        <f t="shared" si="4"/>
        <v>0</v>
      </c>
      <c r="AH11" s="3">
        <f t="shared" si="4"/>
        <v>0</v>
      </c>
      <c r="AI11" s="3">
        <f t="shared" si="4"/>
        <v>0</v>
      </c>
      <c r="AJ11" s="3">
        <f t="shared" si="4"/>
        <v>0</v>
      </c>
      <c r="AK11" s="3">
        <f t="shared" si="4"/>
        <v>0</v>
      </c>
      <c r="AL11" s="3">
        <f t="shared" si="4"/>
        <v>0</v>
      </c>
      <c r="AM11" s="3">
        <f t="shared" si="4"/>
        <v>0</v>
      </c>
      <c r="AN11" s="3">
        <f t="shared" si="4"/>
        <v>0</v>
      </c>
      <c r="AO11" s="3">
        <f t="shared" si="4"/>
        <v>0</v>
      </c>
      <c r="AS11" s="3">
        <f t="shared" ref="AS11:BU11" si="5">SUMIF($A:$A, "01/02/2024",$F:$F )</f>
        <v>0</v>
      </c>
      <c r="AT11" s="3">
        <f t="shared" si="5"/>
        <v>0</v>
      </c>
      <c r="AU11" s="3">
        <f t="shared" si="5"/>
        <v>0</v>
      </c>
      <c r="AV11" s="3">
        <f t="shared" si="5"/>
        <v>0</v>
      </c>
      <c r="AW11" s="3">
        <f t="shared" si="5"/>
        <v>0</v>
      </c>
      <c r="AX11" s="3">
        <f t="shared" si="5"/>
        <v>0</v>
      </c>
      <c r="AY11" s="3">
        <f t="shared" si="5"/>
        <v>0</v>
      </c>
      <c r="AZ11" s="3">
        <f t="shared" si="5"/>
        <v>0</v>
      </c>
      <c r="BA11" s="3">
        <f t="shared" si="5"/>
        <v>0</v>
      </c>
      <c r="BB11" s="3">
        <f t="shared" si="5"/>
        <v>0</v>
      </c>
      <c r="BC11" s="3">
        <f t="shared" si="5"/>
        <v>0</v>
      </c>
      <c r="BD11" s="3">
        <f t="shared" si="5"/>
        <v>0</v>
      </c>
      <c r="BE11" s="3">
        <f t="shared" si="5"/>
        <v>0</v>
      </c>
      <c r="BF11" s="3">
        <f t="shared" si="5"/>
        <v>0</v>
      </c>
      <c r="BG11" s="3">
        <f t="shared" si="5"/>
        <v>0</v>
      </c>
      <c r="BH11" s="3">
        <f t="shared" si="5"/>
        <v>0</v>
      </c>
      <c r="BI11" s="3">
        <f t="shared" si="5"/>
        <v>0</v>
      </c>
      <c r="BJ11" s="3">
        <f t="shared" si="5"/>
        <v>0</v>
      </c>
      <c r="BK11" s="3">
        <f t="shared" si="5"/>
        <v>0</v>
      </c>
      <c r="BL11" s="3">
        <f t="shared" si="5"/>
        <v>0</v>
      </c>
      <c r="BM11" s="3">
        <f t="shared" si="5"/>
        <v>0</v>
      </c>
      <c r="BN11" s="3">
        <f t="shared" si="5"/>
        <v>0</v>
      </c>
      <c r="BO11" s="3">
        <f t="shared" si="5"/>
        <v>0</v>
      </c>
      <c r="BP11" s="3">
        <f t="shared" si="5"/>
        <v>0</v>
      </c>
      <c r="BQ11" s="3">
        <f t="shared" si="5"/>
        <v>0</v>
      </c>
      <c r="BR11" s="3">
        <f t="shared" si="5"/>
        <v>0</v>
      </c>
      <c r="BS11" s="3">
        <f t="shared" si="5"/>
        <v>0</v>
      </c>
      <c r="BT11" s="3">
        <f t="shared" si="5"/>
        <v>0</v>
      </c>
      <c r="BU11" s="3">
        <f t="shared" si="5"/>
        <v>0</v>
      </c>
      <c r="BY11" s="3">
        <f t="shared" ref="BY11:DA11" si="6">(M11-AS11)</f>
        <v>0</v>
      </c>
      <c r="BZ11" s="3">
        <f t="shared" si="6"/>
        <v>0</v>
      </c>
      <c r="CA11" s="3">
        <f t="shared" si="6"/>
        <v>0</v>
      </c>
      <c r="CB11" s="3">
        <f t="shared" si="6"/>
        <v>0</v>
      </c>
      <c r="CC11" s="3">
        <f t="shared" si="6"/>
        <v>0</v>
      </c>
      <c r="CD11" s="3">
        <f t="shared" si="6"/>
        <v>0</v>
      </c>
      <c r="CE11" s="3">
        <f t="shared" si="6"/>
        <v>0</v>
      </c>
      <c r="CF11" s="3">
        <f t="shared" si="6"/>
        <v>0</v>
      </c>
      <c r="CG11" s="3">
        <f t="shared" si="6"/>
        <v>0</v>
      </c>
      <c r="CH11" s="3">
        <f t="shared" si="6"/>
        <v>0</v>
      </c>
      <c r="CI11" s="3">
        <f t="shared" si="6"/>
        <v>0</v>
      </c>
      <c r="CJ11" s="3">
        <f t="shared" si="6"/>
        <v>0</v>
      </c>
      <c r="CK11" s="3">
        <f t="shared" si="6"/>
        <v>0</v>
      </c>
      <c r="CL11" s="3">
        <f t="shared" si="6"/>
        <v>0</v>
      </c>
      <c r="CM11" s="3">
        <f t="shared" si="6"/>
        <v>0</v>
      </c>
      <c r="CN11" s="3">
        <f t="shared" si="6"/>
        <v>0</v>
      </c>
      <c r="CO11" s="3">
        <f t="shared" si="6"/>
        <v>0</v>
      </c>
      <c r="CP11" s="3">
        <f t="shared" si="6"/>
        <v>0</v>
      </c>
      <c r="CQ11" s="3">
        <f t="shared" si="6"/>
        <v>0</v>
      </c>
      <c r="CR11" s="3">
        <f t="shared" si="6"/>
        <v>0</v>
      </c>
      <c r="CS11" s="3">
        <f t="shared" si="6"/>
        <v>0</v>
      </c>
      <c r="CT11" s="3">
        <f t="shared" si="6"/>
        <v>0</v>
      </c>
      <c r="CU11" s="3">
        <f t="shared" si="6"/>
        <v>0</v>
      </c>
      <c r="CV11" s="3">
        <f t="shared" si="6"/>
        <v>0</v>
      </c>
      <c r="CW11" s="3">
        <f t="shared" si="6"/>
        <v>0</v>
      </c>
      <c r="CX11" s="3">
        <f t="shared" si="6"/>
        <v>0</v>
      </c>
      <c r="CY11" s="3">
        <f t="shared" si="6"/>
        <v>0</v>
      </c>
      <c r="CZ11" s="3">
        <f t="shared" si="6"/>
        <v>0</v>
      </c>
      <c r="DA11" s="3">
        <f t="shared" si="6"/>
        <v>0</v>
      </c>
      <c r="DE11" s="3">
        <f t="shared" ref="DE11:EG11" si="7">SUMIF($A:$A, "01/02/2024",$F:$F )</f>
        <v>0</v>
      </c>
      <c r="DF11" s="3">
        <f t="shared" si="7"/>
        <v>0</v>
      </c>
      <c r="DG11" s="3">
        <f t="shared" si="7"/>
        <v>0</v>
      </c>
      <c r="DH11" s="3">
        <f t="shared" si="7"/>
        <v>0</v>
      </c>
      <c r="DI11" s="3">
        <f t="shared" si="7"/>
        <v>0</v>
      </c>
      <c r="DJ11" s="3">
        <f t="shared" si="7"/>
        <v>0</v>
      </c>
      <c r="DK11" s="3">
        <f t="shared" si="7"/>
        <v>0</v>
      </c>
      <c r="DL11" s="3">
        <f t="shared" si="7"/>
        <v>0</v>
      </c>
      <c r="DM11" s="3">
        <f t="shared" si="7"/>
        <v>0</v>
      </c>
      <c r="DN11" s="3">
        <f t="shared" si="7"/>
        <v>0</v>
      </c>
      <c r="DO11" s="3">
        <f t="shared" si="7"/>
        <v>0</v>
      </c>
      <c r="DP11" s="3">
        <f t="shared" si="7"/>
        <v>0</v>
      </c>
      <c r="DQ11" s="3">
        <f t="shared" si="7"/>
        <v>0</v>
      </c>
      <c r="DR11" s="3">
        <f t="shared" si="7"/>
        <v>0</v>
      </c>
      <c r="DS11" s="3">
        <f t="shared" si="7"/>
        <v>0</v>
      </c>
      <c r="DT11" s="3">
        <f t="shared" si="7"/>
        <v>0</v>
      </c>
      <c r="DU11" s="3">
        <f t="shared" si="7"/>
        <v>0</v>
      </c>
      <c r="DV11" s="3">
        <f t="shared" si="7"/>
        <v>0</v>
      </c>
      <c r="DW11" s="3">
        <f t="shared" si="7"/>
        <v>0</v>
      </c>
      <c r="DX11" s="3">
        <f t="shared" si="7"/>
        <v>0</v>
      </c>
      <c r="DY11" s="3">
        <f t="shared" si="7"/>
        <v>0</v>
      </c>
      <c r="DZ11" s="3">
        <f t="shared" si="7"/>
        <v>0</v>
      </c>
      <c r="EA11" s="3">
        <f t="shared" si="7"/>
        <v>0</v>
      </c>
      <c r="EB11" s="3">
        <f t="shared" si="7"/>
        <v>0</v>
      </c>
      <c r="EC11" s="3">
        <f t="shared" si="7"/>
        <v>0</v>
      </c>
      <c r="ED11" s="3">
        <f t="shared" si="7"/>
        <v>0</v>
      </c>
      <c r="EE11" s="3">
        <f t="shared" si="7"/>
        <v>0</v>
      </c>
      <c r="EF11" s="3">
        <f t="shared" si="7"/>
        <v>0</v>
      </c>
      <c r="EG11" s="3">
        <f t="shared" si="7"/>
        <v>0</v>
      </c>
      <c r="EM11" s="1" t="e">
        <f>(#REF!)</f>
        <v>#REF!</v>
      </c>
      <c r="EN11" s="9" t="e">
        <f>(#REF!)</f>
        <v>#REF!</v>
      </c>
      <c r="EO11" s="9" t="e">
        <f>(#REF!)</f>
        <v>#REF!</v>
      </c>
      <c r="EP11" s="9" t="e">
        <f>(#REF!)</f>
        <v>#REF!</v>
      </c>
      <c r="EQ11" s="12"/>
      <c r="ER11" s="1"/>
      <c r="ES11" s="12" t="s">
        <v>17</v>
      </c>
      <c r="ET11" s="12">
        <v>28000</v>
      </c>
      <c r="EU11" s="1"/>
      <c r="EV11" s="1"/>
      <c r="EW11" s="1"/>
      <c r="EX11" s="1"/>
      <c r="EY11" s="1"/>
    </row>
    <row r="12" spans="1:155" ht="18" customHeight="1" x14ac:dyDescent="0.3">
      <c r="A12" s="32" t="str">
        <f>(SALES!$A:$A)</f>
        <v>Tuesday, 2 January 2024</v>
      </c>
      <c r="B12" s="1">
        <f>(SALES!$C:$C)</f>
        <v>11</v>
      </c>
      <c r="C12" s="1">
        <f>(SALES!$D:$D)</f>
        <v>1</v>
      </c>
      <c r="D12" s="1" t="str">
        <f>(SALES!$E:$E)</f>
        <v>DOG BONES</v>
      </c>
      <c r="E12" s="1">
        <f>(SALES!$F:$F)</f>
        <v>4000</v>
      </c>
      <c r="F12" s="1">
        <f>(SALES!$G:$G)</f>
        <v>4000</v>
      </c>
      <c r="H12" s="2">
        <f>(EXPENSES!$A:$A)</f>
        <v>45294</v>
      </c>
      <c r="I12" s="10">
        <f>(EXPENSES!$B:$B)</f>
        <v>10</v>
      </c>
      <c r="J12" s="10" t="str">
        <f>(EXPENSES!$C:$C)</f>
        <v>PAID FRANK</v>
      </c>
      <c r="K12" s="10">
        <f>(EXPENSES!$D:$D)</f>
        <v>31000</v>
      </c>
      <c r="T12" s="3"/>
      <c r="AZ12" s="3"/>
      <c r="CF12" s="3"/>
      <c r="DL12" s="3"/>
      <c r="EJ12" s="12"/>
      <c r="EK12" s="12"/>
      <c r="EM12" s="1" t="e">
        <f>(#REF!)</f>
        <v>#REF!</v>
      </c>
      <c r="EN12" s="9" t="e">
        <f>(#REF!)</f>
        <v>#REF!</v>
      </c>
      <c r="EO12" s="9" t="e">
        <f>(#REF!)</f>
        <v>#REF!</v>
      </c>
      <c r="EP12" s="9" t="e">
        <f>(#REF!)</f>
        <v>#REF!</v>
      </c>
      <c r="EQ12" s="12"/>
      <c r="ER12" s="1"/>
      <c r="ES12" s="12" t="s">
        <v>18</v>
      </c>
      <c r="ET12" s="12">
        <v>4000</v>
      </c>
      <c r="EU12" s="1"/>
      <c r="EV12" s="1"/>
      <c r="EW12" s="1"/>
      <c r="EX12" s="1"/>
      <c r="EY12" s="1"/>
    </row>
    <row r="13" spans="1:155" ht="18" customHeight="1" x14ac:dyDescent="0.3">
      <c r="A13" s="32" t="str">
        <f>(SALES!$A:$A)</f>
        <v>Tuesday, 2 January 2024</v>
      </c>
      <c r="B13" s="1">
        <f>(SALES!$C:$C)</f>
        <v>12</v>
      </c>
      <c r="C13" s="1">
        <f>(SALES!$D:$D)</f>
        <v>1.3</v>
      </c>
      <c r="D13" s="1" t="str">
        <f>(SALES!$E:$E)</f>
        <v>MATOOKE KGS</v>
      </c>
      <c r="E13" s="1">
        <f>(SALES!$F:$F)</f>
        <v>1500</v>
      </c>
      <c r="F13" s="1">
        <f>(SALES!$G:$G)</f>
        <v>1950</v>
      </c>
      <c r="H13" s="2">
        <f>(EXPENSES!$A:$A)</f>
        <v>45294</v>
      </c>
      <c r="I13" s="10">
        <f>(EXPENSES!$B:$B)</f>
        <v>9</v>
      </c>
      <c r="J13" s="10" t="str">
        <f>(EXPENSES!$C:$C)</f>
        <v>PAID HOME KLIN</v>
      </c>
      <c r="K13" s="10">
        <f>(EXPENSES!$D:$D)</f>
        <v>40000</v>
      </c>
      <c r="M13" s="47" t="s">
        <v>19</v>
      </c>
      <c r="N13" s="48"/>
      <c r="O13" s="48"/>
      <c r="P13" s="48"/>
      <c r="Q13" s="48"/>
      <c r="R13" s="48"/>
      <c r="S13" s="48"/>
      <c r="T13" s="48"/>
      <c r="U13" s="48"/>
      <c r="V13" s="48"/>
      <c r="W13" s="48"/>
      <c r="X13" s="48"/>
      <c r="Y13" s="48"/>
      <c r="Z13" s="48"/>
      <c r="AA13" s="48"/>
      <c r="AB13" s="48"/>
      <c r="AC13" s="48"/>
      <c r="AD13" s="48"/>
      <c r="AE13" s="48"/>
      <c r="AF13" s="48"/>
      <c r="AG13" s="48"/>
      <c r="AH13" s="48"/>
      <c r="AI13" s="48"/>
      <c r="AJ13" s="48"/>
      <c r="AK13" s="48"/>
      <c r="AL13" s="48"/>
      <c r="AM13" s="48"/>
      <c r="AN13" s="48"/>
      <c r="AO13" s="48"/>
      <c r="AP13" s="48"/>
      <c r="AQ13" s="49"/>
      <c r="AS13" s="47" t="s">
        <v>19</v>
      </c>
      <c r="AT13" s="48"/>
      <c r="AU13" s="48"/>
      <c r="AV13" s="48"/>
      <c r="AW13" s="48"/>
      <c r="AX13" s="48"/>
      <c r="AY13" s="48"/>
      <c r="AZ13" s="48"/>
      <c r="BA13" s="48"/>
      <c r="BB13" s="48"/>
      <c r="BC13" s="48"/>
      <c r="BD13" s="48"/>
      <c r="BE13" s="48"/>
      <c r="BF13" s="48"/>
      <c r="BG13" s="48"/>
      <c r="BH13" s="48"/>
      <c r="BI13" s="48"/>
      <c r="BJ13" s="48"/>
      <c r="BK13" s="48"/>
      <c r="BL13" s="48"/>
      <c r="BM13" s="48"/>
      <c r="BN13" s="48"/>
      <c r="BO13" s="48"/>
      <c r="BP13" s="48"/>
      <c r="BQ13" s="48"/>
      <c r="BR13" s="48"/>
      <c r="BS13" s="48"/>
      <c r="BT13" s="48"/>
      <c r="BU13" s="48"/>
      <c r="BV13" s="48"/>
      <c r="BW13" s="49"/>
      <c r="BY13" s="47" t="s">
        <v>19</v>
      </c>
      <c r="BZ13" s="48"/>
      <c r="CA13" s="48"/>
      <c r="CB13" s="48"/>
      <c r="CC13" s="48"/>
      <c r="CD13" s="48"/>
      <c r="CE13" s="48"/>
      <c r="CF13" s="48"/>
      <c r="CG13" s="48"/>
      <c r="CH13" s="48"/>
      <c r="CI13" s="48"/>
      <c r="CJ13" s="48"/>
      <c r="CK13" s="48"/>
      <c r="CL13" s="48"/>
      <c r="CM13" s="48"/>
      <c r="CN13" s="48"/>
      <c r="CO13" s="48"/>
      <c r="CP13" s="48"/>
      <c r="CQ13" s="48"/>
      <c r="CR13" s="48"/>
      <c r="CS13" s="48"/>
      <c r="CT13" s="48"/>
      <c r="CU13" s="48"/>
      <c r="CV13" s="48"/>
      <c r="CW13" s="48"/>
      <c r="CX13" s="48"/>
      <c r="CY13" s="48"/>
      <c r="CZ13" s="48"/>
      <c r="DA13" s="48"/>
      <c r="DB13" s="48"/>
      <c r="DC13" s="49"/>
      <c r="DE13" s="47" t="s">
        <v>19</v>
      </c>
      <c r="DF13" s="48"/>
      <c r="DG13" s="48"/>
      <c r="DH13" s="48"/>
      <c r="DI13" s="48"/>
      <c r="DJ13" s="48"/>
      <c r="DK13" s="48"/>
      <c r="DL13" s="48"/>
      <c r="DM13" s="48"/>
      <c r="DN13" s="48"/>
      <c r="DO13" s="48"/>
      <c r="DP13" s="48"/>
      <c r="DQ13" s="48"/>
      <c r="DR13" s="48"/>
      <c r="DS13" s="48"/>
      <c r="DT13" s="48"/>
      <c r="DU13" s="48"/>
      <c r="DV13" s="48"/>
      <c r="DW13" s="48"/>
      <c r="DX13" s="48"/>
      <c r="DY13" s="48"/>
      <c r="DZ13" s="48"/>
      <c r="EA13" s="48"/>
      <c r="EB13" s="48"/>
      <c r="EC13" s="48"/>
      <c r="ED13" s="48"/>
      <c r="EE13" s="48"/>
      <c r="EF13" s="48"/>
      <c r="EG13" s="48"/>
      <c r="EH13" s="48"/>
      <c r="EI13" s="49"/>
      <c r="EJ13" s="3"/>
      <c r="EK13" s="3"/>
      <c r="EM13" s="1" t="e">
        <f>(#REF!)</f>
        <v>#REF!</v>
      </c>
      <c r="EN13" s="9" t="e">
        <f>(#REF!)</f>
        <v>#REF!</v>
      </c>
      <c r="EO13" s="9" t="e">
        <f>(#REF!)</f>
        <v>#REF!</v>
      </c>
      <c r="EP13" s="9" t="e">
        <f>(#REF!)</f>
        <v>#REF!</v>
      </c>
      <c r="EQ13" s="12"/>
      <c r="ER13" s="1"/>
      <c r="ES13" s="10" t="s">
        <v>20</v>
      </c>
      <c r="ET13" s="4">
        <v>30000</v>
      </c>
      <c r="EU13" s="1"/>
      <c r="EV13" s="1"/>
      <c r="EW13" s="1"/>
      <c r="EX13" s="1"/>
      <c r="EY13" s="1"/>
    </row>
    <row r="14" spans="1:155" ht="18" customHeight="1" x14ac:dyDescent="0.3">
      <c r="A14" s="32" t="str">
        <f>(SALES!$A:$A)</f>
        <v>Tuesday, 2 January 2024</v>
      </c>
      <c r="B14" s="1">
        <f>(SALES!$C:$C)</f>
        <v>13</v>
      </c>
      <c r="C14" s="1">
        <f>(SALES!$D:$D)</f>
        <v>1</v>
      </c>
      <c r="D14" s="1" t="str">
        <f>(SALES!$E:$E)</f>
        <v>YELLOW YOLK EGGS</v>
      </c>
      <c r="E14" s="1">
        <f>(SALES!$F:$F)</f>
        <v>20000</v>
      </c>
      <c r="F14" s="1">
        <f>(SALES!$G:$G)</f>
        <v>20000</v>
      </c>
      <c r="H14" s="2">
        <f>(EXPENSES!$A:$A)</f>
        <v>45294</v>
      </c>
      <c r="I14" s="10">
        <f>(EXPENSES!$B:$B)</f>
        <v>11</v>
      </c>
      <c r="J14" s="10" t="str">
        <f>(EXPENSES!$C:$C)</f>
        <v>BOUGHT YAKA</v>
      </c>
      <c r="K14" s="10">
        <f>(EXPENSES!$D:$D)</f>
        <v>105000</v>
      </c>
      <c r="M14" s="3" t="e">
        <f>TEXT(WEEKDAY(DATE(CalendarYear,3,1),1),"aaa")</f>
        <v>#REF!</v>
      </c>
      <c r="N14" s="3" t="e">
        <f>TEXT(WEEKDAY(DATE(CalendarYear,3,2),1),"aaa")</f>
        <v>#REF!</v>
      </c>
      <c r="O14" s="3" t="e">
        <f>TEXT(WEEKDAY(DATE(CalendarYear,3,3),1),"aaa")</f>
        <v>#REF!</v>
      </c>
      <c r="P14" s="3" t="e">
        <f>TEXT(WEEKDAY(DATE(CalendarYear,3,4),1),"aaa")</f>
        <v>#REF!</v>
      </c>
      <c r="Q14" s="3" t="e">
        <f>TEXT(WEEKDAY(DATE(CalendarYear,3,5),1),"aaa")</f>
        <v>#REF!</v>
      </c>
      <c r="R14" s="3" t="e">
        <f>TEXT(WEEKDAY(DATE(CalendarYear,3,6),1),"aaa")</f>
        <v>#REF!</v>
      </c>
      <c r="S14" s="3" t="e">
        <f>TEXT(WEEKDAY(DATE(CalendarYear,3,7),1),"aaa")</f>
        <v>#REF!</v>
      </c>
      <c r="T14" s="3" t="e">
        <f>TEXT(WEEKDAY(DATE(CalendarYear,3,8),1),"aaa")</f>
        <v>#REF!</v>
      </c>
      <c r="U14" s="3" t="e">
        <f>TEXT(WEEKDAY(DATE(CalendarYear,3,9),1),"aaa")</f>
        <v>#REF!</v>
      </c>
      <c r="V14" s="3" t="e">
        <f>TEXT(WEEKDAY(DATE(CalendarYear,3,10),1),"aaa")</f>
        <v>#REF!</v>
      </c>
      <c r="W14" s="3" t="e">
        <f>TEXT(WEEKDAY(DATE(CalendarYear,3,11),1),"aaa")</f>
        <v>#REF!</v>
      </c>
      <c r="X14" s="3" t="e">
        <f>TEXT(WEEKDAY(DATE(CalendarYear,3,12),1),"aaa")</f>
        <v>#REF!</v>
      </c>
      <c r="Y14" s="3" t="e">
        <f>TEXT(WEEKDAY(DATE(CalendarYear,3,13),1),"aaa")</f>
        <v>#REF!</v>
      </c>
      <c r="Z14" s="3" t="e">
        <f>TEXT(WEEKDAY(DATE(CalendarYear,3,14),1),"aaa")</f>
        <v>#REF!</v>
      </c>
      <c r="AA14" s="3" t="e">
        <f>TEXT(WEEKDAY(DATE(CalendarYear,3,15),1),"aaa")</f>
        <v>#REF!</v>
      </c>
      <c r="AB14" s="3" t="e">
        <f>TEXT(WEEKDAY(DATE(CalendarYear,3,16),1),"aaa")</f>
        <v>#REF!</v>
      </c>
      <c r="AC14" s="3" t="e">
        <f>TEXT(WEEKDAY(DATE(CalendarYear,3,17),1),"aaa")</f>
        <v>#REF!</v>
      </c>
      <c r="AD14" s="3" t="e">
        <f>TEXT(WEEKDAY(DATE(CalendarYear,3,18),1),"aaa")</f>
        <v>#REF!</v>
      </c>
      <c r="AE14" s="3" t="e">
        <f>TEXT(WEEKDAY(DATE(CalendarYear,3,19),1),"aaa")</f>
        <v>#REF!</v>
      </c>
      <c r="AF14" s="3" t="e">
        <f>TEXT(WEEKDAY(DATE(CalendarYear,3,20),1),"aaa")</f>
        <v>#REF!</v>
      </c>
      <c r="AG14" s="3" t="e">
        <f>TEXT(WEEKDAY(DATE(CalendarYear,3,21),1),"aaa")</f>
        <v>#REF!</v>
      </c>
      <c r="AH14" s="3" t="e">
        <f>TEXT(WEEKDAY(DATE(CalendarYear,3,22),1),"aaa")</f>
        <v>#REF!</v>
      </c>
      <c r="AI14" s="3" t="e">
        <f>TEXT(WEEKDAY(DATE(CalendarYear,3,23),1),"aaa")</f>
        <v>#REF!</v>
      </c>
      <c r="AJ14" s="3" t="e">
        <f>TEXT(WEEKDAY(DATE(CalendarYear,3,24),1),"aaa")</f>
        <v>#REF!</v>
      </c>
      <c r="AK14" s="3" t="e">
        <f>TEXT(WEEKDAY(DATE(CalendarYear,3,25),1),"aaa")</f>
        <v>#REF!</v>
      </c>
      <c r="AL14" s="3" t="e">
        <f>TEXT(WEEKDAY(DATE(CalendarYear,3,26),1),"aaa")</f>
        <v>#REF!</v>
      </c>
      <c r="AM14" s="3" t="e">
        <f>TEXT(WEEKDAY(DATE(CalendarYear,3,27),1),"aaa")</f>
        <v>#REF!</v>
      </c>
      <c r="AN14" s="3" t="e">
        <f>TEXT(WEEKDAY(DATE(CalendarYear,3,28),1),"aaa")</f>
        <v>#REF!</v>
      </c>
      <c r="AO14" s="3" t="e">
        <f>TEXT(WEEKDAY(DATE(CalendarYear,3,29),1),"aaa")</f>
        <v>#REF!</v>
      </c>
      <c r="AP14" s="3" t="e">
        <f>TEXT(WEEKDAY(DATE(CalendarYear,3,30),1),"aaa")</f>
        <v>#REF!</v>
      </c>
      <c r="AQ14" s="3" t="e">
        <f>TEXT(WEEKDAY(DATE(CalendarYear,3,31),1),"aaa")</f>
        <v>#REF!</v>
      </c>
      <c r="AS14" s="3" t="e">
        <f>TEXT(WEEKDAY(DATE(CalendarYear,3,1),1),"aaa")</f>
        <v>#REF!</v>
      </c>
      <c r="AT14" s="3" t="e">
        <f>TEXT(WEEKDAY(DATE(CalendarYear,3,2),1),"aaa")</f>
        <v>#REF!</v>
      </c>
      <c r="AU14" s="3" t="e">
        <f>TEXT(WEEKDAY(DATE(CalendarYear,3,3),1),"aaa")</f>
        <v>#REF!</v>
      </c>
      <c r="AV14" s="3" t="e">
        <f>TEXT(WEEKDAY(DATE(CalendarYear,3,4),1),"aaa")</f>
        <v>#REF!</v>
      </c>
      <c r="AW14" s="3" t="e">
        <f>TEXT(WEEKDAY(DATE(CalendarYear,3,5),1),"aaa")</f>
        <v>#REF!</v>
      </c>
      <c r="AX14" s="3" t="e">
        <f>TEXT(WEEKDAY(DATE(CalendarYear,3,6),1),"aaa")</f>
        <v>#REF!</v>
      </c>
      <c r="AY14" s="3" t="e">
        <f>TEXT(WEEKDAY(DATE(CalendarYear,3,7),1),"aaa")</f>
        <v>#REF!</v>
      </c>
      <c r="AZ14" s="3" t="e">
        <f>TEXT(WEEKDAY(DATE(CalendarYear,3,8),1),"aaa")</f>
        <v>#REF!</v>
      </c>
      <c r="BA14" s="3" t="e">
        <f>TEXT(WEEKDAY(DATE(CalendarYear,3,9),1),"aaa")</f>
        <v>#REF!</v>
      </c>
      <c r="BB14" s="3" t="e">
        <f>TEXT(WEEKDAY(DATE(CalendarYear,3,10),1),"aaa")</f>
        <v>#REF!</v>
      </c>
      <c r="BC14" s="3" t="e">
        <f>TEXT(WEEKDAY(DATE(CalendarYear,3,11),1),"aaa")</f>
        <v>#REF!</v>
      </c>
      <c r="BD14" s="3" t="e">
        <f>TEXT(WEEKDAY(DATE(CalendarYear,3,12),1),"aaa")</f>
        <v>#REF!</v>
      </c>
      <c r="BE14" s="3" t="e">
        <f>TEXT(WEEKDAY(DATE(CalendarYear,3,13),1),"aaa")</f>
        <v>#REF!</v>
      </c>
      <c r="BF14" s="3" t="e">
        <f>TEXT(WEEKDAY(DATE(CalendarYear,3,14),1),"aaa")</f>
        <v>#REF!</v>
      </c>
      <c r="BG14" s="3" t="e">
        <f>TEXT(WEEKDAY(DATE(CalendarYear,3,15),1),"aaa")</f>
        <v>#REF!</v>
      </c>
      <c r="BH14" s="3" t="e">
        <f>TEXT(WEEKDAY(DATE(CalendarYear,3,16),1),"aaa")</f>
        <v>#REF!</v>
      </c>
      <c r="BI14" s="3" t="e">
        <f>TEXT(WEEKDAY(DATE(CalendarYear,3,17),1),"aaa")</f>
        <v>#REF!</v>
      </c>
      <c r="BJ14" s="3" t="e">
        <f>TEXT(WEEKDAY(DATE(CalendarYear,3,18),1),"aaa")</f>
        <v>#REF!</v>
      </c>
      <c r="BK14" s="3" t="e">
        <f>TEXT(WEEKDAY(DATE(CalendarYear,3,19),1),"aaa")</f>
        <v>#REF!</v>
      </c>
      <c r="BL14" s="3" t="e">
        <f>TEXT(WEEKDAY(DATE(CalendarYear,3,20),1),"aaa")</f>
        <v>#REF!</v>
      </c>
      <c r="BM14" s="3" t="e">
        <f>TEXT(WEEKDAY(DATE(CalendarYear,3,21),1),"aaa")</f>
        <v>#REF!</v>
      </c>
      <c r="BN14" s="3" t="e">
        <f>TEXT(WEEKDAY(DATE(CalendarYear,3,22),1),"aaa")</f>
        <v>#REF!</v>
      </c>
      <c r="BO14" s="3" t="e">
        <f>TEXT(WEEKDAY(DATE(CalendarYear,3,23),1),"aaa")</f>
        <v>#REF!</v>
      </c>
      <c r="BP14" s="3" t="e">
        <f>TEXT(WEEKDAY(DATE(CalendarYear,3,24),1),"aaa")</f>
        <v>#REF!</v>
      </c>
      <c r="BQ14" s="3" t="e">
        <f>TEXT(WEEKDAY(DATE(CalendarYear,3,25),1),"aaa")</f>
        <v>#REF!</v>
      </c>
      <c r="BR14" s="3" t="e">
        <f>TEXT(WEEKDAY(DATE(CalendarYear,3,26),1),"aaa")</f>
        <v>#REF!</v>
      </c>
      <c r="BS14" s="3" t="e">
        <f>TEXT(WEEKDAY(DATE(CalendarYear,3,27),1),"aaa")</f>
        <v>#REF!</v>
      </c>
      <c r="BT14" s="3" t="e">
        <f>TEXT(WEEKDAY(DATE(CalendarYear,3,28),1),"aaa")</f>
        <v>#REF!</v>
      </c>
      <c r="BU14" s="3" t="e">
        <f>TEXT(WEEKDAY(DATE(CalendarYear,3,29),1),"aaa")</f>
        <v>#REF!</v>
      </c>
      <c r="BV14" s="3" t="e">
        <f>TEXT(WEEKDAY(DATE(CalendarYear,3,30),1),"aaa")</f>
        <v>#REF!</v>
      </c>
      <c r="BW14" s="3" t="e">
        <f>TEXT(WEEKDAY(DATE(CalendarYear,3,31),1),"aaa")</f>
        <v>#REF!</v>
      </c>
      <c r="BY14" s="3" t="e">
        <f>TEXT(WEEKDAY(DATE(CalendarYear,3,1),1),"aaa")</f>
        <v>#REF!</v>
      </c>
      <c r="BZ14" s="3" t="e">
        <f>TEXT(WEEKDAY(DATE(CalendarYear,3,2),1),"aaa")</f>
        <v>#REF!</v>
      </c>
      <c r="CA14" s="3" t="e">
        <f>TEXT(WEEKDAY(DATE(CalendarYear,3,3),1),"aaa")</f>
        <v>#REF!</v>
      </c>
      <c r="CB14" s="3" t="e">
        <f>TEXT(WEEKDAY(DATE(CalendarYear,3,4),1),"aaa")</f>
        <v>#REF!</v>
      </c>
      <c r="CC14" s="3" t="e">
        <f>TEXT(WEEKDAY(DATE(CalendarYear,3,5),1),"aaa")</f>
        <v>#REF!</v>
      </c>
      <c r="CD14" s="3" t="e">
        <f>TEXT(WEEKDAY(DATE(CalendarYear,3,6),1),"aaa")</f>
        <v>#REF!</v>
      </c>
      <c r="CE14" s="3" t="e">
        <f>TEXT(WEEKDAY(DATE(CalendarYear,3,7),1),"aaa")</f>
        <v>#REF!</v>
      </c>
      <c r="CF14" s="3" t="e">
        <f>TEXT(WEEKDAY(DATE(CalendarYear,3,8),1),"aaa")</f>
        <v>#REF!</v>
      </c>
      <c r="CG14" s="3" t="e">
        <f>TEXT(WEEKDAY(DATE(CalendarYear,3,9),1),"aaa")</f>
        <v>#REF!</v>
      </c>
      <c r="CH14" s="3" t="e">
        <f>TEXT(WEEKDAY(DATE(CalendarYear,3,10),1),"aaa")</f>
        <v>#REF!</v>
      </c>
      <c r="CI14" s="3" t="e">
        <f>TEXT(WEEKDAY(DATE(CalendarYear,3,11),1),"aaa")</f>
        <v>#REF!</v>
      </c>
      <c r="CJ14" s="3" t="e">
        <f>TEXT(WEEKDAY(DATE(CalendarYear,3,12),1),"aaa")</f>
        <v>#REF!</v>
      </c>
      <c r="CK14" s="3" t="e">
        <f>TEXT(WEEKDAY(DATE(CalendarYear,3,13),1),"aaa")</f>
        <v>#REF!</v>
      </c>
      <c r="CL14" s="3" t="e">
        <f>TEXT(WEEKDAY(DATE(CalendarYear,3,14),1),"aaa")</f>
        <v>#REF!</v>
      </c>
      <c r="CM14" s="3" t="e">
        <f>TEXT(WEEKDAY(DATE(CalendarYear,3,15),1),"aaa")</f>
        <v>#REF!</v>
      </c>
      <c r="CN14" s="3" t="e">
        <f>TEXT(WEEKDAY(DATE(CalendarYear,3,16),1),"aaa")</f>
        <v>#REF!</v>
      </c>
      <c r="CO14" s="3" t="e">
        <f>TEXT(WEEKDAY(DATE(CalendarYear,3,17),1),"aaa")</f>
        <v>#REF!</v>
      </c>
      <c r="CP14" s="3" t="e">
        <f>TEXT(WEEKDAY(DATE(CalendarYear,3,18),1),"aaa")</f>
        <v>#REF!</v>
      </c>
      <c r="CQ14" s="3" t="e">
        <f>TEXT(WEEKDAY(DATE(CalendarYear,3,19),1),"aaa")</f>
        <v>#REF!</v>
      </c>
      <c r="CR14" s="3" t="e">
        <f>TEXT(WEEKDAY(DATE(CalendarYear,3,20),1),"aaa")</f>
        <v>#REF!</v>
      </c>
      <c r="CS14" s="3" t="e">
        <f>TEXT(WEEKDAY(DATE(CalendarYear,3,21),1),"aaa")</f>
        <v>#REF!</v>
      </c>
      <c r="CT14" s="3" t="e">
        <f>TEXT(WEEKDAY(DATE(CalendarYear,3,22),1),"aaa")</f>
        <v>#REF!</v>
      </c>
      <c r="CU14" s="3" t="e">
        <f>TEXT(WEEKDAY(DATE(CalendarYear,3,23),1),"aaa")</f>
        <v>#REF!</v>
      </c>
      <c r="CV14" s="3" t="e">
        <f>TEXT(WEEKDAY(DATE(CalendarYear,3,24),1),"aaa")</f>
        <v>#REF!</v>
      </c>
      <c r="CW14" s="3" t="e">
        <f>TEXT(WEEKDAY(DATE(CalendarYear,3,25),1),"aaa")</f>
        <v>#REF!</v>
      </c>
      <c r="CX14" s="3" t="e">
        <f>TEXT(WEEKDAY(DATE(CalendarYear,3,26),1),"aaa")</f>
        <v>#REF!</v>
      </c>
      <c r="CY14" s="3" t="e">
        <f>TEXT(WEEKDAY(DATE(CalendarYear,3,27),1),"aaa")</f>
        <v>#REF!</v>
      </c>
      <c r="CZ14" s="3" t="e">
        <f>TEXT(WEEKDAY(DATE(CalendarYear,3,28),1),"aaa")</f>
        <v>#REF!</v>
      </c>
      <c r="DA14" s="3" t="e">
        <f>TEXT(WEEKDAY(DATE(CalendarYear,3,29),1),"aaa")</f>
        <v>#REF!</v>
      </c>
      <c r="DB14" s="3" t="e">
        <f>TEXT(WEEKDAY(DATE(CalendarYear,3,30),1),"aaa")</f>
        <v>#REF!</v>
      </c>
      <c r="DC14" s="3" t="e">
        <f>TEXT(WEEKDAY(DATE(CalendarYear,3,31),1),"aaa")</f>
        <v>#REF!</v>
      </c>
      <c r="DE14" s="3" t="e">
        <f>TEXT(WEEKDAY(DATE(CalendarYear,3,1),1),"aaa")</f>
        <v>#REF!</v>
      </c>
      <c r="DF14" s="3" t="e">
        <f>TEXT(WEEKDAY(DATE(CalendarYear,3,2),1),"aaa")</f>
        <v>#REF!</v>
      </c>
      <c r="DG14" s="3" t="e">
        <f>TEXT(WEEKDAY(DATE(CalendarYear,3,3),1),"aaa")</f>
        <v>#REF!</v>
      </c>
      <c r="DH14" s="3" t="e">
        <f>TEXT(WEEKDAY(DATE(CalendarYear,3,4),1),"aaa")</f>
        <v>#REF!</v>
      </c>
      <c r="DI14" s="3" t="e">
        <f>TEXT(WEEKDAY(DATE(CalendarYear,3,5),1),"aaa")</f>
        <v>#REF!</v>
      </c>
      <c r="DJ14" s="3" t="e">
        <f>TEXT(WEEKDAY(DATE(CalendarYear,3,6),1),"aaa")</f>
        <v>#REF!</v>
      </c>
      <c r="DK14" s="3" t="e">
        <f>TEXT(WEEKDAY(DATE(CalendarYear,3,7),1),"aaa")</f>
        <v>#REF!</v>
      </c>
      <c r="DL14" s="3" t="e">
        <f>TEXT(WEEKDAY(DATE(CalendarYear,3,8),1),"aaa")</f>
        <v>#REF!</v>
      </c>
      <c r="DM14" s="3" t="e">
        <f>TEXT(WEEKDAY(DATE(CalendarYear,3,9),1),"aaa")</f>
        <v>#REF!</v>
      </c>
      <c r="DN14" s="3" t="e">
        <f>TEXT(WEEKDAY(DATE(CalendarYear,3,10),1),"aaa")</f>
        <v>#REF!</v>
      </c>
      <c r="DO14" s="3" t="e">
        <f>TEXT(WEEKDAY(DATE(CalendarYear,3,11),1),"aaa")</f>
        <v>#REF!</v>
      </c>
      <c r="DP14" s="3" t="e">
        <f>TEXT(WEEKDAY(DATE(CalendarYear,3,12),1),"aaa")</f>
        <v>#REF!</v>
      </c>
      <c r="DQ14" s="3" t="e">
        <f>TEXT(WEEKDAY(DATE(CalendarYear,3,13),1),"aaa")</f>
        <v>#REF!</v>
      </c>
      <c r="DR14" s="3" t="e">
        <f>TEXT(WEEKDAY(DATE(CalendarYear,3,14),1),"aaa")</f>
        <v>#REF!</v>
      </c>
      <c r="DS14" s="3" t="e">
        <f>TEXT(WEEKDAY(DATE(CalendarYear,3,15),1),"aaa")</f>
        <v>#REF!</v>
      </c>
      <c r="DT14" s="3" t="e">
        <f>TEXT(WEEKDAY(DATE(CalendarYear,3,16),1),"aaa")</f>
        <v>#REF!</v>
      </c>
      <c r="DU14" s="3" t="e">
        <f>TEXT(WEEKDAY(DATE(CalendarYear,3,17),1),"aaa")</f>
        <v>#REF!</v>
      </c>
      <c r="DV14" s="3" t="e">
        <f>TEXT(WEEKDAY(DATE(CalendarYear,3,18),1),"aaa")</f>
        <v>#REF!</v>
      </c>
      <c r="DW14" s="3" t="e">
        <f>TEXT(WEEKDAY(DATE(CalendarYear,3,19),1),"aaa")</f>
        <v>#REF!</v>
      </c>
      <c r="DX14" s="3" t="e">
        <f>TEXT(WEEKDAY(DATE(CalendarYear,3,20),1),"aaa")</f>
        <v>#REF!</v>
      </c>
      <c r="DY14" s="3" t="e">
        <f>TEXT(WEEKDAY(DATE(CalendarYear,3,21),1),"aaa")</f>
        <v>#REF!</v>
      </c>
      <c r="DZ14" s="3" t="e">
        <f>TEXT(WEEKDAY(DATE(CalendarYear,3,22),1),"aaa")</f>
        <v>#REF!</v>
      </c>
      <c r="EA14" s="3" t="e">
        <f>TEXT(WEEKDAY(DATE(CalendarYear,3,23),1),"aaa")</f>
        <v>#REF!</v>
      </c>
      <c r="EB14" s="3" t="e">
        <f>TEXT(WEEKDAY(DATE(CalendarYear,3,24),1),"aaa")</f>
        <v>#REF!</v>
      </c>
      <c r="EC14" s="3" t="e">
        <f>TEXT(WEEKDAY(DATE(CalendarYear,3,25),1),"aaa")</f>
        <v>#REF!</v>
      </c>
      <c r="ED14" s="3" t="e">
        <f>TEXT(WEEKDAY(DATE(CalendarYear,3,26),1),"aaa")</f>
        <v>#REF!</v>
      </c>
      <c r="EE14" s="3" t="e">
        <f>TEXT(WEEKDAY(DATE(CalendarYear,3,27),1),"aaa")</f>
        <v>#REF!</v>
      </c>
      <c r="EF14" s="3" t="e">
        <f>TEXT(WEEKDAY(DATE(CalendarYear,3,28),1),"aaa")</f>
        <v>#REF!</v>
      </c>
      <c r="EG14" s="3" t="e">
        <f>TEXT(WEEKDAY(DATE(CalendarYear,3,29),1),"aaa")</f>
        <v>#REF!</v>
      </c>
      <c r="EH14" s="3" t="e">
        <f>TEXT(WEEKDAY(DATE(CalendarYear,3,30),1),"aaa")</f>
        <v>#REF!</v>
      </c>
      <c r="EI14" s="3" t="e">
        <f>TEXT(WEEKDAY(DATE(CalendarYear,3,31),1),"aaa")</f>
        <v>#REF!</v>
      </c>
      <c r="EJ14" s="2"/>
      <c r="EK14" s="2"/>
      <c r="EM14" s="1" t="e">
        <f>(#REF!)</f>
        <v>#REF!</v>
      </c>
      <c r="EN14" s="9" t="e">
        <f>(#REF!)</f>
        <v>#REF!</v>
      </c>
      <c r="EO14" s="9" t="e">
        <f>(#REF!)</f>
        <v>#REF!</v>
      </c>
      <c r="EP14" s="9" t="e">
        <f>(#REF!)</f>
        <v>#REF!</v>
      </c>
      <c r="EQ14" s="12"/>
      <c r="ER14" s="1"/>
      <c r="ES14" s="12" t="s">
        <v>20</v>
      </c>
      <c r="ET14" s="10">
        <f>IF($D:$D="MATOOKE KGS", 1500, IF($D:$D="SAUSAGES", 30000,  IF($D:$D="TOMATOES", 3000,  IF($D:$D="CHICKEN", 30000, IF($D:$D="LOCAL EGGS", 25000,  IF($D:$D="IRISH", 3000, IF($D:$D="MILK", 2000, IF($D:$D="ONIONS", 6000, IF($D:$D="YELLOW YOLK EGGS", 20000, IF($D:$D="AVOCADO", 1000, IF($D:$D="BEEF", 16000, IF($D:$D="PLAIN YOGHURT", 4000, ""))))))))))))</f>
        <v>20000</v>
      </c>
      <c r="EU14" s="1"/>
      <c r="EV14" s="1"/>
      <c r="EW14" s="1"/>
      <c r="EX14" s="1"/>
      <c r="EY14" s="1"/>
    </row>
    <row r="15" spans="1:155" ht="18" customHeight="1" x14ac:dyDescent="0.3">
      <c r="A15" s="32" t="str">
        <f>(SALES!$A:$A)</f>
        <v>Tuesday, 2 January 2024</v>
      </c>
      <c r="B15" s="1">
        <f>(SALES!$C:$C)</f>
        <v>14</v>
      </c>
      <c r="C15" s="1">
        <f>(SALES!$D:$D)</f>
        <v>1</v>
      </c>
      <c r="D15" s="1" t="str">
        <f>(SALES!$E:$E)</f>
        <v>YELLOW YOLK EGGS</v>
      </c>
      <c r="E15" s="1">
        <f>(SALES!$F:$F)</f>
        <v>20000</v>
      </c>
      <c r="F15" s="1">
        <f>(SALES!$G:$G)</f>
        <v>20000</v>
      </c>
      <c r="H15" s="2">
        <f>(EXPENSES!$A:$A)</f>
        <v>45295</v>
      </c>
      <c r="I15" s="10">
        <f>(EXPENSES!$B:$B)</f>
        <v>2</v>
      </c>
      <c r="J15" s="10" t="str">
        <f>(EXPENSES!$C:$C)</f>
        <v>BOUGHT ONIONS</v>
      </c>
      <c r="K15" s="10">
        <f>(EXPENSES!$D:$D)</f>
        <v>2000</v>
      </c>
      <c r="M15" s="2">
        <v>45352</v>
      </c>
      <c r="N15" s="2">
        <v>45353</v>
      </c>
      <c r="O15" s="2">
        <v>45354</v>
      </c>
      <c r="P15" s="2">
        <v>45355</v>
      </c>
      <c r="Q15" s="2">
        <v>45356</v>
      </c>
      <c r="R15" s="2">
        <v>45357</v>
      </c>
      <c r="S15" s="2">
        <v>45358</v>
      </c>
      <c r="T15" s="2">
        <v>45359</v>
      </c>
      <c r="U15" s="2">
        <v>45360</v>
      </c>
      <c r="V15" s="2">
        <v>45361</v>
      </c>
      <c r="W15" s="2">
        <v>45362</v>
      </c>
      <c r="X15" s="2">
        <v>45363</v>
      </c>
      <c r="Y15" s="2">
        <v>45364</v>
      </c>
      <c r="Z15" s="2">
        <v>45365</v>
      </c>
      <c r="AA15" s="2">
        <v>45366</v>
      </c>
      <c r="AB15" s="2">
        <v>45367</v>
      </c>
      <c r="AC15" s="2">
        <v>45368</v>
      </c>
      <c r="AD15" s="2">
        <v>45369</v>
      </c>
      <c r="AE15" s="2">
        <v>45370</v>
      </c>
      <c r="AF15" s="2">
        <v>45371</v>
      </c>
      <c r="AG15" s="2">
        <v>45372</v>
      </c>
      <c r="AH15" s="2">
        <v>45373</v>
      </c>
      <c r="AI15" s="2">
        <v>45374</v>
      </c>
      <c r="AJ15" s="2">
        <v>45375</v>
      </c>
      <c r="AK15" s="2">
        <v>45376</v>
      </c>
      <c r="AL15" s="2">
        <v>45377</v>
      </c>
      <c r="AM15" s="2">
        <v>45378</v>
      </c>
      <c r="AN15" s="2">
        <v>45379</v>
      </c>
      <c r="AO15" s="2">
        <v>45380</v>
      </c>
      <c r="AP15" s="2">
        <v>45381</v>
      </c>
      <c r="AQ15" s="2">
        <v>45382</v>
      </c>
      <c r="AS15" s="2">
        <v>45352</v>
      </c>
      <c r="AT15" s="2">
        <v>45353</v>
      </c>
      <c r="AU15" s="2">
        <v>45354</v>
      </c>
      <c r="AV15" s="2">
        <v>45355</v>
      </c>
      <c r="AW15" s="2">
        <v>45356</v>
      </c>
      <c r="AX15" s="2">
        <v>45357</v>
      </c>
      <c r="AY15" s="2">
        <v>45358</v>
      </c>
      <c r="AZ15" s="2">
        <v>45359</v>
      </c>
      <c r="BA15" s="2">
        <v>45360</v>
      </c>
      <c r="BB15" s="2">
        <v>45361</v>
      </c>
      <c r="BC15" s="2">
        <v>45362</v>
      </c>
      <c r="BD15" s="2">
        <v>45363</v>
      </c>
      <c r="BE15" s="2">
        <v>45364</v>
      </c>
      <c r="BF15" s="2">
        <v>45365</v>
      </c>
      <c r="BG15" s="2">
        <v>45366</v>
      </c>
      <c r="BH15" s="2">
        <v>45367</v>
      </c>
      <c r="BI15" s="2">
        <v>45368</v>
      </c>
      <c r="BJ15" s="2">
        <v>45369</v>
      </c>
      <c r="BK15" s="2">
        <v>45370</v>
      </c>
      <c r="BL15" s="2">
        <v>45371</v>
      </c>
      <c r="BM15" s="2">
        <v>45372</v>
      </c>
      <c r="BN15" s="2">
        <v>45373</v>
      </c>
      <c r="BO15" s="2">
        <v>45374</v>
      </c>
      <c r="BP15" s="2">
        <v>45375</v>
      </c>
      <c r="BQ15" s="2">
        <v>45376</v>
      </c>
      <c r="BR15" s="2">
        <v>45377</v>
      </c>
      <c r="BS15" s="2">
        <v>45378</v>
      </c>
      <c r="BT15" s="2">
        <v>45379</v>
      </c>
      <c r="BU15" s="2">
        <v>45380</v>
      </c>
      <c r="BV15" s="2">
        <v>45381</v>
      </c>
      <c r="BW15" s="2">
        <v>45382</v>
      </c>
      <c r="BY15" s="2">
        <v>45352</v>
      </c>
      <c r="BZ15" s="2">
        <v>45353</v>
      </c>
      <c r="CA15" s="2">
        <v>45354</v>
      </c>
      <c r="CB15" s="2">
        <v>45355</v>
      </c>
      <c r="CC15" s="2">
        <v>45356</v>
      </c>
      <c r="CD15" s="2">
        <v>45357</v>
      </c>
      <c r="CE15" s="2">
        <v>45358</v>
      </c>
      <c r="CF15" s="2">
        <v>45359</v>
      </c>
      <c r="CG15" s="2">
        <v>45360</v>
      </c>
      <c r="CH15" s="2">
        <v>45361</v>
      </c>
      <c r="CI15" s="2">
        <v>45362</v>
      </c>
      <c r="CJ15" s="2">
        <v>45363</v>
      </c>
      <c r="CK15" s="2">
        <v>45364</v>
      </c>
      <c r="CL15" s="2">
        <v>45365</v>
      </c>
      <c r="CM15" s="2">
        <v>45366</v>
      </c>
      <c r="CN15" s="2">
        <v>45367</v>
      </c>
      <c r="CO15" s="2">
        <v>45368</v>
      </c>
      <c r="CP15" s="2">
        <v>45369</v>
      </c>
      <c r="CQ15" s="2">
        <v>45370</v>
      </c>
      <c r="CR15" s="2">
        <v>45371</v>
      </c>
      <c r="CS15" s="2">
        <v>45372</v>
      </c>
      <c r="CT15" s="2">
        <v>45373</v>
      </c>
      <c r="CU15" s="2">
        <v>45374</v>
      </c>
      <c r="CV15" s="2">
        <v>45375</v>
      </c>
      <c r="CW15" s="2">
        <v>45376</v>
      </c>
      <c r="CX15" s="2">
        <v>45377</v>
      </c>
      <c r="CY15" s="2">
        <v>45378</v>
      </c>
      <c r="CZ15" s="2">
        <v>45379</v>
      </c>
      <c r="DA15" s="2">
        <v>45380</v>
      </c>
      <c r="DB15" s="2">
        <v>45381</v>
      </c>
      <c r="DC15" s="2">
        <v>45382</v>
      </c>
      <c r="DE15" s="2">
        <v>45352</v>
      </c>
      <c r="DF15" s="2">
        <v>45353</v>
      </c>
      <c r="DG15" s="2">
        <v>45354</v>
      </c>
      <c r="DH15" s="2">
        <v>45355</v>
      </c>
      <c r="DI15" s="2">
        <v>45356</v>
      </c>
      <c r="DJ15" s="2">
        <v>45357</v>
      </c>
      <c r="DK15" s="2">
        <v>45358</v>
      </c>
      <c r="DL15" s="2">
        <v>45359</v>
      </c>
      <c r="DM15" s="2">
        <v>45360</v>
      </c>
      <c r="DN15" s="2">
        <v>45361</v>
      </c>
      <c r="DO15" s="2">
        <v>45362</v>
      </c>
      <c r="DP15" s="2">
        <v>45363</v>
      </c>
      <c r="DQ15" s="2">
        <v>45364</v>
      </c>
      <c r="DR15" s="2">
        <v>45365</v>
      </c>
      <c r="DS15" s="2">
        <v>45366</v>
      </c>
      <c r="DT15" s="2">
        <v>45367</v>
      </c>
      <c r="DU15" s="2">
        <v>45368</v>
      </c>
      <c r="DV15" s="2">
        <v>45369</v>
      </c>
      <c r="DW15" s="2">
        <v>45370</v>
      </c>
      <c r="DX15" s="2">
        <v>45371</v>
      </c>
      <c r="DY15" s="2">
        <v>45372</v>
      </c>
      <c r="DZ15" s="2">
        <v>45373</v>
      </c>
      <c r="EA15" s="2">
        <v>45374</v>
      </c>
      <c r="EB15" s="2">
        <v>45375</v>
      </c>
      <c r="EC15" s="2">
        <v>45376</v>
      </c>
      <c r="ED15" s="2">
        <v>45377</v>
      </c>
      <c r="EE15" s="2">
        <v>45378</v>
      </c>
      <c r="EF15" s="2">
        <v>45379</v>
      </c>
      <c r="EG15" s="2">
        <v>45380</v>
      </c>
      <c r="EH15" s="2">
        <v>45381</v>
      </c>
      <c r="EI15" s="2">
        <v>45382</v>
      </c>
      <c r="EJ15" s="3"/>
      <c r="EK15" s="3"/>
      <c r="EM15" s="1" t="e">
        <f>(#REF!)</f>
        <v>#REF!</v>
      </c>
      <c r="EN15" s="9" t="e">
        <f>(#REF!)</f>
        <v>#REF!</v>
      </c>
      <c r="EO15" s="9" t="e">
        <f>(#REF!)</f>
        <v>#REF!</v>
      </c>
      <c r="EP15" s="9" t="e">
        <f>(#REF!)</f>
        <v>#REF!</v>
      </c>
      <c r="EQ15" s="12"/>
      <c r="ER15" s="1"/>
      <c r="ES15" s="12" t="s">
        <v>21</v>
      </c>
      <c r="ET15" s="12">
        <v>4000</v>
      </c>
      <c r="EU15" s="1"/>
      <c r="EV15" s="1"/>
      <c r="EW15" s="1"/>
      <c r="EX15" s="1"/>
      <c r="EY15" s="1"/>
    </row>
    <row r="16" spans="1:155" ht="18" customHeight="1" x14ac:dyDescent="0.3">
      <c r="A16" s="32" t="str">
        <f>(SALES!$A:$A)</f>
        <v>Tuesday, 2 January 2024</v>
      </c>
      <c r="B16" s="1">
        <f>(SALES!$C:$C)</f>
        <v>15</v>
      </c>
      <c r="C16" s="1">
        <f>(SALES!$D:$D)</f>
        <v>1</v>
      </c>
      <c r="D16" s="1" t="str">
        <f>(SALES!$E:$E)</f>
        <v>LOCAL EGGS</v>
      </c>
      <c r="E16" s="1">
        <f>(SALES!$F:$F)</f>
        <v>25000</v>
      </c>
      <c r="F16" s="1">
        <f>(SALES!$G:$G)</f>
        <v>25000</v>
      </c>
      <c r="H16" s="2">
        <f>(EXPENSES!$A:$A)</f>
        <v>45295</v>
      </c>
      <c r="I16" s="10">
        <f>(EXPENSES!$B:$B)</f>
        <v>7</v>
      </c>
      <c r="J16" s="10" t="str">
        <f>(EXPENSES!$C:$C)</f>
        <v xml:space="preserve">PAID ASHIRAF </v>
      </c>
      <c r="K16" s="10">
        <f>(EXPENSES!$D:$D)</f>
        <v>2000</v>
      </c>
      <c r="M16" s="3">
        <f t="shared" ref="M16:AQ16" si="8">SUMIF($A:$A, "01/02/2024",$F:$F )</f>
        <v>0</v>
      </c>
      <c r="N16" s="3">
        <f t="shared" si="8"/>
        <v>0</v>
      </c>
      <c r="O16" s="3">
        <f t="shared" si="8"/>
        <v>0</v>
      </c>
      <c r="P16" s="3">
        <f t="shared" si="8"/>
        <v>0</v>
      </c>
      <c r="Q16" s="3">
        <f t="shared" si="8"/>
        <v>0</v>
      </c>
      <c r="R16" s="3">
        <f t="shared" si="8"/>
        <v>0</v>
      </c>
      <c r="S16" s="3">
        <f t="shared" si="8"/>
        <v>0</v>
      </c>
      <c r="T16" s="3">
        <f t="shared" si="8"/>
        <v>0</v>
      </c>
      <c r="U16" s="3">
        <f t="shared" si="8"/>
        <v>0</v>
      </c>
      <c r="V16" s="3">
        <f t="shared" si="8"/>
        <v>0</v>
      </c>
      <c r="W16" s="3">
        <f t="shared" si="8"/>
        <v>0</v>
      </c>
      <c r="X16" s="3">
        <f t="shared" si="8"/>
        <v>0</v>
      </c>
      <c r="Y16" s="3">
        <f t="shared" si="8"/>
        <v>0</v>
      </c>
      <c r="Z16" s="3">
        <f t="shared" si="8"/>
        <v>0</v>
      </c>
      <c r="AA16" s="3">
        <f t="shared" si="8"/>
        <v>0</v>
      </c>
      <c r="AB16" s="3">
        <f t="shared" si="8"/>
        <v>0</v>
      </c>
      <c r="AC16" s="3">
        <f t="shared" si="8"/>
        <v>0</v>
      </c>
      <c r="AD16" s="3">
        <f t="shared" si="8"/>
        <v>0</v>
      </c>
      <c r="AE16" s="3">
        <f t="shared" si="8"/>
        <v>0</v>
      </c>
      <c r="AF16" s="3">
        <f t="shared" si="8"/>
        <v>0</v>
      </c>
      <c r="AG16" s="3">
        <f t="shared" si="8"/>
        <v>0</v>
      </c>
      <c r="AH16" s="3">
        <f t="shared" si="8"/>
        <v>0</v>
      </c>
      <c r="AI16" s="3">
        <f t="shared" si="8"/>
        <v>0</v>
      </c>
      <c r="AJ16" s="3">
        <f t="shared" si="8"/>
        <v>0</v>
      </c>
      <c r="AK16" s="3">
        <f t="shared" si="8"/>
        <v>0</v>
      </c>
      <c r="AL16" s="3">
        <f t="shared" si="8"/>
        <v>0</v>
      </c>
      <c r="AM16" s="3">
        <f t="shared" si="8"/>
        <v>0</v>
      </c>
      <c r="AN16" s="3">
        <f t="shared" si="8"/>
        <v>0</v>
      </c>
      <c r="AO16" s="3">
        <f t="shared" si="8"/>
        <v>0</v>
      </c>
      <c r="AP16" s="3">
        <f t="shared" si="8"/>
        <v>0</v>
      </c>
      <c r="AQ16" s="3">
        <f t="shared" si="8"/>
        <v>0</v>
      </c>
      <c r="AS16" s="3">
        <f t="shared" ref="AS16:BW16" si="9">SUMIF($A:$A, "01/02/2024",$F:$F )</f>
        <v>0</v>
      </c>
      <c r="AT16" s="3">
        <f t="shared" si="9"/>
        <v>0</v>
      </c>
      <c r="AU16" s="3">
        <f t="shared" si="9"/>
        <v>0</v>
      </c>
      <c r="AV16" s="3">
        <f t="shared" si="9"/>
        <v>0</v>
      </c>
      <c r="AW16" s="3">
        <f t="shared" si="9"/>
        <v>0</v>
      </c>
      <c r="AX16" s="3">
        <f t="shared" si="9"/>
        <v>0</v>
      </c>
      <c r="AY16" s="3">
        <f t="shared" si="9"/>
        <v>0</v>
      </c>
      <c r="AZ16" s="3">
        <f t="shared" si="9"/>
        <v>0</v>
      </c>
      <c r="BA16" s="3">
        <f t="shared" si="9"/>
        <v>0</v>
      </c>
      <c r="BB16" s="3">
        <f t="shared" si="9"/>
        <v>0</v>
      </c>
      <c r="BC16" s="3">
        <f t="shared" si="9"/>
        <v>0</v>
      </c>
      <c r="BD16" s="3">
        <f t="shared" si="9"/>
        <v>0</v>
      </c>
      <c r="BE16" s="3">
        <f t="shared" si="9"/>
        <v>0</v>
      </c>
      <c r="BF16" s="3">
        <f t="shared" si="9"/>
        <v>0</v>
      </c>
      <c r="BG16" s="3">
        <f t="shared" si="9"/>
        <v>0</v>
      </c>
      <c r="BH16" s="3">
        <f t="shared" si="9"/>
        <v>0</v>
      </c>
      <c r="BI16" s="3">
        <f t="shared" si="9"/>
        <v>0</v>
      </c>
      <c r="BJ16" s="3">
        <f t="shared" si="9"/>
        <v>0</v>
      </c>
      <c r="BK16" s="3">
        <f t="shared" si="9"/>
        <v>0</v>
      </c>
      <c r="BL16" s="3">
        <f t="shared" si="9"/>
        <v>0</v>
      </c>
      <c r="BM16" s="3">
        <f t="shared" si="9"/>
        <v>0</v>
      </c>
      <c r="BN16" s="3">
        <f t="shared" si="9"/>
        <v>0</v>
      </c>
      <c r="BO16" s="3">
        <f t="shared" si="9"/>
        <v>0</v>
      </c>
      <c r="BP16" s="3">
        <f t="shared" si="9"/>
        <v>0</v>
      </c>
      <c r="BQ16" s="3">
        <f t="shared" si="9"/>
        <v>0</v>
      </c>
      <c r="BR16" s="3">
        <f t="shared" si="9"/>
        <v>0</v>
      </c>
      <c r="BS16" s="3">
        <f t="shared" si="9"/>
        <v>0</v>
      </c>
      <c r="BT16" s="3">
        <f t="shared" si="9"/>
        <v>0</v>
      </c>
      <c r="BU16" s="3">
        <f t="shared" si="9"/>
        <v>0</v>
      </c>
      <c r="BV16" s="3">
        <f t="shared" si="9"/>
        <v>0</v>
      </c>
      <c r="BW16" s="3">
        <f t="shared" si="9"/>
        <v>0</v>
      </c>
      <c r="BY16" s="3">
        <f t="shared" ref="BY16:DC16" si="10">(M16-AS16)</f>
        <v>0</v>
      </c>
      <c r="BZ16" s="3">
        <f t="shared" si="10"/>
        <v>0</v>
      </c>
      <c r="CA16" s="3">
        <f t="shared" si="10"/>
        <v>0</v>
      </c>
      <c r="CB16" s="3">
        <f t="shared" si="10"/>
        <v>0</v>
      </c>
      <c r="CC16" s="3">
        <f t="shared" si="10"/>
        <v>0</v>
      </c>
      <c r="CD16" s="3">
        <f t="shared" si="10"/>
        <v>0</v>
      </c>
      <c r="CE16" s="3">
        <f t="shared" si="10"/>
        <v>0</v>
      </c>
      <c r="CF16" s="3">
        <f t="shared" si="10"/>
        <v>0</v>
      </c>
      <c r="CG16" s="3">
        <f t="shared" si="10"/>
        <v>0</v>
      </c>
      <c r="CH16" s="3">
        <f t="shared" si="10"/>
        <v>0</v>
      </c>
      <c r="CI16" s="3">
        <f t="shared" si="10"/>
        <v>0</v>
      </c>
      <c r="CJ16" s="3">
        <f t="shared" si="10"/>
        <v>0</v>
      </c>
      <c r="CK16" s="3">
        <f t="shared" si="10"/>
        <v>0</v>
      </c>
      <c r="CL16" s="3">
        <f t="shared" si="10"/>
        <v>0</v>
      </c>
      <c r="CM16" s="3">
        <f t="shared" si="10"/>
        <v>0</v>
      </c>
      <c r="CN16" s="3">
        <f t="shared" si="10"/>
        <v>0</v>
      </c>
      <c r="CO16" s="3">
        <f t="shared" si="10"/>
        <v>0</v>
      </c>
      <c r="CP16" s="3">
        <f t="shared" si="10"/>
        <v>0</v>
      </c>
      <c r="CQ16" s="3">
        <f t="shared" si="10"/>
        <v>0</v>
      </c>
      <c r="CR16" s="3">
        <f t="shared" si="10"/>
        <v>0</v>
      </c>
      <c r="CS16" s="3">
        <f t="shared" si="10"/>
        <v>0</v>
      </c>
      <c r="CT16" s="3">
        <f t="shared" si="10"/>
        <v>0</v>
      </c>
      <c r="CU16" s="3">
        <f t="shared" si="10"/>
        <v>0</v>
      </c>
      <c r="CV16" s="3">
        <f t="shared" si="10"/>
        <v>0</v>
      </c>
      <c r="CW16" s="3">
        <f t="shared" si="10"/>
        <v>0</v>
      </c>
      <c r="CX16" s="3">
        <f t="shared" si="10"/>
        <v>0</v>
      </c>
      <c r="CY16" s="3">
        <f t="shared" si="10"/>
        <v>0</v>
      </c>
      <c r="CZ16" s="3">
        <f t="shared" si="10"/>
        <v>0</v>
      </c>
      <c r="DA16" s="3">
        <f t="shared" si="10"/>
        <v>0</v>
      </c>
      <c r="DB16" s="3">
        <f t="shared" si="10"/>
        <v>0</v>
      </c>
      <c r="DC16" s="3">
        <f t="shared" si="10"/>
        <v>0</v>
      </c>
      <c r="DE16" s="3">
        <f t="shared" ref="DE16:EI16" si="11">SUMIF($A:$A, "01/02/2024",$F:$F )</f>
        <v>0</v>
      </c>
      <c r="DF16" s="3">
        <f t="shared" si="11"/>
        <v>0</v>
      </c>
      <c r="DG16" s="3">
        <f t="shared" si="11"/>
        <v>0</v>
      </c>
      <c r="DH16" s="3">
        <f t="shared" si="11"/>
        <v>0</v>
      </c>
      <c r="DI16" s="3">
        <f t="shared" si="11"/>
        <v>0</v>
      </c>
      <c r="DJ16" s="3">
        <f t="shared" si="11"/>
        <v>0</v>
      </c>
      <c r="DK16" s="3">
        <f t="shared" si="11"/>
        <v>0</v>
      </c>
      <c r="DL16" s="3">
        <f t="shared" si="11"/>
        <v>0</v>
      </c>
      <c r="DM16" s="3">
        <f t="shared" si="11"/>
        <v>0</v>
      </c>
      <c r="DN16" s="3">
        <f t="shared" si="11"/>
        <v>0</v>
      </c>
      <c r="DO16" s="3">
        <f t="shared" si="11"/>
        <v>0</v>
      </c>
      <c r="DP16" s="3">
        <f t="shared" si="11"/>
        <v>0</v>
      </c>
      <c r="DQ16" s="3">
        <f t="shared" si="11"/>
        <v>0</v>
      </c>
      <c r="DR16" s="3">
        <f t="shared" si="11"/>
        <v>0</v>
      </c>
      <c r="DS16" s="3">
        <f t="shared" si="11"/>
        <v>0</v>
      </c>
      <c r="DT16" s="3">
        <f t="shared" si="11"/>
        <v>0</v>
      </c>
      <c r="DU16" s="3">
        <f t="shared" si="11"/>
        <v>0</v>
      </c>
      <c r="DV16" s="3">
        <f t="shared" si="11"/>
        <v>0</v>
      </c>
      <c r="DW16" s="3">
        <f t="shared" si="11"/>
        <v>0</v>
      </c>
      <c r="DX16" s="3">
        <f t="shared" si="11"/>
        <v>0</v>
      </c>
      <c r="DY16" s="3">
        <f t="shared" si="11"/>
        <v>0</v>
      </c>
      <c r="DZ16" s="3">
        <f t="shared" si="11"/>
        <v>0</v>
      </c>
      <c r="EA16" s="3">
        <f t="shared" si="11"/>
        <v>0</v>
      </c>
      <c r="EB16" s="3">
        <f t="shared" si="11"/>
        <v>0</v>
      </c>
      <c r="EC16" s="3">
        <f t="shared" si="11"/>
        <v>0</v>
      </c>
      <c r="ED16" s="3">
        <f t="shared" si="11"/>
        <v>0</v>
      </c>
      <c r="EE16" s="3">
        <f t="shared" si="11"/>
        <v>0</v>
      </c>
      <c r="EF16" s="3">
        <f t="shared" si="11"/>
        <v>0</v>
      </c>
      <c r="EG16" s="3">
        <f t="shared" si="11"/>
        <v>0</v>
      </c>
      <c r="EH16" s="3">
        <f t="shared" si="11"/>
        <v>0</v>
      </c>
      <c r="EI16" s="3">
        <f t="shared" si="11"/>
        <v>0</v>
      </c>
      <c r="EM16" s="1" t="e">
        <f>(#REF!)</f>
        <v>#REF!</v>
      </c>
      <c r="EN16" s="9" t="e">
        <f>(#REF!)</f>
        <v>#REF!</v>
      </c>
      <c r="EO16" s="9" t="e">
        <f>(#REF!)</f>
        <v>#REF!</v>
      </c>
      <c r="EP16" s="9" t="e">
        <f>(#REF!)</f>
        <v>#REF!</v>
      </c>
      <c r="EQ16" s="12"/>
      <c r="ER16" s="1"/>
      <c r="ES16" s="20" t="s">
        <v>22</v>
      </c>
      <c r="ET16" s="10">
        <v>4000</v>
      </c>
      <c r="EU16" s="1"/>
      <c r="EV16" s="1"/>
      <c r="EW16" s="1"/>
      <c r="EX16" s="1"/>
      <c r="EY16" s="1"/>
    </row>
    <row r="17" spans="1:155" ht="18" customHeight="1" x14ac:dyDescent="0.3">
      <c r="A17" s="32" t="str">
        <f>(SALES!$A:$A)</f>
        <v>Tuesday, 2 January 2024</v>
      </c>
      <c r="B17" s="1">
        <f>(SALES!$C:$C)</f>
        <v>16</v>
      </c>
      <c r="C17" s="1">
        <f>(SALES!$D:$D)</f>
        <v>4</v>
      </c>
      <c r="D17" s="1" t="str">
        <f>(SALES!$E:$E)</f>
        <v>BEEF</v>
      </c>
      <c r="E17" s="1">
        <f>(SALES!$F:$F)</f>
        <v>16000</v>
      </c>
      <c r="F17" s="1">
        <f>(SALES!$G:$G)</f>
        <v>64000</v>
      </c>
      <c r="H17" s="2">
        <f>(EXPENSES!$A:$A)</f>
        <v>45295</v>
      </c>
      <c r="I17" s="10">
        <f>(EXPENSES!$B:$B)</f>
        <v>10</v>
      </c>
      <c r="J17" s="10" t="str">
        <f>(EXPENSES!$C:$C)</f>
        <v xml:space="preserve">PAID ASHIRAF </v>
      </c>
      <c r="K17" s="10">
        <f>(EXPENSES!$D:$D)</f>
        <v>3000</v>
      </c>
      <c r="EJ17" s="12"/>
      <c r="EK17" s="12"/>
      <c r="EM17" s="1" t="e">
        <f>(#REF!)</f>
        <v>#REF!</v>
      </c>
      <c r="EN17" s="9" t="e">
        <f>(#REF!)</f>
        <v>#REF!</v>
      </c>
      <c r="EO17" s="9" t="e">
        <f>(#REF!)</f>
        <v>#REF!</v>
      </c>
      <c r="EP17" s="9" t="e">
        <f>(#REF!)</f>
        <v>#REF!</v>
      </c>
      <c r="EQ17" s="12"/>
      <c r="ER17" s="1"/>
      <c r="ES17" s="12" t="s">
        <v>23</v>
      </c>
      <c r="ET17" s="12">
        <v>4000</v>
      </c>
      <c r="EU17" s="1"/>
      <c r="EV17" s="1"/>
      <c r="EW17" s="1"/>
      <c r="EX17" s="1"/>
      <c r="EY17" s="1"/>
    </row>
    <row r="18" spans="1:155" ht="18" customHeight="1" x14ac:dyDescent="0.3">
      <c r="A18" s="32" t="str">
        <f>(SALES!$A:$A)</f>
        <v>Tuesday, 2 January 2024</v>
      </c>
      <c r="B18" s="1">
        <f>(SALES!$C:$C)</f>
        <v>17</v>
      </c>
      <c r="C18" s="1">
        <f>(SALES!$D:$D)</f>
        <v>2</v>
      </c>
      <c r="D18" s="1" t="str">
        <f>(SALES!$E:$E)</f>
        <v>MILK</v>
      </c>
      <c r="E18" s="1">
        <f>(SALES!$F:$F)</f>
        <v>2000</v>
      </c>
      <c r="F18" s="1">
        <f>(SALES!$G:$G)</f>
        <v>4000</v>
      </c>
      <c r="H18" s="2">
        <f>(EXPENSES!$A:$A)</f>
        <v>45295</v>
      </c>
      <c r="I18" s="10">
        <f>(EXPENSES!$B:$B)</f>
        <v>3</v>
      </c>
      <c r="J18" s="10" t="str">
        <f>(EXPENSES!$C:$C)</f>
        <v>PAID REUBEN</v>
      </c>
      <c r="K18" s="10">
        <f>(EXPENSES!$D:$D)</f>
        <v>17000</v>
      </c>
      <c r="M18" s="47" t="s">
        <v>24</v>
      </c>
      <c r="N18" s="48"/>
      <c r="O18" s="48"/>
      <c r="P18" s="48"/>
      <c r="Q18" s="48"/>
      <c r="R18" s="48"/>
      <c r="S18" s="48"/>
      <c r="T18" s="48"/>
      <c r="U18" s="48"/>
      <c r="V18" s="48"/>
      <c r="W18" s="48"/>
      <c r="X18" s="48"/>
      <c r="Y18" s="48"/>
      <c r="Z18" s="48"/>
      <c r="AA18" s="48"/>
      <c r="AB18" s="48"/>
      <c r="AC18" s="48"/>
      <c r="AD18" s="48"/>
      <c r="AE18" s="48"/>
      <c r="AF18" s="48"/>
      <c r="AG18" s="48"/>
      <c r="AH18" s="48"/>
      <c r="AI18" s="48"/>
      <c r="AJ18" s="48"/>
      <c r="AK18" s="48"/>
      <c r="AL18" s="48"/>
      <c r="AM18" s="48"/>
      <c r="AN18" s="48"/>
      <c r="AO18" s="48"/>
      <c r="AP18" s="48"/>
      <c r="AQ18" s="49"/>
      <c r="AS18" s="47" t="s">
        <v>24</v>
      </c>
      <c r="AT18" s="48"/>
      <c r="AU18" s="48"/>
      <c r="AV18" s="48"/>
      <c r="AW18" s="48"/>
      <c r="AX18" s="48"/>
      <c r="AY18" s="48"/>
      <c r="AZ18" s="48"/>
      <c r="BA18" s="48"/>
      <c r="BB18" s="48"/>
      <c r="BC18" s="48"/>
      <c r="BD18" s="48"/>
      <c r="BE18" s="48"/>
      <c r="BF18" s="48"/>
      <c r="BG18" s="48"/>
      <c r="BH18" s="48"/>
      <c r="BI18" s="48"/>
      <c r="BJ18" s="48"/>
      <c r="BK18" s="48"/>
      <c r="BL18" s="48"/>
      <c r="BM18" s="48"/>
      <c r="BN18" s="48"/>
      <c r="BO18" s="48"/>
      <c r="BP18" s="48"/>
      <c r="BQ18" s="48"/>
      <c r="BR18" s="48"/>
      <c r="BS18" s="48"/>
      <c r="BT18" s="48"/>
      <c r="BU18" s="48"/>
      <c r="BV18" s="48"/>
      <c r="BW18" s="49"/>
      <c r="BY18" s="47" t="s">
        <v>24</v>
      </c>
      <c r="BZ18" s="48"/>
      <c r="CA18" s="48"/>
      <c r="CB18" s="48"/>
      <c r="CC18" s="48"/>
      <c r="CD18" s="48"/>
      <c r="CE18" s="48"/>
      <c r="CF18" s="48"/>
      <c r="CG18" s="48"/>
      <c r="CH18" s="48"/>
      <c r="CI18" s="48"/>
      <c r="CJ18" s="48"/>
      <c r="CK18" s="48"/>
      <c r="CL18" s="48"/>
      <c r="CM18" s="48"/>
      <c r="CN18" s="48"/>
      <c r="CO18" s="48"/>
      <c r="CP18" s="48"/>
      <c r="CQ18" s="48"/>
      <c r="CR18" s="48"/>
      <c r="CS18" s="48"/>
      <c r="CT18" s="48"/>
      <c r="CU18" s="48"/>
      <c r="CV18" s="48"/>
      <c r="CW18" s="48"/>
      <c r="CX18" s="48"/>
      <c r="CY18" s="48"/>
      <c r="CZ18" s="48"/>
      <c r="DA18" s="48"/>
      <c r="DB18" s="48"/>
      <c r="DC18" s="49"/>
      <c r="DE18" s="47" t="s">
        <v>24</v>
      </c>
      <c r="DF18" s="48"/>
      <c r="DG18" s="48"/>
      <c r="DH18" s="48"/>
      <c r="DI18" s="48"/>
      <c r="DJ18" s="48"/>
      <c r="DK18" s="48"/>
      <c r="DL18" s="48"/>
      <c r="DM18" s="48"/>
      <c r="DN18" s="48"/>
      <c r="DO18" s="48"/>
      <c r="DP18" s="48"/>
      <c r="DQ18" s="48"/>
      <c r="DR18" s="48"/>
      <c r="DS18" s="48"/>
      <c r="DT18" s="48"/>
      <c r="DU18" s="48"/>
      <c r="DV18" s="48"/>
      <c r="DW18" s="48"/>
      <c r="DX18" s="48"/>
      <c r="DY18" s="48"/>
      <c r="DZ18" s="48"/>
      <c r="EA18" s="48"/>
      <c r="EB18" s="48"/>
      <c r="EC18" s="48"/>
      <c r="ED18" s="48"/>
      <c r="EE18" s="48"/>
      <c r="EF18" s="48"/>
      <c r="EG18" s="48"/>
      <c r="EH18" s="48"/>
      <c r="EI18" s="49"/>
      <c r="EJ18" s="3"/>
      <c r="EK18" s="3"/>
      <c r="EM18" s="1" t="e">
        <f>(#REF!)</f>
        <v>#REF!</v>
      </c>
      <c r="EN18" s="9" t="e">
        <f>(#REF!)</f>
        <v>#REF!</v>
      </c>
      <c r="EO18" s="9" t="e">
        <f>(#REF!)</f>
        <v>#REF!</v>
      </c>
      <c r="EP18" s="9" t="e">
        <f>(#REF!)</f>
        <v>#REF!</v>
      </c>
      <c r="EQ18" s="12"/>
      <c r="ER18" s="1"/>
      <c r="ES18" s="10" t="s">
        <v>25</v>
      </c>
      <c r="ET18" s="10">
        <v>5000</v>
      </c>
      <c r="EU18" s="1"/>
      <c r="EV18" s="1"/>
      <c r="EW18" s="1"/>
      <c r="EX18" s="1"/>
      <c r="EY18" s="1"/>
    </row>
    <row r="19" spans="1:155" ht="18" customHeight="1" x14ac:dyDescent="0.3">
      <c r="A19" s="32" t="str">
        <f>(SALES!$A:$A)</f>
        <v>Tuesday, 2 January 2024</v>
      </c>
      <c r="B19" s="1">
        <f>(SALES!$C:$C)</f>
        <v>18</v>
      </c>
      <c r="C19" s="1">
        <f>(SALES!$D:$D)</f>
        <v>1</v>
      </c>
      <c r="D19" s="1" t="str">
        <f>(SALES!$E:$E)</f>
        <v>BEEF</v>
      </c>
      <c r="E19" s="1">
        <f>(SALES!$F:$F)</f>
        <v>16000</v>
      </c>
      <c r="F19" s="1">
        <f>(SALES!$G:$G)</f>
        <v>16000</v>
      </c>
      <c r="H19" s="2">
        <f>(EXPENSES!$A:$A)</f>
        <v>45295</v>
      </c>
      <c r="I19" s="10">
        <f>(EXPENSES!$B:$B)</f>
        <v>1</v>
      </c>
      <c r="J19" s="10" t="str">
        <f>(EXPENSES!$C:$C)</f>
        <v xml:space="preserve">BOUGHT MILK </v>
      </c>
      <c r="K19" s="10">
        <f>(EXPENSES!$D:$D)</f>
        <v>26000</v>
      </c>
      <c r="M19" s="3" t="e">
        <f>TEXT(WEEKDAY(DATE(CalendarYear,4,1),1),"aaa")</f>
        <v>#REF!</v>
      </c>
      <c r="N19" s="3" t="e">
        <f>TEXT(WEEKDAY(DATE(CalendarYear,4,2),1),"aaa")</f>
        <v>#REF!</v>
      </c>
      <c r="O19" s="3" t="e">
        <f>TEXT(WEEKDAY(DATE(CalendarYear,4,3),1),"aaa")</f>
        <v>#REF!</v>
      </c>
      <c r="P19" s="3" t="e">
        <f>TEXT(WEEKDAY(DATE(CalendarYear,4,4),1),"aaa")</f>
        <v>#REF!</v>
      </c>
      <c r="Q19" s="3" t="e">
        <f>TEXT(WEEKDAY(DATE(CalendarYear,4,5),1),"aaa")</f>
        <v>#REF!</v>
      </c>
      <c r="R19" s="3" t="e">
        <f>TEXT(WEEKDAY(DATE(CalendarYear,4,6),1),"aaa")</f>
        <v>#REF!</v>
      </c>
      <c r="S19" s="3" t="e">
        <f>TEXT(WEEKDAY(DATE(CalendarYear,4,7),1),"aaa")</f>
        <v>#REF!</v>
      </c>
      <c r="T19" s="3" t="e">
        <f>TEXT(WEEKDAY(DATE(CalendarYear,4,8),1),"aaa")</f>
        <v>#REF!</v>
      </c>
      <c r="U19" s="3" t="e">
        <f>TEXT(WEEKDAY(DATE(CalendarYear,4,9),1),"aaa")</f>
        <v>#REF!</v>
      </c>
      <c r="V19" s="3" t="e">
        <f>TEXT(WEEKDAY(DATE(CalendarYear,4,10),1),"aaa")</f>
        <v>#REF!</v>
      </c>
      <c r="W19" s="3" t="e">
        <f>TEXT(WEEKDAY(DATE(CalendarYear,4,11),1),"aaa")</f>
        <v>#REF!</v>
      </c>
      <c r="X19" s="3" t="e">
        <f>TEXT(WEEKDAY(DATE(CalendarYear,4,12),1),"aaa")</f>
        <v>#REF!</v>
      </c>
      <c r="Y19" s="3" t="e">
        <f>TEXT(WEEKDAY(DATE(CalendarYear,4,13),1),"aaa")</f>
        <v>#REF!</v>
      </c>
      <c r="Z19" s="3" t="e">
        <f>TEXT(WEEKDAY(DATE(CalendarYear,4,14),1),"aaa")</f>
        <v>#REF!</v>
      </c>
      <c r="AA19" s="3" t="e">
        <f>TEXT(WEEKDAY(DATE(CalendarYear,4,15),1),"aaa")</f>
        <v>#REF!</v>
      </c>
      <c r="AB19" s="3" t="e">
        <f>TEXT(WEEKDAY(DATE(CalendarYear,4,16),1),"aaa")</f>
        <v>#REF!</v>
      </c>
      <c r="AC19" s="3" t="e">
        <f>TEXT(WEEKDAY(DATE(CalendarYear,4,17),1),"aaa")</f>
        <v>#REF!</v>
      </c>
      <c r="AD19" s="3" t="e">
        <f>TEXT(WEEKDAY(DATE(CalendarYear,4,18),1),"aaa")</f>
        <v>#REF!</v>
      </c>
      <c r="AE19" s="3" t="e">
        <f>TEXT(WEEKDAY(DATE(CalendarYear,4,19),1),"aaa")</f>
        <v>#REF!</v>
      </c>
      <c r="AF19" s="3" t="e">
        <f>TEXT(WEEKDAY(DATE(CalendarYear,4,20),1),"aaa")</f>
        <v>#REF!</v>
      </c>
      <c r="AG19" s="3" t="e">
        <f>TEXT(WEEKDAY(DATE(CalendarYear,4,21),1),"aaa")</f>
        <v>#REF!</v>
      </c>
      <c r="AH19" s="3" t="e">
        <f>TEXT(WEEKDAY(DATE(CalendarYear,4,22),1),"aaa")</f>
        <v>#REF!</v>
      </c>
      <c r="AI19" s="3" t="e">
        <f>TEXT(WEEKDAY(DATE(CalendarYear,4,23),1),"aaa")</f>
        <v>#REF!</v>
      </c>
      <c r="AJ19" s="3" t="e">
        <f>TEXT(WEEKDAY(DATE(CalendarYear,4,24),1),"aaa")</f>
        <v>#REF!</v>
      </c>
      <c r="AK19" s="3" t="e">
        <f>TEXT(WEEKDAY(DATE(CalendarYear,4,25),1),"aaa")</f>
        <v>#REF!</v>
      </c>
      <c r="AL19" s="3" t="e">
        <f>TEXT(WEEKDAY(DATE(CalendarYear,4,26),1),"aaa")</f>
        <v>#REF!</v>
      </c>
      <c r="AM19" s="3" t="e">
        <f>TEXT(WEEKDAY(DATE(CalendarYear,4,27),1),"aaa")</f>
        <v>#REF!</v>
      </c>
      <c r="AN19" s="3" t="e">
        <f>TEXT(WEEKDAY(DATE(CalendarYear,4,28),1),"aaa")</f>
        <v>#REF!</v>
      </c>
      <c r="AO19" s="3" t="e">
        <f>TEXT(WEEKDAY(DATE(CalendarYear,4,29),1),"aaa")</f>
        <v>#REF!</v>
      </c>
      <c r="AP19" s="3" t="e">
        <f>TEXT(WEEKDAY(DATE(CalendarYear,4,30),1),"aaa")</f>
        <v>#REF!</v>
      </c>
      <c r="AQ19" s="3"/>
      <c r="AS19" s="3" t="e">
        <f>TEXT(WEEKDAY(DATE(CalendarYear,4,1),1),"aaa")</f>
        <v>#REF!</v>
      </c>
      <c r="AT19" s="3" t="e">
        <f>TEXT(WEEKDAY(DATE(CalendarYear,4,2),1),"aaa")</f>
        <v>#REF!</v>
      </c>
      <c r="AU19" s="3" t="e">
        <f>TEXT(WEEKDAY(DATE(CalendarYear,4,3),1),"aaa")</f>
        <v>#REF!</v>
      </c>
      <c r="AV19" s="3" t="e">
        <f>TEXT(WEEKDAY(DATE(CalendarYear,4,4),1),"aaa")</f>
        <v>#REF!</v>
      </c>
      <c r="AW19" s="3" t="e">
        <f>TEXT(WEEKDAY(DATE(CalendarYear,4,5),1),"aaa")</f>
        <v>#REF!</v>
      </c>
      <c r="AX19" s="3" t="e">
        <f>TEXT(WEEKDAY(DATE(CalendarYear,4,6),1),"aaa")</f>
        <v>#REF!</v>
      </c>
      <c r="AY19" s="3" t="e">
        <f>TEXT(WEEKDAY(DATE(CalendarYear,4,7),1),"aaa")</f>
        <v>#REF!</v>
      </c>
      <c r="AZ19" s="3" t="e">
        <f>TEXT(WEEKDAY(DATE(CalendarYear,4,8),1),"aaa")</f>
        <v>#REF!</v>
      </c>
      <c r="BA19" s="3" t="e">
        <f>TEXT(WEEKDAY(DATE(CalendarYear,4,9),1),"aaa")</f>
        <v>#REF!</v>
      </c>
      <c r="BB19" s="3" t="e">
        <f>TEXT(WEEKDAY(DATE(CalendarYear,4,10),1),"aaa")</f>
        <v>#REF!</v>
      </c>
      <c r="BC19" s="3" t="e">
        <f>TEXT(WEEKDAY(DATE(CalendarYear,4,11),1),"aaa")</f>
        <v>#REF!</v>
      </c>
      <c r="BD19" s="3" t="e">
        <f>TEXT(WEEKDAY(DATE(CalendarYear,4,12),1),"aaa")</f>
        <v>#REF!</v>
      </c>
      <c r="BE19" s="3" t="e">
        <f>TEXT(WEEKDAY(DATE(CalendarYear,4,13),1),"aaa")</f>
        <v>#REF!</v>
      </c>
      <c r="BF19" s="3" t="e">
        <f>TEXT(WEEKDAY(DATE(CalendarYear,4,14),1),"aaa")</f>
        <v>#REF!</v>
      </c>
      <c r="BG19" s="3" t="e">
        <f>TEXT(WEEKDAY(DATE(CalendarYear,4,15),1),"aaa")</f>
        <v>#REF!</v>
      </c>
      <c r="BH19" s="3" t="e">
        <f>TEXT(WEEKDAY(DATE(CalendarYear,4,16),1),"aaa")</f>
        <v>#REF!</v>
      </c>
      <c r="BI19" s="3" t="e">
        <f>TEXT(WEEKDAY(DATE(CalendarYear,4,17),1),"aaa")</f>
        <v>#REF!</v>
      </c>
      <c r="BJ19" s="3" t="e">
        <f>TEXT(WEEKDAY(DATE(CalendarYear,4,18),1),"aaa")</f>
        <v>#REF!</v>
      </c>
      <c r="BK19" s="3" t="e">
        <f>TEXT(WEEKDAY(DATE(CalendarYear,4,19),1),"aaa")</f>
        <v>#REF!</v>
      </c>
      <c r="BL19" s="3" t="e">
        <f>TEXT(WEEKDAY(DATE(CalendarYear,4,20),1),"aaa")</f>
        <v>#REF!</v>
      </c>
      <c r="BM19" s="3" t="e">
        <f>TEXT(WEEKDAY(DATE(CalendarYear,4,21),1),"aaa")</f>
        <v>#REF!</v>
      </c>
      <c r="BN19" s="3" t="e">
        <f>TEXT(WEEKDAY(DATE(CalendarYear,4,22),1),"aaa")</f>
        <v>#REF!</v>
      </c>
      <c r="BO19" s="3" t="e">
        <f>TEXT(WEEKDAY(DATE(CalendarYear,4,23),1),"aaa")</f>
        <v>#REF!</v>
      </c>
      <c r="BP19" s="3" t="e">
        <f>TEXT(WEEKDAY(DATE(CalendarYear,4,24),1),"aaa")</f>
        <v>#REF!</v>
      </c>
      <c r="BQ19" s="3" t="e">
        <f>TEXT(WEEKDAY(DATE(CalendarYear,4,25),1),"aaa")</f>
        <v>#REF!</v>
      </c>
      <c r="BR19" s="3" t="e">
        <f>TEXT(WEEKDAY(DATE(CalendarYear,4,26),1),"aaa")</f>
        <v>#REF!</v>
      </c>
      <c r="BS19" s="3" t="e">
        <f>TEXT(WEEKDAY(DATE(CalendarYear,4,27),1),"aaa")</f>
        <v>#REF!</v>
      </c>
      <c r="BT19" s="3" t="e">
        <f>TEXT(WEEKDAY(DATE(CalendarYear,4,28),1),"aaa")</f>
        <v>#REF!</v>
      </c>
      <c r="BU19" s="3" t="e">
        <f>TEXT(WEEKDAY(DATE(CalendarYear,4,29),1),"aaa")</f>
        <v>#REF!</v>
      </c>
      <c r="BV19" s="3" t="e">
        <f>TEXT(WEEKDAY(DATE(CalendarYear,4,30),1),"aaa")</f>
        <v>#REF!</v>
      </c>
      <c r="BW19" s="3"/>
      <c r="BY19" s="3" t="e">
        <f>TEXT(WEEKDAY(DATE(CalendarYear,4,1),1),"aaa")</f>
        <v>#REF!</v>
      </c>
      <c r="BZ19" s="3" t="e">
        <f>TEXT(WEEKDAY(DATE(CalendarYear,4,2),1),"aaa")</f>
        <v>#REF!</v>
      </c>
      <c r="CA19" s="3" t="e">
        <f>TEXT(WEEKDAY(DATE(CalendarYear,4,3),1),"aaa")</f>
        <v>#REF!</v>
      </c>
      <c r="CB19" s="3" t="e">
        <f>TEXT(WEEKDAY(DATE(CalendarYear,4,4),1),"aaa")</f>
        <v>#REF!</v>
      </c>
      <c r="CC19" s="3" t="e">
        <f>TEXT(WEEKDAY(DATE(CalendarYear,4,5),1),"aaa")</f>
        <v>#REF!</v>
      </c>
      <c r="CD19" s="3" t="e">
        <f>TEXT(WEEKDAY(DATE(CalendarYear,4,6),1),"aaa")</f>
        <v>#REF!</v>
      </c>
      <c r="CE19" s="3" t="e">
        <f>TEXT(WEEKDAY(DATE(CalendarYear,4,7),1),"aaa")</f>
        <v>#REF!</v>
      </c>
      <c r="CF19" s="3" t="e">
        <f>TEXT(WEEKDAY(DATE(CalendarYear,4,8),1),"aaa")</f>
        <v>#REF!</v>
      </c>
      <c r="CG19" s="3" t="e">
        <f>TEXT(WEEKDAY(DATE(CalendarYear,4,9),1),"aaa")</f>
        <v>#REF!</v>
      </c>
      <c r="CH19" s="3" t="e">
        <f>TEXT(WEEKDAY(DATE(CalendarYear,4,10),1),"aaa")</f>
        <v>#REF!</v>
      </c>
      <c r="CI19" s="3" t="e">
        <f>TEXT(WEEKDAY(DATE(CalendarYear,4,11),1),"aaa")</f>
        <v>#REF!</v>
      </c>
      <c r="CJ19" s="3" t="e">
        <f>TEXT(WEEKDAY(DATE(CalendarYear,4,12),1),"aaa")</f>
        <v>#REF!</v>
      </c>
      <c r="CK19" s="3" t="e">
        <f>TEXT(WEEKDAY(DATE(CalendarYear,4,13),1),"aaa")</f>
        <v>#REF!</v>
      </c>
      <c r="CL19" s="3" t="e">
        <f>TEXT(WEEKDAY(DATE(CalendarYear,4,14),1),"aaa")</f>
        <v>#REF!</v>
      </c>
      <c r="CM19" s="3" t="e">
        <f>TEXT(WEEKDAY(DATE(CalendarYear,4,15),1),"aaa")</f>
        <v>#REF!</v>
      </c>
      <c r="CN19" s="3" t="e">
        <f>TEXT(WEEKDAY(DATE(CalendarYear,4,16),1),"aaa")</f>
        <v>#REF!</v>
      </c>
      <c r="CO19" s="3" t="e">
        <f>TEXT(WEEKDAY(DATE(CalendarYear,4,17),1),"aaa")</f>
        <v>#REF!</v>
      </c>
      <c r="CP19" s="3" t="e">
        <f>TEXT(WEEKDAY(DATE(CalendarYear,4,18),1),"aaa")</f>
        <v>#REF!</v>
      </c>
      <c r="CQ19" s="3" t="e">
        <f>TEXT(WEEKDAY(DATE(CalendarYear,4,19),1),"aaa")</f>
        <v>#REF!</v>
      </c>
      <c r="CR19" s="3" t="e">
        <f>TEXT(WEEKDAY(DATE(CalendarYear,4,20),1),"aaa")</f>
        <v>#REF!</v>
      </c>
      <c r="CS19" s="3" t="e">
        <f>TEXT(WEEKDAY(DATE(CalendarYear,4,21),1),"aaa")</f>
        <v>#REF!</v>
      </c>
      <c r="CT19" s="3" t="e">
        <f>TEXT(WEEKDAY(DATE(CalendarYear,4,22),1),"aaa")</f>
        <v>#REF!</v>
      </c>
      <c r="CU19" s="3" t="e">
        <f>TEXT(WEEKDAY(DATE(CalendarYear,4,23),1),"aaa")</f>
        <v>#REF!</v>
      </c>
      <c r="CV19" s="3" t="e">
        <f>TEXT(WEEKDAY(DATE(CalendarYear,4,24),1),"aaa")</f>
        <v>#REF!</v>
      </c>
      <c r="CW19" s="3" t="e">
        <f>TEXT(WEEKDAY(DATE(CalendarYear,4,25),1),"aaa")</f>
        <v>#REF!</v>
      </c>
      <c r="CX19" s="3" t="e">
        <f>TEXT(WEEKDAY(DATE(CalendarYear,4,26),1),"aaa")</f>
        <v>#REF!</v>
      </c>
      <c r="CY19" s="3" t="e">
        <f>TEXT(WEEKDAY(DATE(CalendarYear,4,27),1),"aaa")</f>
        <v>#REF!</v>
      </c>
      <c r="CZ19" s="3" t="e">
        <f>TEXT(WEEKDAY(DATE(CalendarYear,4,28),1),"aaa")</f>
        <v>#REF!</v>
      </c>
      <c r="DA19" s="3" t="e">
        <f>TEXT(WEEKDAY(DATE(CalendarYear,4,29),1),"aaa")</f>
        <v>#REF!</v>
      </c>
      <c r="DB19" s="3" t="e">
        <f>TEXT(WEEKDAY(DATE(CalendarYear,4,30),1),"aaa")</f>
        <v>#REF!</v>
      </c>
      <c r="DC19" s="3"/>
      <c r="DE19" s="3" t="e">
        <f>TEXT(WEEKDAY(DATE(CalendarYear,4,1),1),"aaa")</f>
        <v>#REF!</v>
      </c>
      <c r="DF19" s="3" t="e">
        <f>TEXT(WEEKDAY(DATE(CalendarYear,4,2),1),"aaa")</f>
        <v>#REF!</v>
      </c>
      <c r="DG19" s="3" t="e">
        <f>TEXT(WEEKDAY(DATE(CalendarYear,4,3),1),"aaa")</f>
        <v>#REF!</v>
      </c>
      <c r="DH19" s="3" t="e">
        <f>TEXT(WEEKDAY(DATE(CalendarYear,4,4),1),"aaa")</f>
        <v>#REF!</v>
      </c>
      <c r="DI19" s="3" t="e">
        <f>TEXT(WEEKDAY(DATE(CalendarYear,4,5),1),"aaa")</f>
        <v>#REF!</v>
      </c>
      <c r="DJ19" s="3" t="e">
        <f>TEXT(WEEKDAY(DATE(CalendarYear,4,6),1),"aaa")</f>
        <v>#REF!</v>
      </c>
      <c r="DK19" s="3" t="e">
        <f>TEXT(WEEKDAY(DATE(CalendarYear,4,7),1),"aaa")</f>
        <v>#REF!</v>
      </c>
      <c r="DL19" s="3" t="e">
        <f>TEXT(WEEKDAY(DATE(CalendarYear,4,8),1),"aaa")</f>
        <v>#REF!</v>
      </c>
      <c r="DM19" s="3" t="e">
        <f>TEXT(WEEKDAY(DATE(CalendarYear,4,9),1),"aaa")</f>
        <v>#REF!</v>
      </c>
      <c r="DN19" s="3" t="e">
        <f>TEXT(WEEKDAY(DATE(CalendarYear,4,10),1),"aaa")</f>
        <v>#REF!</v>
      </c>
      <c r="DO19" s="3" t="e">
        <f>TEXT(WEEKDAY(DATE(CalendarYear,4,11),1),"aaa")</f>
        <v>#REF!</v>
      </c>
      <c r="DP19" s="3" t="e">
        <f>TEXT(WEEKDAY(DATE(CalendarYear,4,12),1),"aaa")</f>
        <v>#REF!</v>
      </c>
      <c r="DQ19" s="3" t="e">
        <f>TEXT(WEEKDAY(DATE(CalendarYear,4,13),1),"aaa")</f>
        <v>#REF!</v>
      </c>
      <c r="DR19" s="3" t="e">
        <f>TEXT(WEEKDAY(DATE(CalendarYear,4,14),1),"aaa")</f>
        <v>#REF!</v>
      </c>
      <c r="DS19" s="3" t="e">
        <f>TEXT(WEEKDAY(DATE(CalendarYear,4,15),1),"aaa")</f>
        <v>#REF!</v>
      </c>
      <c r="DT19" s="3" t="e">
        <f>TEXT(WEEKDAY(DATE(CalendarYear,4,16),1),"aaa")</f>
        <v>#REF!</v>
      </c>
      <c r="DU19" s="3" t="e">
        <f>TEXT(WEEKDAY(DATE(CalendarYear,4,17),1),"aaa")</f>
        <v>#REF!</v>
      </c>
      <c r="DV19" s="3" t="e">
        <f>TEXT(WEEKDAY(DATE(CalendarYear,4,18),1),"aaa")</f>
        <v>#REF!</v>
      </c>
      <c r="DW19" s="3" t="e">
        <f>TEXT(WEEKDAY(DATE(CalendarYear,4,19),1),"aaa")</f>
        <v>#REF!</v>
      </c>
      <c r="DX19" s="3" t="e">
        <f>TEXT(WEEKDAY(DATE(CalendarYear,4,20),1),"aaa")</f>
        <v>#REF!</v>
      </c>
      <c r="DY19" s="3" t="e">
        <f>TEXT(WEEKDAY(DATE(CalendarYear,4,21),1),"aaa")</f>
        <v>#REF!</v>
      </c>
      <c r="DZ19" s="3" t="e">
        <f>TEXT(WEEKDAY(DATE(CalendarYear,4,22),1),"aaa")</f>
        <v>#REF!</v>
      </c>
      <c r="EA19" s="3" t="e">
        <f>TEXT(WEEKDAY(DATE(CalendarYear,4,23),1),"aaa")</f>
        <v>#REF!</v>
      </c>
      <c r="EB19" s="3" t="e">
        <f>TEXT(WEEKDAY(DATE(CalendarYear,4,24),1),"aaa")</f>
        <v>#REF!</v>
      </c>
      <c r="EC19" s="3" t="e">
        <f>TEXT(WEEKDAY(DATE(CalendarYear,4,25),1),"aaa")</f>
        <v>#REF!</v>
      </c>
      <c r="ED19" s="3" t="e">
        <f>TEXT(WEEKDAY(DATE(CalendarYear,4,26),1),"aaa")</f>
        <v>#REF!</v>
      </c>
      <c r="EE19" s="3" t="e">
        <f>TEXT(WEEKDAY(DATE(CalendarYear,4,27),1),"aaa")</f>
        <v>#REF!</v>
      </c>
      <c r="EF19" s="3" t="e">
        <f>TEXT(WEEKDAY(DATE(CalendarYear,4,28),1),"aaa")</f>
        <v>#REF!</v>
      </c>
      <c r="EG19" s="3" t="e">
        <f>TEXT(WEEKDAY(DATE(CalendarYear,4,29),1),"aaa")</f>
        <v>#REF!</v>
      </c>
      <c r="EH19" s="3" t="e">
        <f>TEXT(WEEKDAY(DATE(CalendarYear,4,30),1),"aaa")</f>
        <v>#REF!</v>
      </c>
      <c r="EI19" s="3"/>
      <c r="EJ19" s="2"/>
      <c r="EK19" s="2"/>
      <c r="EM19" s="1" t="e">
        <f>(#REF!)</f>
        <v>#REF!</v>
      </c>
      <c r="EN19" s="9" t="e">
        <f>(#REF!)</f>
        <v>#REF!</v>
      </c>
      <c r="EO19" s="9" t="e">
        <f>(#REF!)</f>
        <v>#REF!</v>
      </c>
      <c r="EP19" s="9" t="e">
        <f>(#REF!)</f>
        <v>#REF!</v>
      </c>
      <c r="EQ19" s="12"/>
      <c r="ER19" s="1"/>
      <c r="ES19" s="20" t="s">
        <v>26</v>
      </c>
      <c r="ET19" s="10">
        <v>20000</v>
      </c>
      <c r="EU19" s="1"/>
      <c r="EV19" s="1"/>
      <c r="EW19" s="1"/>
      <c r="EX19" s="1"/>
      <c r="EY19" s="1"/>
    </row>
    <row r="20" spans="1:155" ht="18" customHeight="1" x14ac:dyDescent="0.3">
      <c r="A20" s="32" t="str">
        <f>(SALES!$A:$A)</f>
        <v>Tuesday, 2 January 2024</v>
      </c>
      <c r="B20" s="1">
        <f>(SALES!$C:$C)</f>
        <v>19</v>
      </c>
      <c r="C20" s="1">
        <f>(SALES!$D:$D)</f>
        <v>1</v>
      </c>
      <c r="D20" s="1" t="str">
        <f>(SALES!$E:$E)</f>
        <v>AVOCADO</v>
      </c>
      <c r="E20" s="1">
        <f>(SALES!$F:$F)</f>
        <v>1000</v>
      </c>
      <c r="F20" s="1">
        <f>(SALES!$G:$G)</f>
        <v>1000</v>
      </c>
      <c r="H20" s="2">
        <f>(EXPENSES!$A:$A)</f>
        <v>45295</v>
      </c>
      <c r="I20" s="10">
        <f>(EXPENSES!$B:$B)</f>
        <v>6</v>
      </c>
      <c r="J20" s="10" t="str">
        <f>(EXPENSES!$C:$C)</f>
        <v>PAID FRANK</v>
      </c>
      <c r="K20" s="10">
        <f>(EXPENSES!$D:$D)</f>
        <v>29000</v>
      </c>
      <c r="M20" s="2">
        <v>45383</v>
      </c>
      <c r="N20" s="2">
        <v>45384</v>
      </c>
      <c r="O20" s="2">
        <v>45385</v>
      </c>
      <c r="P20" s="2">
        <v>45386</v>
      </c>
      <c r="Q20" s="2">
        <v>45387</v>
      </c>
      <c r="R20" s="2">
        <v>45388</v>
      </c>
      <c r="S20" s="2">
        <v>45389</v>
      </c>
      <c r="T20" s="2">
        <v>45390</v>
      </c>
      <c r="U20" s="2">
        <v>45391</v>
      </c>
      <c r="V20" s="2">
        <v>45392</v>
      </c>
      <c r="W20" s="2">
        <v>45393</v>
      </c>
      <c r="X20" s="2">
        <v>45394</v>
      </c>
      <c r="Y20" s="2">
        <v>45395</v>
      </c>
      <c r="Z20" s="2">
        <v>45396</v>
      </c>
      <c r="AA20" s="2">
        <v>45397</v>
      </c>
      <c r="AB20" s="2">
        <v>45398</v>
      </c>
      <c r="AC20" s="2">
        <v>45399</v>
      </c>
      <c r="AD20" s="2">
        <v>45400</v>
      </c>
      <c r="AE20" s="2">
        <v>45401</v>
      </c>
      <c r="AF20" s="2">
        <v>45402</v>
      </c>
      <c r="AG20" s="2">
        <v>45403</v>
      </c>
      <c r="AH20" s="2">
        <v>45404</v>
      </c>
      <c r="AI20" s="2">
        <v>45405</v>
      </c>
      <c r="AJ20" s="2">
        <v>45406</v>
      </c>
      <c r="AK20" s="2">
        <v>45407</v>
      </c>
      <c r="AL20" s="2">
        <v>45408</v>
      </c>
      <c r="AM20" s="2">
        <v>45409</v>
      </c>
      <c r="AN20" s="2">
        <v>45410</v>
      </c>
      <c r="AO20" s="2">
        <v>45411</v>
      </c>
      <c r="AP20" s="2">
        <v>45412</v>
      </c>
      <c r="AQ20" s="2"/>
      <c r="AS20" s="2">
        <v>45383</v>
      </c>
      <c r="AT20" s="2">
        <v>45384</v>
      </c>
      <c r="AU20" s="2">
        <v>45385</v>
      </c>
      <c r="AV20" s="2">
        <v>45386</v>
      </c>
      <c r="AW20" s="2">
        <v>45387</v>
      </c>
      <c r="AX20" s="2">
        <v>45388</v>
      </c>
      <c r="AY20" s="2">
        <v>45389</v>
      </c>
      <c r="AZ20" s="2">
        <v>45390</v>
      </c>
      <c r="BA20" s="2">
        <v>45391</v>
      </c>
      <c r="BB20" s="2">
        <v>45392</v>
      </c>
      <c r="BC20" s="2">
        <v>45393</v>
      </c>
      <c r="BD20" s="2">
        <v>45394</v>
      </c>
      <c r="BE20" s="2">
        <v>45395</v>
      </c>
      <c r="BF20" s="2">
        <v>45396</v>
      </c>
      <c r="BG20" s="2">
        <v>45397</v>
      </c>
      <c r="BH20" s="2">
        <v>45398</v>
      </c>
      <c r="BI20" s="2">
        <v>45399</v>
      </c>
      <c r="BJ20" s="2">
        <v>45400</v>
      </c>
      <c r="BK20" s="2">
        <v>45401</v>
      </c>
      <c r="BL20" s="2">
        <v>45402</v>
      </c>
      <c r="BM20" s="2">
        <v>45403</v>
      </c>
      <c r="BN20" s="2">
        <v>45404</v>
      </c>
      <c r="BO20" s="2">
        <v>45405</v>
      </c>
      <c r="BP20" s="2">
        <v>45406</v>
      </c>
      <c r="BQ20" s="2">
        <v>45407</v>
      </c>
      <c r="BR20" s="2">
        <v>45408</v>
      </c>
      <c r="BS20" s="2">
        <v>45409</v>
      </c>
      <c r="BT20" s="2">
        <v>45410</v>
      </c>
      <c r="BU20" s="2">
        <v>45411</v>
      </c>
      <c r="BV20" s="2">
        <v>45412</v>
      </c>
      <c r="BW20" s="2"/>
      <c r="BY20" s="2">
        <v>45383</v>
      </c>
      <c r="BZ20" s="2">
        <v>45384</v>
      </c>
      <c r="CA20" s="2">
        <v>45385</v>
      </c>
      <c r="CB20" s="2">
        <v>45386</v>
      </c>
      <c r="CC20" s="2">
        <v>45387</v>
      </c>
      <c r="CD20" s="2">
        <v>45388</v>
      </c>
      <c r="CE20" s="2">
        <v>45389</v>
      </c>
      <c r="CF20" s="2">
        <v>45390</v>
      </c>
      <c r="CG20" s="2">
        <v>45391</v>
      </c>
      <c r="CH20" s="2">
        <v>45392</v>
      </c>
      <c r="CI20" s="2">
        <v>45393</v>
      </c>
      <c r="CJ20" s="2">
        <v>45394</v>
      </c>
      <c r="CK20" s="2">
        <v>45395</v>
      </c>
      <c r="CL20" s="2">
        <v>45396</v>
      </c>
      <c r="CM20" s="2">
        <v>45397</v>
      </c>
      <c r="CN20" s="2">
        <v>45398</v>
      </c>
      <c r="CO20" s="2">
        <v>45399</v>
      </c>
      <c r="CP20" s="2">
        <v>45400</v>
      </c>
      <c r="CQ20" s="2">
        <v>45401</v>
      </c>
      <c r="CR20" s="2">
        <v>45402</v>
      </c>
      <c r="CS20" s="2">
        <v>45403</v>
      </c>
      <c r="CT20" s="2">
        <v>45404</v>
      </c>
      <c r="CU20" s="2">
        <v>45405</v>
      </c>
      <c r="CV20" s="2">
        <v>45406</v>
      </c>
      <c r="CW20" s="2">
        <v>45407</v>
      </c>
      <c r="CX20" s="2">
        <v>45408</v>
      </c>
      <c r="CY20" s="2">
        <v>45409</v>
      </c>
      <c r="CZ20" s="2">
        <v>45410</v>
      </c>
      <c r="DA20" s="2">
        <v>45411</v>
      </c>
      <c r="DB20" s="2">
        <v>45412</v>
      </c>
      <c r="DC20" s="2"/>
      <c r="DE20" s="2">
        <v>45383</v>
      </c>
      <c r="DF20" s="2">
        <v>45384</v>
      </c>
      <c r="DG20" s="2">
        <v>45385</v>
      </c>
      <c r="DH20" s="2">
        <v>45386</v>
      </c>
      <c r="DI20" s="2">
        <v>45387</v>
      </c>
      <c r="DJ20" s="2">
        <v>45388</v>
      </c>
      <c r="DK20" s="2">
        <v>45389</v>
      </c>
      <c r="DL20" s="2">
        <v>45390</v>
      </c>
      <c r="DM20" s="2">
        <v>45391</v>
      </c>
      <c r="DN20" s="2">
        <v>45392</v>
      </c>
      <c r="DO20" s="2">
        <v>45393</v>
      </c>
      <c r="DP20" s="2">
        <v>45394</v>
      </c>
      <c r="DQ20" s="2">
        <v>45395</v>
      </c>
      <c r="DR20" s="2">
        <v>45396</v>
      </c>
      <c r="DS20" s="2">
        <v>45397</v>
      </c>
      <c r="DT20" s="2">
        <v>45398</v>
      </c>
      <c r="DU20" s="2">
        <v>45399</v>
      </c>
      <c r="DV20" s="2">
        <v>45400</v>
      </c>
      <c r="DW20" s="2">
        <v>45401</v>
      </c>
      <c r="DX20" s="2">
        <v>45402</v>
      </c>
      <c r="DY20" s="2">
        <v>45403</v>
      </c>
      <c r="DZ20" s="2">
        <v>45404</v>
      </c>
      <c r="EA20" s="2">
        <v>45405</v>
      </c>
      <c r="EB20" s="2">
        <v>45406</v>
      </c>
      <c r="EC20" s="2">
        <v>45407</v>
      </c>
      <c r="ED20" s="2">
        <v>45408</v>
      </c>
      <c r="EE20" s="2">
        <v>45409</v>
      </c>
      <c r="EF20" s="2">
        <v>45410</v>
      </c>
      <c r="EG20" s="2">
        <v>45411</v>
      </c>
      <c r="EH20" s="2">
        <v>45412</v>
      </c>
      <c r="EI20" s="2"/>
      <c r="EJ20" s="2"/>
      <c r="EK20" s="2"/>
      <c r="EM20" s="1" t="e">
        <f>(#REF!)</f>
        <v>#REF!</v>
      </c>
      <c r="EN20" s="9" t="e">
        <f>(#REF!)</f>
        <v>#REF!</v>
      </c>
      <c r="EO20" s="9" t="e">
        <f>(#REF!)</f>
        <v>#REF!</v>
      </c>
      <c r="EP20" s="9" t="e">
        <f>(#REF!)</f>
        <v>#REF!</v>
      </c>
      <c r="EQ20" s="12"/>
      <c r="ER20" s="1"/>
      <c r="ES20" s="10" t="s">
        <v>27</v>
      </c>
      <c r="ET20" s="10">
        <v>25000</v>
      </c>
      <c r="EU20" s="1"/>
      <c r="EV20" s="1"/>
      <c r="EW20" s="1"/>
      <c r="EX20" s="1"/>
      <c r="EY20" s="1"/>
    </row>
    <row r="21" spans="1:155" ht="18" customHeight="1" x14ac:dyDescent="0.3">
      <c r="A21" s="32" t="str">
        <f>(SALES!$A:$A)</f>
        <v>Tuesday, 2 January 2024</v>
      </c>
      <c r="B21" s="1">
        <f>(SALES!$C:$C)</f>
        <v>20</v>
      </c>
      <c r="C21" s="1">
        <f>(SALES!$D:$D)</f>
        <v>1</v>
      </c>
      <c r="D21" s="1" t="str">
        <f>(SALES!$E:$E)</f>
        <v>BEEF</v>
      </c>
      <c r="E21" s="1">
        <f>(SALES!$F:$F)</f>
        <v>16000</v>
      </c>
      <c r="F21" s="1">
        <f>(SALES!$G:$G)</f>
        <v>16000</v>
      </c>
      <c r="H21" s="2">
        <f>(EXPENSES!$A:$A)</f>
        <v>45295</v>
      </c>
      <c r="I21" s="10">
        <f>(EXPENSES!$B:$B)</f>
        <v>5</v>
      </c>
      <c r="J21" s="10" t="str">
        <f>(EXPENSES!$C:$C)</f>
        <v>PAID FOOD</v>
      </c>
      <c r="K21" s="10">
        <f>(EXPENSES!$D:$D)</f>
        <v>60000</v>
      </c>
      <c r="M21" s="3">
        <f t="shared" ref="M21:AP21" si="12">SUMIF($A:$A, "01/02/2024",$F:$F )</f>
        <v>0</v>
      </c>
      <c r="N21" s="3">
        <f t="shared" si="12"/>
        <v>0</v>
      </c>
      <c r="O21" s="3">
        <f t="shared" si="12"/>
        <v>0</v>
      </c>
      <c r="P21" s="3">
        <f t="shared" si="12"/>
        <v>0</v>
      </c>
      <c r="Q21" s="3">
        <f t="shared" si="12"/>
        <v>0</v>
      </c>
      <c r="R21" s="3">
        <f t="shared" si="12"/>
        <v>0</v>
      </c>
      <c r="S21" s="3">
        <f t="shared" si="12"/>
        <v>0</v>
      </c>
      <c r="T21" s="3">
        <f t="shared" si="12"/>
        <v>0</v>
      </c>
      <c r="U21" s="3">
        <f t="shared" si="12"/>
        <v>0</v>
      </c>
      <c r="V21" s="3">
        <f t="shared" si="12"/>
        <v>0</v>
      </c>
      <c r="W21" s="3">
        <f t="shared" si="12"/>
        <v>0</v>
      </c>
      <c r="X21" s="3">
        <f t="shared" si="12"/>
        <v>0</v>
      </c>
      <c r="Y21" s="3">
        <f t="shared" si="12"/>
        <v>0</v>
      </c>
      <c r="Z21" s="3">
        <f t="shared" si="12"/>
        <v>0</v>
      </c>
      <c r="AA21" s="3">
        <f t="shared" si="12"/>
        <v>0</v>
      </c>
      <c r="AB21" s="3">
        <f t="shared" si="12"/>
        <v>0</v>
      </c>
      <c r="AC21" s="3">
        <f t="shared" si="12"/>
        <v>0</v>
      </c>
      <c r="AD21" s="3">
        <f t="shared" si="12"/>
        <v>0</v>
      </c>
      <c r="AE21" s="3">
        <f t="shared" si="12"/>
        <v>0</v>
      </c>
      <c r="AF21" s="3">
        <f t="shared" si="12"/>
        <v>0</v>
      </c>
      <c r="AG21" s="3">
        <f t="shared" si="12"/>
        <v>0</v>
      </c>
      <c r="AH21" s="3">
        <f t="shared" si="12"/>
        <v>0</v>
      </c>
      <c r="AI21" s="3">
        <f t="shared" si="12"/>
        <v>0</v>
      </c>
      <c r="AJ21" s="3">
        <f t="shared" si="12"/>
        <v>0</v>
      </c>
      <c r="AK21" s="3">
        <f t="shared" si="12"/>
        <v>0</v>
      </c>
      <c r="AL21" s="3">
        <f t="shared" si="12"/>
        <v>0</v>
      </c>
      <c r="AM21" s="3">
        <f t="shared" si="12"/>
        <v>0</v>
      </c>
      <c r="AN21" s="3">
        <f t="shared" si="12"/>
        <v>0</v>
      </c>
      <c r="AO21" s="3">
        <f t="shared" si="12"/>
        <v>0</v>
      </c>
      <c r="AP21" s="3">
        <f t="shared" si="12"/>
        <v>0</v>
      </c>
      <c r="AQ21" s="2"/>
      <c r="AS21" s="3">
        <f t="shared" ref="AS21:BV21" si="13">SUMIF($A:$A, "01/02/2024",$F:$F )</f>
        <v>0</v>
      </c>
      <c r="AT21" s="3">
        <f t="shared" si="13"/>
        <v>0</v>
      </c>
      <c r="AU21" s="3">
        <f t="shared" si="13"/>
        <v>0</v>
      </c>
      <c r="AV21" s="3">
        <f t="shared" si="13"/>
        <v>0</v>
      </c>
      <c r="AW21" s="3">
        <f t="shared" si="13"/>
        <v>0</v>
      </c>
      <c r="AX21" s="3">
        <f t="shared" si="13"/>
        <v>0</v>
      </c>
      <c r="AY21" s="3">
        <f t="shared" si="13"/>
        <v>0</v>
      </c>
      <c r="AZ21" s="3">
        <f t="shared" si="13"/>
        <v>0</v>
      </c>
      <c r="BA21" s="3">
        <f t="shared" si="13"/>
        <v>0</v>
      </c>
      <c r="BB21" s="3">
        <f t="shared" si="13"/>
        <v>0</v>
      </c>
      <c r="BC21" s="3">
        <f t="shared" si="13"/>
        <v>0</v>
      </c>
      <c r="BD21" s="3">
        <f t="shared" si="13"/>
        <v>0</v>
      </c>
      <c r="BE21" s="3">
        <f t="shared" si="13"/>
        <v>0</v>
      </c>
      <c r="BF21" s="3">
        <f t="shared" si="13"/>
        <v>0</v>
      </c>
      <c r="BG21" s="3">
        <f t="shared" si="13"/>
        <v>0</v>
      </c>
      <c r="BH21" s="3">
        <f t="shared" si="13"/>
        <v>0</v>
      </c>
      <c r="BI21" s="3">
        <f t="shared" si="13"/>
        <v>0</v>
      </c>
      <c r="BJ21" s="3">
        <f t="shared" si="13"/>
        <v>0</v>
      </c>
      <c r="BK21" s="3">
        <f t="shared" si="13"/>
        <v>0</v>
      </c>
      <c r="BL21" s="3">
        <f t="shared" si="13"/>
        <v>0</v>
      </c>
      <c r="BM21" s="3">
        <f t="shared" si="13"/>
        <v>0</v>
      </c>
      <c r="BN21" s="3">
        <f t="shared" si="13"/>
        <v>0</v>
      </c>
      <c r="BO21" s="3">
        <f t="shared" si="13"/>
        <v>0</v>
      </c>
      <c r="BP21" s="3">
        <f t="shared" si="13"/>
        <v>0</v>
      </c>
      <c r="BQ21" s="3">
        <f t="shared" si="13"/>
        <v>0</v>
      </c>
      <c r="BR21" s="3">
        <f t="shared" si="13"/>
        <v>0</v>
      </c>
      <c r="BS21" s="3">
        <f t="shared" si="13"/>
        <v>0</v>
      </c>
      <c r="BT21" s="3">
        <f t="shared" si="13"/>
        <v>0</v>
      </c>
      <c r="BU21" s="3">
        <f t="shared" si="13"/>
        <v>0</v>
      </c>
      <c r="BV21" s="3">
        <f t="shared" si="13"/>
        <v>0</v>
      </c>
      <c r="BW21" s="2"/>
      <c r="BY21" s="3">
        <f>(M21-AS21)</f>
        <v>0</v>
      </c>
      <c r="BZ21" s="3">
        <f t="shared" ref="BZ21:DB21" si="14">SUMIF($A:$A, "01/02/2024",$F:$F )</f>
        <v>0</v>
      </c>
      <c r="CA21" s="3">
        <f t="shared" si="14"/>
        <v>0</v>
      </c>
      <c r="CB21" s="3">
        <f t="shared" si="14"/>
        <v>0</v>
      </c>
      <c r="CC21" s="3">
        <f t="shared" si="14"/>
        <v>0</v>
      </c>
      <c r="CD21" s="3">
        <f t="shared" si="14"/>
        <v>0</v>
      </c>
      <c r="CE21" s="3">
        <f t="shared" si="14"/>
        <v>0</v>
      </c>
      <c r="CF21" s="3">
        <f t="shared" si="14"/>
        <v>0</v>
      </c>
      <c r="CG21" s="3">
        <f t="shared" si="14"/>
        <v>0</v>
      </c>
      <c r="CH21" s="3">
        <f t="shared" si="14"/>
        <v>0</v>
      </c>
      <c r="CI21" s="3">
        <f t="shared" si="14"/>
        <v>0</v>
      </c>
      <c r="CJ21" s="3">
        <f t="shared" si="14"/>
        <v>0</v>
      </c>
      <c r="CK21" s="3">
        <f t="shared" si="14"/>
        <v>0</v>
      </c>
      <c r="CL21" s="3">
        <f t="shared" si="14"/>
        <v>0</v>
      </c>
      <c r="CM21" s="3">
        <f t="shared" si="14"/>
        <v>0</v>
      </c>
      <c r="CN21" s="3">
        <f t="shared" si="14"/>
        <v>0</v>
      </c>
      <c r="CO21" s="3">
        <f t="shared" si="14"/>
        <v>0</v>
      </c>
      <c r="CP21" s="3">
        <f t="shared" si="14"/>
        <v>0</v>
      </c>
      <c r="CQ21" s="3">
        <f t="shared" si="14"/>
        <v>0</v>
      </c>
      <c r="CR21" s="3">
        <f t="shared" si="14"/>
        <v>0</v>
      </c>
      <c r="CS21" s="3">
        <f t="shared" si="14"/>
        <v>0</v>
      </c>
      <c r="CT21" s="3">
        <f t="shared" si="14"/>
        <v>0</v>
      </c>
      <c r="CU21" s="3">
        <f t="shared" si="14"/>
        <v>0</v>
      </c>
      <c r="CV21" s="3">
        <f t="shared" si="14"/>
        <v>0</v>
      </c>
      <c r="CW21" s="3">
        <f t="shared" si="14"/>
        <v>0</v>
      </c>
      <c r="CX21" s="3">
        <f t="shared" si="14"/>
        <v>0</v>
      </c>
      <c r="CY21" s="3">
        <f t="shared" si="14"/>
        <v>0</v>
      </c>
      <c r="CZ21" s="3">
        <f t="shared" si="14"/>
        <v>0</v>
      </c>
      <c r="DA21" s="3">
        <f t="shared" si="14"/>
        <v>0</v>
      </c>
      <c r="DB21" s="3">
        <f t="shared" si="14"/>
        <v>0</v>
      </c>
      <c r="DC21" s="2"/>
      <c r="DE21" s="3">
        <f t="shared" ref="DE21:EH21" si="15">SUMIF($A:$A, "01/02/2024",$F:$F )</f>
        <v>0</v>
      </c>
      <c r="DF21" s="3">
        <f t="shared" si="15"/>
        <v>0</v>
      </c>
      <c r="DG21" s="3">
        <f t="shared" si="15"/>
        <v>0</v>
      </c>
      <c r="DH21" s="3">
        <f t="shared" si="15"/>
        <v>0</v>
      </c>
      <c r="DI21" s="3">
        <f t="shared" si="15"/>
        <v>0</v>
      </c>
      <c r="DJ21" s="3">
        <f t="shared" si="15"/>
        <v>0</v>
      </c>
      <c r="DK21" s="3">
        <f t="shared" si="15"/>
        <v>0</v>
      </c>
      <c r="DL21" s="3">
        <f t="shared" si="15"/>
        <v>0</v>
      </c>
      <c r="DM21" s="3">
        <f t="shared" si="15"/>
        <v>0</v>
      </c>
      <c r="DN21" s="3">
        <f t="shared" si="15"/>
        <v>0</v>
      </c>
      <c r="DO21" s="3">
        <f t="shared" si="15"/>
        <v>0</v>
      </c>
      <c r="DP21" s="3">
        <f t="shared" si="15"/>
        <v>0</v>
      </c>
      <c r="DQ21" s="3">
        <f t="shared" si="15"/>
        <v>0</v>
      </c>
      <c r="DR21" s="3">
        <f t="shared" si="15"/>
        <v>0</v>
      </c>
      <c r="DS21" s="3">
        <f t="shared" si="15"/>
        <v>0</v>
      </c>
      <c r="DT21" s="3">
        <f t="shared" si="15"/>
        <v>0</v>
      </c>
      <c r="DU21" s="3">
        <f t="shared" si="15"/>
        <v>0</v>
      </c>
      <c r="DV21" s="3">
        <f t="shared" si="15"/>
        <v>0</v>
      </c>
      <c r="DW21" s="3">
        <f t="shared" si="15"/>
        <v>0</v>
      </c>
      <c r="DX21" s="3">
        <f t="shared" si="15"/>
        <v>0</v>
      </c>
      <c r="DY21" s="3">
        <f t="shared" si="15"/>
        <v>0</v>
      </c>
      <c r="DZ21" s="3">
        <f t="shared" si="15"/>
        <v>0</v>
      </c>
      <c r="EA21" s="3">
        <f t="shared" si="15"/>
        <v>0</v>
      </c>
      <c r="EB21" s="3">
        <f t="shared" si="15"/>
        <v>0</v>
      </c>
      <c r="EC21" s="3">
        <f t="shared" si="15"/>
        <v>0</v>
      </c>
      <c r="ED21" s="3">
        <f t="shared" si="15"/>
        <v>0</v>
      </c>
      <c r="EE21" s="3">
        <f t="shared" si="15"/>
        <v>0</v>
      </c>
      <c r="EF21" s="3">
        <f t="shared" si="15"/>
        <v>0</v>
      </c>
      <c r="EG21" s="3">
        <f t="shared" si="15"/>
        <v>0</v>
      </c>
      <c r="EH21" s="3">
        <f t="shared" si="15"/>
        <v>0</v>
      </c>
      <c r="EI21" s="2"/>
      <c r="EM21" s="1" t="e">
        <f>(#REF!)</f>
        <v>#REF!</v>
      </c>
      <c r="EN21" s="9" t="e">
        <f>(#REF!)</f>
        <v>#REF!</v>
      </c>
      <c r="EO21" s="9" t="e">
        <f>(#REF!)</f>
        <v>#REF!</v>
      </c>
      <c r="EP21" s="9" t="e">
        <f>(#REF!)</f>
        <v>#REF!</v>
      </c>
      <c r="EQ21" s="12"/>
      <c r="ER21" s="1"/>
      <c r="ES21" s="10" t="s">
        <v>28</v>
      </c>
      <c r="ET21" s="10">
        <v>10000</v>
      </c>
      <c r="EU21" s="1"/>
      <c r="EV21" s="1"/>
      <c r="EW21" s="1"/>
      <c r="EX21" s="1"/>
      <c r="EY21" s="1"/>
    </row>
    <row r="22" spans="1:155" ht="18" customHeight="1" x14ac:dyDescent="0.3">
      <c r="A22" s="32" t="str">
        <f>(SALES!$A:$A)</f>
        <v>Tuesday, 2 January 2024</v>
      </c>
      <c r="B22" s="1">
        <f>(SALES!$C:$C)</f>
        <v>21</v>
      </c>
      <c r="C22" s="1">
        <f>(SALES!$D:$D)</f>
        <v>1</v>
      </c>
      <c r="D22" s="1" t="str">
        <f>(SALES!$E:$E)</f>
        <v>DOG BONES</v>
      </c>
      <c r="E22" s="1">
        <f>(SALES!$F:$F)</f>
        <v>4000</v>
      </c>
      <c r="F22" s="1">
        <f>(SALES!$G:$G)</f>
        <v>4000</v>
      </c>
      <c r="H22" s="2">
        <f>(EXPENSES!$A:$A)</f>
        <v>45295</v>
      </c>
      <c r="I22" s="10">
        <f>(EXPENSES!$B:$B)</f>
        <v>8</v>
      </c>
      <c r="J22" s="10" t="str">
        <f>(EXPENSES!$C:$C)</f>
        <v>PAID EVA</v>
      </c>
      <c r="K22" s="10">
        <f>(EXPENSES!$D:$D)</f>
        <v>100000</v>
      </c>
      <c r="EJ22" s="12"/>
      <c r="EK22" s="12"/>
      <c r="EM22" s="1" t="e">
        <f>(#REF!)</f>
        <v>#REF!</v>
      </c>
      <c r="EN22" s="9" t="e">
        <f>(#REF!)</f>
        <v>#REF!</v>
      </c>
      <c r="EO22" s="9" t="e">
        <f>(#REF!)</f>
        <v>#REF!</v>
      </c>
      <c r="EP22" s="9" t="e">
        <f>(#REF!)</f>
        <v>#REF!</v>
      </c>
      <c r="EQ22" s="12"/>
      <c r="ER22" s="1"/>
      <c r="ES22" s="12" t="s">
        <v>29</v>
      </c>
      <c r="ET22" s="12">
        <v>19000</v>
      </c>
      <c r="EU22" s="1"/>
      <c r="EV22" s="1"/>
      <c r="EW22" s="1"/>
      <c r="EX22" s="1"/>
      <c r="EY22" s="1"/>
    </row>
    <row r="23" spans="1:155" ht="18" customHeight="1" x14ac:dyDescent="0.3">
      <c r="A23" s="32" t="str">
        <f>(SALES!$A:$A)</f>
        <v>Tuesday, 2 January 2024</v>
      </c>
      <c r="B23" s="1">
        <f>(SALES!$C:$C)</f>
        <v>22</v>
      </c>
      <c r="C23" s="1">
        <f>(SALES!$D:$D)</f>
        <v>3</v>
      </c>
      <c r="D23" s="1" t="str">
        <f>(SALES!$E:$E)</f>
        <v>AVOCADO</v>
      </c>
      <c r="E23" s="1">
        <f>(SALES!$F:$F)</f>
        <v>1000</v>
      </c>
      <c r="F23" s="1">
        <f>(SALES!$G:$G)</f>
        <v>3000</v>
      </c>
      <c r="H23" s="2">
        <f>(EXPENSES!$A:$A)</f>
        <v>45295</v>
      </c>
      <c r="I23" s="10">
        <f>(EXPENSES!$B:$B)</f>
        <v>4</v>
      </c>
      <c r="J23" s="10" t="str">
        <f>(EXPENSES!$C:$C)</f>
        <v>PAID DIRISA</v>
      </c>
      <c r="K23" s="10">
        <f>(EXPENSES!$D:$D)</f>
        <v>200000</v>
      </c>
      <c r="M23" s="47" t="s">
        <v>30</v>
      </c>
      <c r="N23" s="48"/>
      <c r="O23" s="48"/>
      <c r="P23" s="48"/>
      <c r="Q23" s="48"/>
      <c r="R23" s="48"/>
      <c r="S23" s="48"/>
      <c r="T23" s="48"/>
      <c r="U23" s="48"/>
      <c r="V23" s="48"/>
      <c r="W23" s="48"/>
      <c r="X23" s="48"/>
      <c r="Y23" s="48"/>
      <c r="Z23" s="48"/>
      <c r="AA23" s="48"/>
      <c r="AB23" s="48"/>
      <c r="AC23" s="48"/>
      <c r="AD23" s="48"/>
      <c r="AE23" s="48"/>
      <c r="AF23" s="48"/>
      <c r="AG23" s="48"/>
      <c r="AH23" s="48"/>
      <c r="AI23" s="48"/>
      <c r="AJ23" s="48"/>
      <c r="AK23" s="48"/>
      <c r="AL23" s="48"/>
      <c r="AM23" s="48"/>
      <c r="AN23" s="48"/>
      <c r="AO23" s="48"/>
      <c r="AP23" s="48"/>
      <c r="AQ23" s="49"/>
      <c r="AS23" s="47" t="s">
        <v>30</v>
      </c>
      <c r="AT23" s="48"/>
      <c r="AU23" s="48"/>
      <c r="AV23" s="48"/>
      <c r="AW23" s="48"/>
      <c r="AX23" s="48"/>
      <c r="AY23" s="48"/>
      <c r="AZ23" s="48"/>
      <c r="BA23" s="48"/>
      <c r="BB23" s="48"/>
      <c r="BC23" s="48"/>
      <c r="BD23" s="48"/>
      <c r="BE23" s="48"/>
      <c r="BF23" s="48"/>
      <c r="BG23" s="48"/>
      <c r="BH23" s="48"/>
      <c r="BI23" s="48"/>
      <c r="BJ23" s="48"/>
      <c r="BK23" s="48"/>
      <c r="BL23" s="48"/>
      <c r="BM23" s="48"/>
      <c r="BN23" s="48"/>
      <c r="BO23" s="48"/>
      <c r="BP23" s="48"/>
      <c r="BQ23" s="48"/>
      <c r="BR23" s="48"/>
      <c r="BS23" s="48"/>
      <c r="BT23" s="48"/>
      <c r="BU23" s="48"/>
      <c r="BV23" s="48"/>
      <c r="BW23" s="49"/>
      <c r="BY23" s="47" t="s">
        <v>30</v>
      </c>
      <c r="BZ23" s="48"/>
      <c r="CA23" s="48"/>
      <c r="CB23" s="48"/>
      <c r="CC23" s="48"/>
      <c r="CD23" s="48"/>
      <c r="CE23" s="48"/>
      <c r="CF23" s="48"/>
      <c r="CG23" s="48"/>
      <c r="CH23" s="48"/>
      <c r="CI23" s="48"/>
      <c r="CJ23" s="48"/>
      <c r="CK23" s="48"/>
      <c r="CL23" s="48"/>
      <c r="CM23" s="48"/>
      <c r="CN23" s="48"/>
      <c r="CO23" s="48"/>
      <c r="CP23" s="48"/>
      <c r="CQ23" s="48"/>
      <c r="CR23" s="48"/>
      <c r="CS23" s="48"/>
      <c r="CT23" s="48"/>
      <c r="CU23" s="48"/>
      <c r="CV23" s="48"/>
      <c r="CW23" s="48"/>
      <c r="CX23" s="48"/>
      <c r="CY23" s="48"/>
      <c r="CZ23" s="48"/>
      <c r="DA23" s="48"/>
      <c r="DB23" s="48"/>
      <c r="DC23" s="49"/>
      <c r="DE23" s="47" t="s">
        <v>30</v>
      </c>
      <c r="DF23" s="48"/>
      <c r="DG23" s="48"/>
      <c r="DH23" s="48"/>
      <c r="DI23" s="48"/>
      <c r="DJ23" s="48"/>
      <c r="DK23" s="48"/>
      <c r="DL23" s="48"/>
      <c r="DM23" s="48"/>
      <c r="DN23" s="48"/>
      <c r="DO23" s="48"/>
      <c r="DP23" s="48"/>
      <c r="DQ23" s="48"/>
      <c r="DR23" s="48"/>
      <c r="DS23" s="48"/>
      <c r="DT23" s="48"/>
      <c r="DU23" s="48"/>
      <c r="DV23" s="48"/>
      <c r="DW23" s="48"/>
      <c r="DX23" s="48"/>
      <c r="DY23" s="48"/>
      <c r="DZ23" s="48"/>
      <c r="EA23" s="48"/>
      <c r="EB23" s="48"/>
      <c r="EC23" s="48"/>
      <c r="ED23" s="48"/>
      <c r="EE23" s="48"/>
      <c r="EF23" s="48"/>
      <c r="EG23" s="48"/>
      <c r="EH23" s="48"/>
      <c r="EI23" s="49"/>
      <c r="EJ23" s="3"/>
      <c r="EK23" s="3"/>
      <c r="EM23" s="1" t="e">
        <f>(#REF!)</f>
        <v>#REF!</v>
      </c>
      <c r="EN23" s="9" t="e">
        <f>(#REF!)</f>
        <v>#REF!</v>
      </c>
      <c r="EO23" s="9" t="e">
        <f>(#REF!)</f>
        <v>#REF!</v>
      </c>
      <c r="EP23" s="9" t="e">
        <f>(#REF!)</f>
        <v>#REF!</v>
      </c>
      <c r="EQ23" s="12"/>
      <c r="ER23" s="1"/>
      <c r="ES23" s="10" t="s">
        <v>29</v>
      </c>
      <c r="ET23" s="10">
        <v>20000</v>
      </c>
      <c r="EU23" s="1"/>
      <c r="EV23" s="1"/>
      <c r="EW23" s="1"/>
      <c r="EX23" s="1"/>
      <c r="EY23" s="1"/>
    </row>
    <row r="24" spans="1:155" ht="18" customHeight="1" x14ac:dyDescent="0.3">
      <c r="A24" s="32" t="str">
        <f>(SALES!$A:$A)</f>
        <v>Tuesday, 2 January 2024</v>
      </c>
      <c r="B24" s="1">
        <f>(SALES!$C:$C)</f>
        <v>1</v>
      </c>
      <c r="C24" s="1">
        <f>(SALES!$D:$D)</f>
        <v>1</v>
      </c>
      <c r="D24" s="1" t="str">
        <f>(SALES!$E:$E)</f>
        <v>YELLOW YOLK EGGS</v>
      </c>
      <c r="E24" s="1">
        <f>(SALES!$F:$F)</f>
        <v>20000</v>
      </c>
      <c r="F24" s="1">
        <f>(SALES!$G:$G)</f>
        <v>20000</v>
      </c>
      <c r="H24" s="2">
        <f>(EXPENSES!$A:$A)</f>
        <v>45295</v>
      </c>
      <c r="I24" s="10">
        <f>(EXPENSES!$B:$B)</f>
        <v>9</v>
      </c>
      <c r="J24" s="10" t="str">
        <f>(EXPENSES!$C:$C)</f>
        <v xml:space="preserve">PAID ASHIRAF </v>
      </c>
      <c r="K24" s="10">
        <f>(EXPENSES!$D:$D)</f>
        <v>300000</v>
      </c>
      <c r="M24" s="3" t="e">
        <f>TEXT(WEEKDAY(DATE(CalendarYear,5,1),1),"aaa")</f>
        <v>#REF!</v>
      </c>
      <c r="N24" s="3" t="e">
        <f>TEXT(WEEKDAY(DATE(CalendarYear,5,2),1),"aaa")</f>
        <v>#REF!</v>
      </c>
      <c r="O24" s="3" t="e">
        <f>TEXT(WEEKDAY(DATE(CalendarYear,5,3),1),"aaa")</f>
        <v>#REF!</v>
      </c>
      <c r="P24" s="3" t="e">
        <f>TEXT(WEEKDAY(DATE(CalendarYear,5,4),1),"aaa")</f>
        <v>#REF!</v>
      </c>
      <c r="Q24" s="3" t="e">
        <f>TEXT(WEEKDAY(DATE(CalendarYear,5,5),1),"aaa")</f>
        <v>#REF!</v>
      </c>
      <c r="R24" s="3" t="e">
        <f>TEXT(WEEKDAY(DATE(CalendarYear,5,6),1),"aaa")</f>
        <v>#REF!</v>
      </c>
      <c r="S24" s="3" t="e">
        <f>TEXT(WEEKDAY(DATE(CalendarYear,5,7),1),"aaa")</f>
        <v>#REF!</v>
      </c>
      <c r="T24" s="3" t="e">
        <f>TEXT(WEEKDAY(DATE(CalendarYear,5,8),1),"aaa")</f>
        <v>#REF!</v>
      </c>
      <c r="U24" s="3" t="e">
        <f>TEXT(WEEKDAY(DATE(CalendarYear,5,9),1),"aaa")</f>
        <v>#REF!</v>
      </c>
      <c r="V24" s="3" t="e">
        <f>TEXT(WEEKDAY(DATE(CalendarYear,5,10),1),"aaa")</f>
        <v>#REF!</v>
      </c>
      <c r="W24" s="3" t="e">
        <f>TEXT(WEEKDAY(DATE(CalendarYear,5,11),1),"aaa")</f>
        <v>#REF!</v>
      </c>
      <c r="X24" s="3" t="e">
        <f>TEXT(WEEKDAY(DATE(CalendarYear,5,12),1),"aaa")</f>
        <v>#REF!</v>
      </c>
      <c r="Y24" s="3" t="e">
        <f>TEXT(WEEKDAY(DATE(CalendarYear,5,13),1),"aaa")</f>
        <v>#REF!</v>
      </c>
      <c r="Z24" s="3" t="e">
        <f>TEXT(WEEKDAY(DATE(CalendarYear,5,14),1),"aaa")</f>
        <v>#REF!</v>
      </c>
      <c r="AA24" s="3" t="e">
        <f>TEXT(WEEKDAY(DATE(CalendarYear,5,15),1),"aaa")</f>
        <v>#REF!</v>
      </c>
      <c r="AB24" s="3" t="e">
        <f>TEXT(WEEKDAY(DATE(CalendarYear,5,16),1),"aaa")</f>
        <v>#REF!</v>
      </c>
      <c r="AC24" s="3" t="e">
        <f>TEXT(WEEKDAY(DATE(CalendarYear,5,17),1),"aaa")</f>
        <v>#REF!</v>
      </c>
      <c r="AD24" s="3" t="e">
        <f>TEXT(WEEKDAY(DATE(CalendarYear,5,18),1),"aaa")</f>
        <v>#REF!</v>
      </c>
      <c r="AE24" s="3" t="e">
        <f>TEXT(WEEKDAY(DATE(CalendarYear,5,19),1),"aaa")</f>
        <v>#REF!</v>
      </c>
      <c r="AF24" s="3" t="e">
        <f>TEXT(WEEKDAY(DATE(CalendarYear,5,20),1),"aaa")</f>
        <v>#REF!</v>
      </c>
      <c r="AG24" s="3" t="e">
        <f>TEXT(WEEKDAY(DATE(CalendarYear,5,21),1),"aaa")</f>
        <v>#REF!</v>
      </c>
      <c r="AH24" s="3" t="e">
        <f>TEXT(WEEKDAY(DATE(CalendarYear,5,22),1),"aaa")</f>
        <v>#REF!</v>
      </c>
      <c r="AI24" s="3" t="e">
        <f>TEXT(WEEKDAY(DATE(CalendarYear,5,23),1),"aaa")</f>
        <v>#REF!</v>
      </c>
      <c r="AJ24" s="3" t="e">
        <f>TEXT(WEEKDAY(DATE(CalendarYear,5,24),1),"aaa")</f>
        <v>#REF!</v>
      </c>
      <c r="AK24" s="3" t="e">
        <f>TEXT(WEEKDAY(DATE(CalendarYear,5,25),1),"aaa")</f>
        <v>#REF!</v>
      </c>
      <c r="AL24" s="3" t="e">
        <f>TEXT(WEEKDAY(DATE(CalendarYear,5,26),1),"aaa")</f>
        <v>#REF!</v>
      </c>
      <c r="AM24" s="3" t="e">
        <f>TEXT(WEEKDAY(DATE(CalendarYear,5,27),1),"aaa")</f>
        <v>#REF!</v>
      </c>
      <c r="AN24" s="3" t="e">
        <f>TEXT(WEEKDAY(DATE(CalendarYear,5,28),1),"aaa")</f>
        <v>#REF!</v>
      </c>
      <c r="AO24" s="3" t="e">
        <f>TEXT(WEEKDAY(DATE(CalendarYear,5,29),1),"aaa")</f>
        <v>#REF!</v>
      </c>
      <c r="AP24" s="3" t="e">
        <f>TEXT(WEEKDAY(DATE(CalendarYear,5,30),1),"aaa")</f>
        <v>#REF!</v>
      </c>
      <c r="AQ24" s="3" t="e">
        <f>TEXT(WEEKDAY(DATE(CalendarYear,5,31),1),"aaa")</f>
        <v>#REF!</v>
      </c>
      <c r="AS24" s="3" t="e">
        <f>TEXT(WEEKDAY(DATE(CalendarYear,5,1),1),"aaa")</f>
        <v>#REF!</v>
      </c>
      <c r="AT24" s="3" t="e">
        <f>TEXT(WEEKDAY(DATE(CalendarYear,5,2),1),"aaa")</f>
        <v>#REF!</v>
      </c>
      <c r="AU24" s="3" t="e">
        <f>TEXT(WEEKDAY(DATE(CalendarYear,5,3),1),"aaa")</f>
        <v>#REF!</v>
      </c>
      <c r="AV24" s="3" t="e">
        <f>TEXT(WEEKDAY(DATE(CalendarYear,5,4),1),"aaa")</f>
        <v>#REF!</v>
      </c>
      <c r="AW24" s="3" t="e">
        <f>TEXT(WEEKDAY(DATE(CalendarYear,5,5),1),"aaa")</f>
        <v>#REF!</v>
      </c>
      <c r="AX24" s="3" t="e">
        <f>TEXT(WEEKDAY(DATE(CalendarYear,5,6),1),"aaa")</f>
        <v>#REF!</v>
      </c>
      <c r="AY24" s="3" t="e">
        <f>TEXT(WEEKDAY(DATE(CalendarYear,5,7),1),"aaa")</f>
        <v>#REF!</v>
      </c>
      <c r="AZ24" s="3" t="e">
        <f>TEXT(WEEKDAY(DATE(CalendarYear,5,8),1),"aaa")</f>
        <v>#REF!</v>
      </c>
      <c r="BA24" s="3" t="e">
        <f>TEXT(WEEKDAY(DATE(CalendarYear,5,9),1),"aaa")</f>
        <v>#REF!</v>
      </c>
      <c r="BB24" s="3" t="e">
        <f>TEXT(WEEKDAY(DATE(CalendarYear,5,10),1),"aaa")</f>
        <v>#REF!</v>
      </c>
      <c r="BC24" s="3" t="e">
        <f>TEXT(WEEKDAY(DATE(CalendarYear,5,11),1),"aaa")</f>
        <v>#REF!</v>
      </c>
      <c r="BD24" s="3" t="e">
        <f>TEXT(WEEKDAY(DATE(CalendarYear,5,12),1),"aaa")</f>
        <v>#REF!</v>
      </c>
      <c r="BE24" s="3" t="e">
        <f>TEXT(WEEKDAY(DATE(CalendarYear,5,13),1),"aaa")</f>
        <v>#REF!</v>
      </c>
      <c r="BF24" s="3" t="e">
        <f>TEXT(WEEKDAY(DATE(CalendarYear,5,14),1),"aaa")</f>
        <v>#REF!</v>
      </c>
      <c r="BG24" s="3" t="e">
        <f>TEXT(WEEKDAY(DATE(CalendarYear,5,15),1),"aaa")</f>
        <v>#REF!</v>
      </c>
      <c r="BH24" s="3" t="e">
        <f>TEXT(WEEKDAY(DATE(CalendarYear,5,16),1),"aaa")</f>
        <v>#REF!</v>
      </c>
      <c r="BI24" s="3" t="e">
        <f>TEXT(WEEKDAY(DATE(CalendarYear,5,17),1),"aaa")</f>
        <v>#REF!</v>
      </c>
      <c r="BJ24" s="3" t="e">
        <f>TEXT(WEEKDAY(DATE(CalendarYear,5,18),1),"aaa")</f>
        <v>#REF!</v>
      </c>
      <c r="BK24" s="3" t="e">
        <f>TEXT(WEEKDAY(DATE(CalendarYear,5,19),1),"aaa")</f>
        <v>#REF!</v>
      </c>
      <c r="BL24" s="3" t="e">
        <f>TEXT(WEEKDAY(DATE(CalendarYear,5,20),1),"aaa")</f>
        <v>#REF!</v>
      </c>
      <c r="BM24" s="3" t="e">
        <f>TEXT(WEEKDAY(DATE(CalendarYear,5,21),1),"aaa")</f>
        <v>#REF!</v>
      </c>
      <c r="BN24" s="3" t="e">
        <f>TEXT(WEEKDAY(DATE(CalendarYear,5,22),1),"aaa")</f>
        <v>#REF!</v>
      </c>
      <c r="BO24" s="3" t="e">
        <f>TEXT(WEEKDAY(DATE(CalendarYear,5,23),1),"aaa")</f>
        <v>#REF!</v>
      </c>
      <c r="BP24" s="3" t="e">
        <f>TEXT(WEEKDAY(DATE(CalendarYear,5,24),1),"aaa")</f>
        <v>#REF!</v>
      </c>
      <c r="BQ24" s="3" t="e">
        <f>TEXT(WEEKDAY(DATE(CalendarYear,5,25),1),"aaa")</f>
        <v>#REF!</v>
      </c>
      <c r="BR24" s="3" t="e">
        <f>TEXT(WEEKDAY(DATE(CalendarYear,5,26),1),"aaa")</f>
        <v>#REF!</v>
      </c>
      <c r="BS24" s="3" t="e">
        <f>TEXT(WEEKDAY(DATE(CalendarYear,5,27),1),"aaa")</f>
        <v>#REF!</v>
      </c>
      <c r="BT24" s="3" t="e">
        <f>TEXT(WEEKDAY(DATE(CalendarYear,5,28),1),"aaa")</f>
        <v>#REF!</v>
      </c>
      <c r="BU24" s="3" t="e">
        <f>TEXT(WEEKDAY(DATE(CalendarYear,5,29),1),"aaa")</f>
        <v>#REF!</v>
      </c>
      <c r="BV24" s="3" t="e">
        <f>TEXT(WEEKDAY(DATE(CalendarYear,5,30),1),"aaa")</f>
        <v>#REF!</v>
      </c>
      <c r="BW24" s="3" t="e">
        <f>TEXT(WEEKDAY(DATE(CalendarYear,5,31),1),"aaa")</f>
        <v>#REF!</v>
      </c>
      <c r="BY24" s="3" t="e">
        <f>TEXT(WEEKDAY(DATE(CalendarYear,5,1),1),"aaa")</f>
        <v>#REF!</v>
      </c>
      <c r="BZ24" s="3" t="e">
        <f>TEXT(WEEKDAY(DATE(CalendarYear,5,2),1),"aaa")</f>
        <v>#REF!</v>
      </c>
      <c r="CA24" s="3" t="e">
        <f>TEXT(WEEKDAY(DATE(CalendarYear,5,3),1),"aaa")</f>
        <v>#REF!</v>
      </c>
      <c r="CB24" s="3" t="e">
        <f>TEXT(WEEKDAY(DATE(CalendarYear,5,4),1),"aaa")</f>
        <v>#REF!</v>
      </c>
      <c r="CC24" s="3" t="e">
        <f>TEXT(WEEKDAY(DATE(CalendarYear,5,5),1),"aaa")</f>
        <v>#REF!</v>
      </c>
      <c r="CD24" s="3" t="e">
        <f>TEXT(WEEKDAY(DATE(CalendarYear,5,6),1),"aaa")</f>
        <v>#REF!</v>
      </c>
      <c r="CE24" s="3" t="e">
        <f>TEXT(WEEKDAY(DATE(CalendarYear,5,7),1),"aaa")</f>
        <v>#REF!</v>
      </c>
      <c r="CF24" s="3" t="e">
        <f>TEXT(WEEKDAY(DATE(CalendarYear,5,8),1),"aaa")</f>
        <v>#REF!</v>
      </c>
      <c r="CG24" s="3" t="e">
        <f>TEXT(WEEKDAY(DATE(CalendarYear,5,9),1),"aaa")</f>
        <v>#REF!</v>
      </c>
      <c r="CH24" s="3" t="e">
        <f>TEXT(WEEKDAY(DATE(CalendarYear,5,10),1),"aaa")</f>
        <v>#REF!</v>
      </c>
      <c r="CI24" s="3" t="e">
        <f>TEXT(WEEKDAY(DATE(CalendarYear,5,11),1),"aaa")</f>
        <v>#REF!</v>
      </c>
      <c r="CJ24" s="3" t="e">
        <f>TEXT(WEEKDAY(DATE(CalendarYear,5,12),1),"aaa")</f>
        <v>#REF!</v>
      </c>
      <c r="CK24" s="3" t="e">
        <f>TEXT(WEEKDAY(DATE(CalendarYear,5,13),1),"aaa")</f>
        <v>#REF!</v>
      </c>
      <c r="CL24" s="3" t="e">
        <f>TEXT(WEEKDAY(DATE(CalendarYear,5,14),1),"aaa")</f>
        <v>#REF!</v>
      </c>
      <c r="CM24" s="3" t="e">
        <f>TEXT(WEEKDAY(DATE(CalendarYear,5,15),1),"aaa")</f>
        <v>#REF!</v>
      </c>
      <c r="CN24" s="3" t="e">
        <f>TEXT(WEEKDAY(DATE(CalendarYear,5,16),1),"aaa")</f>
        <v>#REF!</v>
      </c>
      <c r="CO24" s="3" t="e">
        <f>TEXT(WEEKDAY(DATE(CalendarYear,5,17),1),"aaa")</f>
        <v>#REF!</v>
      </c>
      <c r="CP24" s="3" t="e">
        <f>TEXT(WEEKDAY(DATE(CalendarYear,5,18),1),"aaa")</f>
        <v>#REF!</v>
      </c>
      <c r="CQ24" s="3" t="e">
        <f>TEXT(WEEKDAY(DATE(CalendarYear,5,19),1),"aaa")</f>
        <v>#REF!</v>
      </c>
      <c r="CR24" s="3" t="e">
        <f>TEXT(WEEKDAY(DATE(CalendarYear,5,20),1),"aaa")</f>
        <v>#REF!</v>
      </c>
      <c r="CS24" s="3" t="e">
        <f>TEXT(WEEKDAY(DATE(CalendarYear,5,21),1),"aaa")</f>
        <v>#REF!</v>
      </c>
      <c r="CT24" s="3" t="e">
        <f>TEXT(WEEKDAY(DATE(CalendarYear,5,22),1),"aaa")</f>
        <v>#REF!</v>
      </c>
      <c r="CU24" s="3" t="e">
        <f>TEXT(WEEKDAY(DATE(CalendarYear,5,23),1),"aaa")</f>
        <v>#REF!</v>
      </c>
      <c r="CV24" s="3" t="e">
        <f>TEXT(WEEKDAY(DATE(CalendarYear,5,24),1),"aaa")</f>
        <v>#REF!</v>
      </c>
      <c r="CW24" s="3" t="e">
        <f>TEXT(WEEKDAY(DATE(CalendarYear,5,25),1),"aaa")</f>
        <v>#REF!</v>
      </c>
      <c r="CX24" s="3" t="e">
        <f>TEXT(WEEKDAY(DATE(CalendarYear,5,26),1),"aaa")</f>
        <v>#REF!</v>
      </c>
      <c r="CY24" s="3" t="e">
        <f>TEXT(WEEKDAY(DATE(CalendarYear,5,27),1),"aaa")</f>
        <v>#REF!</v>
      </c>
      <c r="CZ24" s="3" t="e">
        <f>TEXT(WEEKDAY(DATE(CalendarYear,5,28),1),"aaa")</f>
        <v>#REF!</v>
      </c>
      <c r="DA24" s="3" t="e">
        <f>TEXT(WEEKDAY(DATE(CalendarYear,5,29),1),"aaa")</f>
        <v>#REF!</v>
      </c>
      <c r="DB24" s="3" t="e">
        <f>TEXT(WEEKDAY(DATE(CalendarYear,5,30),1),"aaa")</f>
        <v>#REF!</v>
      </c>
      <c r="DC24" s="3" t="e">
        <f>TEXT(WEEKDAY(DATE(CalendarYear,5,31),1),"aaa")</f>
        <v>#REF!</v>
      </c>
      <c r="DE24" s="3" t="e">
        <f>TEXT(WEEKDAY(DATE(CalendarYear,5,1),1),"aaa")</f>
        <v>#REF!</v>
      </c>
      <c r="DF24" s="3" t="e">
        <f>TEXT(WEEKDAY(DATE(CalendarYear,5,2),1),"aaa")</f>
        <v>#REF!</v>
      </c>
      <c r="DG24" s="3" t="e">
        <f>TEXT(WEEKDAY(DATE(CalendarYear,5,3),1),"aaa")</f>
        <v>#REF!</v>
      </c>
      <c r="DH24" s="3" t="e">
        <f>TEXT(WEEKDAY(DATE(CalendarYear,5,4),1),"aaa")</f>
        <v>#REF!</v>
      </c>
      <c r="DI24" s="3" t="e">
        <f>TEXT(WEEKDAY(DATE(CalendarYear,5,5),1),"aaa")</f>
        <v>#REF!</v>
      </c>
      <c r="DJ24" s="3" t="e">
        <f>TEXT(WEEKDAY(DATE(CalendarYear,5,6),1),"aaa")</f>
        <v>#REF!</v>
      </c>
      <c r="DK24" s="3" t="e">
        <f>TEXT(WEEKDAY(DATE(CalendarYear,5,7),1),"aaa")</f>
        <v>#REF!</v>
      </c>
      <c r="DL24" s="3" t="e">
        <f>TEXT(WEEKDAY(DATE(CalendarYear,5,8),1),"aaa")</f>
        <v>#REF!</v>
      </c>
      <c r="DM24" s="3" t="e">
        <f>TEXT(WEEKDAY(DATE(CalendarYear,5,9),1),"aaa")</f>
        <v>#REF!</v>
      </c>
      <c r="DN24" s="3" t="e">
        <f>TEXT(WEEKDAY(DATE(CalendarYear,5,10),1),"aaa")</f>
        <v>#REF!</v>
      </c>
      <c r="DO24" s="3" t="e">
        <f>TEXT(WEEKDAY(DATE(CalendarYear,5,11),1),"aaa")</f>
        <v>#REF!</v>
      </c>
      <c r="DP24" s="3" t="e">
        <f>TEXT(WEEKDAY(DATE(CalendarYear,5,12),1),"aaa")</f>
        <v>#REF!</v>
      </c>
      <c r="DQ24" s="3" t="e">
        <f>TEXT(WEEKDAY(DATE(CalendarYear,5,13),1),"aaa")</f>
        <v>#REF!</v>
      </c>
      <c r="DR24" s="3" t="e">
        <f>TEXT(WEEKDAY(DATE(CalendarYear,5,14),1),"aaa")</f>
        <v>#REF!</v>
      </c>
      <c r="DS24" s="3" t="e">
        <f>TEXT(WEEKDAY(DATE(CalendarYear,5,15),1),"aaa")</f>
        <v>#REF!</v>
      </c>
      <c r="DT24" s="3" t="e">
        <f>TEXT(WEEKDAY(DATE(CalendarYear,5,16),1),"aaa")</f>
        <v>#REF!</v>
      </c>
      <c r="DU24" s="3" t="e">
        <f>TEXT(WEEKDAY(DATE(CalendarYear,5,17),1),"aaa")</f>
        <v>#REF!</v>
      </c>
      <c r="DV24" s="3" t="e">
        <f>TEXT(WEEKDAY(DATE(CalendarYear,5,18),1),"aaa")</f>
        <v>#REF!</v>
      </c>
      <c r="DW24" s="3" t="e">
        <f>TEXT(WEEKDAY(DATE(CalendarYear,5,19),1),"aaa")</f>
        <v>#REF!</v>
      </c>
      <c r="DX24" s="3" t="e">
        <f>TEXT(WEEKDAY(DATE(CalendarYear,5,20),1),"aaa")</f>
        <v>#REF!</v>
      </c>
      <c r="DY24" s="3" t="e">
        <f>TEXT(WEEKDAY(DATE(CalendarYear,5,21),1),"aaa")</f>
        <v>#REF!</v>
      </c>
      <c r="DZ24" s="3" t="e">
        <f>TEXT(WEEKDAY(DATE(CalendarYear,5,22),1),"aaa")</f>
        <v>#REF!</v>
      </c>
      <c r="EA24" s="3" t="e">
        <f>TEXT(WEEKDAY(DATE(CalendarYear,5,23),1),"aaa")</f>
        <v>#REF!</v>
      </c>
      <c r="EB24" s="3" t="e">
        <f>TEXT(WEEKDAY(DATE(CalendarYear,5,24),1),"aaa")</f>
        <v>#REF!</v>
      </c>
      <c r="EC24" s="3" t="e">
        <f>TEXT(WEEKDAY(DATE(CalendarYear,5,25),1),"aaa")</f>
        <v>#REF!</v>
      </c>
      <c r="ED24" s="3" t="e">
        <f>TEXT(WEEKDAY(DATE(CalendarYear,5,26),1),"aaa")</f>
        <v>#REF!</v>
      </c>
      <c r="EE24" s="3" t="e">
        <f>TEXT(WEEKDAY(DATE(CalendarYear,5,27),1),"aaa")</f>
        <v>#REF!</v>
      </c>
      <c r="EF24" s="3" t="e">
        <f>TEXT(WEEKDAY(DATE(CalendarYear,5,28),1),"aaa")</f>
        <v>#REF!</v>
      </c>
      <c r="EG24" s="3" t="e">
        <f>TEXT(WEEKDAY(DATE(CalendarYear,5,29),1),"aaa")</f>
        <v>#REF!</v>
      </c>
      <c r="EH24" s="3" t="e">
        <f>TEXT(WEEKDAY(DATE(CalendarYear,5,30),1),"aaa")</f>
        <v>#REF!</v>
      </c>
      <c r="EI24" s="3" t="e">
        <f>TEXT(WEEKDAY(DATE(CalendarYear,5,31),1),"aaa")</f>
        <v>#REF!</v>
      </c>
      <c r="EJ24" s="2"/>
      <c r="EK24" s="2"/>
      <c r="EM24" s="1" t="e">
        <f>(#REF!)</f>
        <v>#REF!</v>
      </c>
      <c r="EN24" s="9" t="e">
        <f>(#REF!)</f>
        <v>#REF!</v>
      </c>
      <c r="EO24" s="9" t="e">
        <f>(#REF!)</f>
        <v>#REF!</v>
      </c>
      <c r="EP24" s="9" t="e">
        <f>(#REF!)</f>
        <v>#REF!</v>
      </c>
      <c r="EQ24" s="12"/>
      <c r="ER24" s="1"/>
      <c r="ES24" s="10" t="s">
        <v>29</v>
      </c>
      <c r="ET24" s="10">
        <f>IF($D:$D="MATOOKE KGS", 1500, IF($D:$D="SAUSAGES", 30000, IF($D:$D="MILK", 2000, IF($D:$D="SOUP BONES", 5000,  IF($D:$D="YELLOW YOLK EGGS", 20000, IF($D:$D="AVOCADO", 1000, IF($D:$D="BEEF", 16000, IF($D:$D="PLAIN YOGHURT", 4000,IF($D:$D="OFFALS", 12000,IF($D:$D="GOAT", 20000,""))))))))))</f>
        <v>20000</v>
      </c>
      <c r="EU24" s="1"/>
      <c r="EV24" s="1"/>
      <c r="EW24" s="1"/>
      <c r="EX24" s="1"/>
      <c r="EY24" s="1"/>
    </row>
    <row r="25" spans="1:155" ht="18" customHeight="1" x14ac:dyDescent="0.3">
      <c r="A25" s="32" t="str">
        <f>(SALES!$A:$A)</f>
        <v>Wednesday, 3 January 2024</v>
      </c>
      <c r="B25" s="1">
        <f>(SALES!$C:$C)</f>
        <v>2</v>
      </c>
      <c r="C25" s="1">
        <f>(SALES!$D:$D)</f>
        <v>1</v>
      </c>
      <c r="D25" s="1" t="str">
        <f>(SALES!$E:$E)</f>
        <v>PLAIN YOGHURT</v>
      </c>
      <c r="E25" s="1">
        <f>(SALES!$F:$F)</f>
        <v>4000</v>
      </c>
      <c r="F25" s="1">
        <f>(SALES!$G:$G)</f>
        <v>4000</v>
      </c>
      <c r="H25" s="2">
        <f>(EXPENSES!$A:$A)</f>
        <v>45296</v>
      </c>
      <c r="I25" s="10">
        <f>(EXPENSES!$B:$B)</f>
        <v>7</v>
      </c>
      <c r="J25" s="10" t="str">
        <f>(EXPENSES!$C:$C)</f>
        <v xml:space="preserve">PAID ASHIRAF </v>
      </c>
      <c r="K25" s="10">
        <f>(EXPENSES!$D:$D)</f>
        <v>2000</v>
      </c>
      <c r="M25" s="2">
        <v>45413</v>
      </c>
      <c r="N25" s="2">
        <v>45414</v>
      </c>
      <c r="O25" s="2">
        <v>45415</v>
      </c>
      <c r="P25" s="2">
        <v>45416</v>
      </c>
      <c r="Q25" s="2">
        <v>45417</v>
      </c>
      <c r="R25" s="2">
        <v>45418</v>
      </c>
      <c r="S25" s="2">
        <v>45419</v>
      </c>
      <c r="T25" s="2">
        <v>45420</v>
      </c>
      <c r="U25" s="2">
        <v>45421</v>
      </c>
      <c r="V25" s="2">
        <v>45422</v>
      </c>
      <c r="W25" s="2">
        <v>45423</v>
      </c>
      <c r="X25" s="2">
        <v>45424</v>
      </c>
      <c r="Y25" s="2">
        <v>45425</v>
      </c>
      <c r="Z25" s="2">
        <v>45426</v>
      </c>
      <c r="AA25" s="2">
        <v>45427</v>
      </c>
      <c r="AB25" s="2">
        <v>45428</v>
      </c>
      <c r="AC25" s="2">
        <v>45429</v>
      </c>
      <c r="AD25" s="2">
        <v>45430</v>
      </c>
      <c r="AE25" s="2">
        <v>45431</v>
      </c>
      <c r="AF25" s="2">
        <v>45432</v>
      </c>
      <c r="AG25" s="2">
        <v>45433</v>
      </c>
      <c r="AH25" s="2">
        <v>45434</v>
      </c>
      <c r="AI25" s="2">
        <v>45435</v>
      </c>
      <c r="AJ25" s="2">
        <v>45436</v>
      </c>
      <c r="AK25" s="2">
        <v>45437</v>
      </c>
      <c r="AL25" s="2">
        <v>45438</v>
      </c>
      <c r="AM25" s="2">
        <v>45439</v>
      </c>
      <c r="AN25" s="2">
        <v>45440</v>
      </c>
      <c r="AO25" s="2">
        <v>45441</v>
      </c>
      <c r="AP25" s="2">
        <v>45442</v>
      </c>
      <c r="AQ25" s="2">
        <v>45443</v>
      </c>
      <c r="AS25" s="2">
        <v>45413</v>
      </c>
      <c r="AT25" s="2">
        <v>45414</v>
      </c>
      <c r="AU25" s="2">
        <v>45415</v>
      </c>
      <c r="AV25" s="2">
        <v>45416</v>
      </c>
      <c r="AW25" s="2">
        <v>45417</v>
      </c>
      <c r="AX25" s="2">
        <v>45418</v>
      </c>
      <c r="AY25" s="2">
        <v>45419</v>
      </c>
      <c r="AZ25" s="2">
        <v>45420</v>
      </c>
      <c r="BA25" s="2">
        <v>45421</v>
      </c>
      <c r="BB25" s="2">
        <v>45422</v>
      </c>
      <c r="BC25" s="2">
        <v>45423</v>
      </c>
      <c r="BD25" s="2">
        <v>45424</v>
      </c>
      <c r="BE25" s="2">
        <v>45425</v>
      </c>
      <c r="BF25" s="2">
        <v>45426</v>
      </c>
      <c r="BG25" s="2">
        <v>45427</v>
      </c>
      <c r="BH25" s="2">
        <v>45428</v>
      </c>
      <c r="BI25" s="2">
        <v>45429</v>
      </c>
      <c r="BJ25" s="2">
        <v>45430</v>
      </c>
      <c r="BK25" s="2">
        <v>45431</v>
      </c>
      <c r="BL25" s="2">
        <v>45432</v>
      </c>
      <c r="BM25" s="2">
        <v>45433</v>
      </c>
      <c r="BN25" s="2">
        <v>45434</v>
      </c>
      <c r="BO25" s="2">
        <v>45435</v>
      </c>
      <c r="BP25" s="2">
        <v>45436</v>
      </c>
      <c r="BQ25" s="2">
        <v>45437</v>
      </c>
      <c r="BR25" s="2">
        <v>45438</v>
      </c>
      <c r="BS25" s="2">
        <v>45439</v>
      </c>
      <c r="BT25" s="2">
        <v>45440</v>
      </c>
      <c r="BU25" s="2">
        <v>45441</v>
      </c>
      <c r="BV25" s="2">
        <v>45442</v>
      </c>
      <c r="BW25" s="2">
        <v>45443</v>
      </c>
      <c r="BY25" s="2">
        <v>45413</v>
      </c>
      <c r="BZ25" s="2">
        <v>45414</v>
      </c>
      <c r="CA25" s="2">
        <v>45415</v>
      </c>
      <c r="CB25" s="2">
        <v>45416</v>
      </c>
      <c r="CC25" s="2">
        <v>45417</v>
      </c>
      <c r="CD25" s="2">
        <v>45418</v>
      </c>
      <c r="CE25" s="2">
        <v>45419</v>
      </c>
      <c r="CF25" s="2">
        <v>45420</v>
      </c>
      <c r="CG25" s="2">
        <v>45421</v>
      </c>
      <c r="CH25" s="2">
        <v>45422</v>
      </c>
      <c r="CI25" s="2">
        <v>45423</v>
      </c>
      <c r="CJ25" s="2">
        <v>45424</v>
      </c>
      <c r="CK25" s="2">
        <v>45425</v>
      </c>
      <c r="CL25" s="2">
        <v>45426</v>
      </c>
      <c r="CM25" s="2">
        <v>45427</v>
      </c>
      <c r="CN25" s="2">
        <v>45428</v>
      </c>
      <c r="CO25" s="2">
        <v>45429</v>
      </c>
      <c r="CP25" s="2">
        <v>45430</v>
      </c>
      <c r="CQ25" s="2">
        <v>45431</v>
      </c>
      <c r="CR25" s="2">
        <v>45432</v>
      </c>
      <c r="CS25" s="2">
        <v>45433</v>
      </c>
      <c r="CT25" s="2">
        <v>45434</v>
      </c>
      <c r="CU25" s="2">
        <v>45435</v>
      </c>
      <c r="CV25" s="2">
        <v>45436</v>
      </c>
      <c r="CW25" s="2">
        <v>45437</v>
      </c>
      <c r="CX25" s="2">
        <v>45438</v>
      </c>
      <c r="CY25" s="2">
        <v>45439</v>
      </c>
      <c r="CZ25" s="2">
        <v>45440</v>
      </c>
      <c r="DA25" s="2">
        <v>45441</v>
      </c>
      <c r="DB25" s="2">
        <v>45442</v>
      </c>
      <c r="DC25" s="2">
        <v>45443</v>
      </c>
      <c r="DE25" s="2">
        <v>45413</v>
      </c>
      <c r="DF25" s="2">
        <v>45414</v>
      </c>
      <c r="DG25" s="2">
        <v>45415</v>
      </c>
      <c r="DH25" s="2">
        <v>45416</v>
      </c>
      <c r="DI25" s="2">
        <v>45417</v>
      </c>
      <c r="DJ25" s="2">
        <v>45418</v>
      </c>
      <c r="DK25" s="2">
        <v>45419</v>
      </c>
      <c r="DL25" s="2">
        <v>45420</v>
      </c>
      <c r="DM25" s="2">
        <v>45421</v>
      </c>
      <c r="DN25" s="2">
        <v>45422</v>
      </c>
      <c r="DO25" s="2">
        <v>45423</v>
      </c>
      <c r="DP25" s="2">
        <v>45424</v>
      </c>
      <c r="DQ25" s="2">
        <v>45425</v>
      </c>
      <c r="DR25" s="2">
        <v>45426</v>
      </c>
      <c r="DS25" s="2">
        <v>45427</v>
      </c>
      <c r="DT25" s="2">
        <v>45428</v>
      </c>
      <c r="DU25" s="2">
        <v>45429</v>
      </c>
      <c r="DV25" s="2">
        <v>45430</v>
      </c>
      <c r="DW25" s="2">
        <v>45431</v>
      </c>
      <c r="DX25" s="2">
        <v>45432</v>
      </c>
      <c r="DY25" s="2">
        <v>45433</v>
      </c>
      <c r="DZ25" s="2">
        <v>45434</v>
      </c>
      <c r="EA25" s="2">
        <v>45435</v>
      </c>
      <c r="EB25" s="2">
        <v>45436</v>
      </c>
      <c r="EC25" s="2">
        <v>45437</v>
      </c>
      <c r="ED25" s="2">
        <v>45438</v>
      </c>
      <c r="EE25" s="2">
        <v>45439</v>
      </c>
      <c r="EF25" s="2">
        <v>45440</v>
      </c>
      <c r="EG25" s="2">
        <v>45441</v>
      </c>
      <c r="EH25" s="2">
        <v>45442</v>
      </c>
      <c r="EI25" s="2">
        <v>45443</v>
      </c>
      <c r="EJ25" s="3"/>
      <c r="EK25" s="3"/>
      <c r="EM25" s="1" t="e">
        <f>(#REF!)</f>
        <v>#REF!</v>
      </c>
      <c r="EN25" s="9" t="e">
        <f>(#REF!)</f>
        <v>#REF!</v>
      </c>
      <c r="EO25" s="9" t="e">
        <f>(#REF!)</f>
        <v>#REF!</v>
      </c>
      <c r="EP25" s="9" t="e">
        <f>(#REF!)</f>
        <v>#REF!</v>
      </c>
      <c r="EQ25" s="12"/>
      <c r="ER25" s="1"/>
      <c r="ES25" s="12" t="s">
        <v>29</v>
      </c>
      <c r="ET25" s="10">
        <f>IF($D:$D="MATOOKE KGS", 1500, IF($D:$D="SAUSAGES", 30000,  IF($D:$D="TOMATOES", 3000,  IF($D:$D="CHICKEN", 30000, IF($D:$D="LOCAL EGGS", 25000,  IF($D:$D="IRISH", 3000, IF($D:$D="MILK", 2000, IF($D:$D="ONIONS", 6000, IF($D:$D="YELLOW YOLK EGGS", 20000, IF($D:$D="AVOCADO", 1000, IF($D:$D="BEEF", 16000, IF($D:$D="PLAIN YOGHURT", 4000, IF($D:$D="GOAT", 19000, "")))))))))))))</f>
        <v>4000</v>
      </c>
      <c r="EU25" s="1"/>
      <c r="EV25" s="1"/>
      <c r="EW25" s="1"/>
      <c r="EX25" s="1"/>
      <c r="EY25" s="1"/>
    </row>
    <row r="26" spans="1:155" ht="18" customHeight="1" x14ac:dyDescent="0.3">
      <c r="A26" s="32" t="str">
        <f>(SALES!$A:$A)</f>
        <v>Wednesday, 3 January 2024</v>
      </c>
      <c r="B26" s="1">
        <f>(SALES!$C:$C)</f>
        <v>3</v>
      </c>
      <c r="C26" s="1">
        <f>(SALES!$D:$D)</f>
        <v>1</v>
      </c>
      <c r="D26" s="1" t="str">
        <f>(SALES!$E:$E)</f>
        <v>MILK</v>
      </c>
      <c r="E26" s="1">
        <f>(SALES!$F:$F)</f>
        <v>2000</v>
      </c>
      <c r="F26" s="1">
        <f>(SALES!$G:$G)</f>
        <v>2000</v>
      </c>
      <c r="H26" s="2">
        <f>(EXPENSES!$A:$A)</f>
        <v>45296</v>
      </c>
      <c r="I26" s="10">
        <f>(EXPENSES!$B:$B)</f>
        <v>9</v>
      </c>
      <c r="J26" s="10" t="str">
        <f>(EXPENSES!$C:$C)</f>
        <v xml:space="preserve">PAID ASHIRAF </v>
      </c>
      <c r="K26" s="10">
        <f>(EXPENSES!$D:$D)</f>
        <v>3000</v>
      </c>
      <c r="M26" s="3">
        <f t="shared" ref="M26:AQ26" si="16">SUMIF($A:$A, "01/02/2024",$F:$F )</f>
        <v>0</v>
      </c>
      <c r="N26" s="3">
        <f t="shared" si="16"/>
        <v>0</v>
      </c>
      <c r="O26" s="3">
        <f t="shared" si="16"/>
        <v>0</v>
      </c>
      <c r="P26" s="3">
        <f t="shared" si="16"/>
        <v>0</v>
      </c>
      <c r="Q26" s="3">
        <f t="shared" si="16"/>
        <v>0</v>
      </c>
      <c r="R26" s="3">
        <f t="shared" si="16"/>
        <v>0</v>
      </c>
      <c r="S26" s="3">
        <f t="shared" si="16"/>
        <v>0</v>
      </c>
      <c r="T26" s="3">
        <f t="shared" si="16"/>
        <v>0</v>
      </c>
      <c r="U26" s="3">
        <f t="shared" si="16"/>
        <v>0</v>
      </c>
      <c r="V26" s="3">
        <f t="shared" si="16"/>
        <v>0</v>
      </c>
      <c r="W26" s="3">
        <f t="shared" si="16"/>
        <v>0</v>
      </c>
      <c r="X26" s="3">
        <f t="shared" si="16"/>
        <v>0</v>
      </c>
      <c r="Y26" s="3">
        <f t="shared" si="16"/>
        <v>0</v>
      </c>
      <c r="Z26" s="3">
        <f t="shared" si="16"/>
        <v>0</v>
      </c>
      <c r="AA26" s="3">
        <f t="shared" si="16"/>
        <v>0</v>
      </c>
      <c r="AB26" s="3">
        <f t="shared" si="16"/>
        <v>0</v>
      </c>
      <c r="AC26" s="3">
        <f t="shared" si="16"/>
        <v>0</v>
      </c>
      <c r="AD26" s="3">
        <f t="shared" si="16"/>
        <v>0</v>
      </c>
      <c r="AE26" s="3">
        <f t="shared" si="16"/>
        <v>0</v>
      </c>
      <c r="AF26" s="3">
        <f t="shared" si="16"/>
        <v>0</v>
      </c>
      <c r="AG26" s="3">
        <f t="shared" si="16"/>
        <v>0</v>
      </c>
      <c r="AH26" s="3">
        <f t="shared" si="16"/>
        <v>0</v>
      </c>
      <c r="AI26" s="3">
        <f t="shared" si="16"/>
        <v>0</v>
      </c>
      <c r="AJ26" s="3">
        <f t="shared" si="16"/>
        <v>0</v>
      </c>
      <c r="AK26" s="3">
        <f t="shared" si="16"/>
        <v>0</v>
      </c>
      <c r="AL26" s="3">
        <f t="shared" si="16"/>
        <v>0</v>
      </c>
      <c r="AM26" s="3">
        <f t="shared" si="16"/>
        <v>0</v>
      </c>
      <c r="AN26" s="3">
        <f t="shared" si="16"/>
        <v>0</v>
      </c>
      <c r="AO26" s="3">
        <f t="shared" si="16"/>
        <v>0</v>
      </c>
      <c r="AP26" s="3">
        <f t="shared" si="16"/>
        <v>0</v>
      </c>
      <c r="AQ26" s="3">
        <f t="shared" si="16"/>
        <v>0</v>
      </c>
      <c r="AS26" s="3">
        <f t="shared" ref="AS26:BW26" si="17">SUMIF($A:$A, "01/02/2024",$F:$F )</f>
        <v>0</v>
      </c>
      <c r="AT26" s="3">
        <f t="shared" si="17"/>
        <v>0</v>
      </c>
      <c r="AU26" s="3">
        <f t="shared" si="17"/>
        <v>0</v>
      </c>
      <c r="AV26" s="3">
        <f t="shared" si="17"/>
        <v>0</v>
      </c>
      <c r="AW26" s="3">
        <f t="shared" si="17"/>
        <v>0</v>
      </c>
      <c r="AX26" s="3">
        <f t="shared" si="17"/>
        <v>0</v>
      </c>
      <c r="AY26" s="3">
        <f t="shared" si="17"/>
        <v>0</v>
      </c>
      <c r="AZ26" s="3">
        <f t="shared" si="17"/>
        <v>0</v>
      </c>
      <c r="BA26" s="3">
        <f t="shared" si="17"/>
        <v>0</v>
      </c>
      <c r="BB26" s="3">
        <f t="shared" si="17"/>
        <v>0</v>
      </c>
      <c r="BC26" s="3">
        <f t="shared" si="17"/>
        <v>0</v>
      </c>
      <c r="BD26" s="3">
        <f t="shared" si="17"/>
        <v>0</v>
      </c>
      <c r="BE26" s="3">
        <f t="shared" si="17"/>
        <v>0</v>
      </c>
      <c r="BF26" s="3">
        <f t="shared" si="17"/>
        <v>0</v>
      </c>
      <c r="BG26" s="3">
        <f t="shared" si="17"/>
        <v>0</v>
      </c>
      <c r="BH26" s="3">
        <f t="shared" si="17"/>
        <v>0</v>
      </c>
      <c r="BI26" s="3">
        <f t="shared" si="17"/>
        <v>0</v>
      </c>
      <c r="BJ26" s="3">
        <f t="shared" si="17"/>
        <v>0</v>
      </c>
      <c r="BK26" s="3">
        <f t="shared" si="17"/>
        <v>0</v>
      </c>
      <c r="BL26" s="3">
        <f t="shared" si="17"/>
        <v>0</v>
      </c>
      <c r="BM26" s="3">
        <f t="shared" si="17"/>
        <v>0</v>
      </c>
      <c r="BN26" s="3">
        <f t="shared" si="17"/>
        <v>0</v>
      </c>
      <c r="BO26" s="3">
        <f t="shared" si="17"/>
        <v>0</v>
      </c>
      <c r="BP26" s="3">
        <f t="shared" si="17"/>
        <v>0</v>
      </c>
      <c r="BQ26" s="3">
        <f t="shared" si="17"/>
        <v>0</v>
      </c>
      <c r="BR26" s="3">
        <f t="shared" si="17"/>
        <v>0</v>
      </c>
      <c r="BS26" s="3">
        <f t="shared" si="17"/>
        <v>0</v>
      </c>
      <c r="BT26" s="3">
        <f t="shared" si="17"/>
        <v>0</v>
      </c>
      <c r="BU26" s="3">
        <f t="shared" si="17"/>
        <v>0</v>
      </c>
      <c r="BV26" s="3">
        <f t="shared" si="17"/>
        <v>0</v>
      </c>
      <c r="BW26" s="3">
        <f t="shared" si="17"/>
        <v>0</v>
      </c>
      <c r="BY26" s="3">
        <f>(M26-AS26)</f>
        <v>0</v>
      </c>
      <c r="BZ26" s="3">
        <f t="shared" ref="BZ26:DC26" si="18">SUMIF($A:$A, "01/02/2024",$F:$F )</f>
        <v>0</v>
      </c>
      <c r="CA26" s="3">
        <f t="shared" si="18"/>
        <v>0</v>
      </c>
      <c r="CB26" s="3">
        <f t="shared" si="18"/>
        <v>0</v>
      </c>
      <c r="CC26" s="3">
        <f t="shared" si="18"/>
        <v>0</v>
      </c>
      <c r="CD26" s="3">
        <f t="shared" si="18"/>
        <v>0</v>
      </c>
      <c r="CE26" s="3">
        <f t="shared" si="18"/>
        <v>0</v>
      </c>
      <c r="CF26" s="3">
        <f t="shared" si="18"/>
        <v>0</v>
      </c>
      <c r="CG26" s="3">
        <f t="shared" si="18"/>
        <v>0</v>
      </c>
      <c r="CH26" s="3">
        <f t="shared" si="18"/>
        <v>0</v>
      </c>
      <c r="CI26" s="3">
        <f t="shared" si="18"/>
        <v>0</v>
      </c>
      <c r="CJ26" s="3">
        <f t="shared" si="18"/>
        <v>0</v>
      </c>
      <c r="CK26" s="3">
        <f t="shared" si="18"/>
        <v>0</v>
      </c>
      <c r="CL26" s="3">
        <f t="shared" si="18"/>
        <v>0</v>
      </c>
      <c r="CM26" s="3">
        <f t="shared" si="18"/>
        <v>0</v>
      </c>
      <c r="CN26" s="3">
        <f t="shared" si="18"/>
        <v>0</v>
      </c>
      <c r="CO26" s="3">
        <f t="shared" si="18"/>
        <v>0</v>
      </c>
      <c r="CP26" s="3">
        <f t="shared" si="18"/>
        <v>0</v>
      </c>
      <c r="CQ26" s="3">
        <f t="shared" si="18"/>
        <v>0</v>
      </c>
      <c r="CR26" s="3">
        <f t="shared" si="18"/>
        <v>0</v>
      </c>
      <c r="CS26" s="3">
        <f t="shared" si="18"/>
        <v>0</v>
      </c>
      <c r="CT26" s="3">
        <f t="shared" si="18"/>
        <v>0</v>
      </c>
      <c r="CU26" s="3">
        <f t="shared" si="18"/>
        <v>0</v>
      </c>
      <c r="CV26" s="3">
        <f t="shared" si="18"/>
        <v>0</v>
      </c>
      <c r="CW26" s="3">
        <f t="shared" si="18"/>
        <v>0</v>
      </c>
      <c r="CX26" s="3">
        <f t="shared" si="18"/>
        <v>0</v>
      </c>
      <c r="CY26" s="3">
        <f t="shared" si="18"/>
        <v>0</v>
      </c>
      <c r="CZ26" s="3">
        <f t="shared" si="18"/>
        <v>0</v>
      </c>
      <c r="DA26" s="3">
        <f t="shared" si="18"/>
        <v>0</v>
      </c>
      <c r="DB26" s="3">
        <f t="shared" si="18"/>
        <v>0</v>
      </c>
      <c r="DC26" s="3">
        <f t="shared" si="18"/>
        <v>0</v>
      </c>
      <c r="DE26" s="3">
        <f t="shared" ref="DE26:EI26" si="19">SUMIF($A:$A, "01/02/2024",$F:$F )</f>
        <v>0</v>
      </c>
      <c r="DF26" s="3">
        <f t="shared" si="19"/>
        <v>0</v>
      </c>
      <c r="DG26" s="3">
        <f t="shared" si="19"/>
        <v>0</v>
      </c>
      <c r="DH26" s="3">
        <f t="shared" si="19"/>
        <v>0</v>
      </c>
      <c r="DI26" s="3">
        <f t="shared" si="19"/>
        <v>0</v>
      </c>
      <c r="DJ26" s="3">
        <f t="shared" si="19"/>
        <v>0</v>
      </c>
      <c r="DK26" s="3">
        <f t="shared" si="19"/>
        <v>0</v>
      </c>
      <c r="DL26" s="3">
        <f t="shared" si="19"/>
        <v>0</v>
      </c>
      <c r="DM26" s="3">
        <f t="shared" si="19"/>
        <v>0</v>
      </c>
      <c r="DN26" s="3">
        <f t="shared" si="19"/>
        <v>0</v>
      </c>
      <c r="DO26" s="3">
        <f t="shared" si="19"/>
        <v>0</v>
      </c>
      <c r="DP26" s="3">
        <f t="shared" si="19"/>
        <v>0</v>
      </c>
      <c r="DQ26" s="3">
        <f t="shared" si="19"/>
        <v>0</v>
      </c>
      <c r="DR26" s="3">
        <f t="shared" si="19"/>
        <v>0</v>
      </c>
      <c r="DS26" s="3">
        <f t="shared" si="19"/>
        <v>0</v>
      </c>
      <c r="DT26" s="3">
        <f t="shared" si="19"/>
        <v>0</v>
      </c>
      <c r="DU26" s="3">
        <f t="shared" si="19"/>
        <v>0</v>
      </c>
      <c r="DV26" s="3">
        <f t="shared" si="19"/>
        <v>0</v>
      </c>
      <c r="DW26" s="3">
        <f t="shared" si="19"/>
        <v>0</v>
      </c>
      <c r="DX26" s="3">
        <f t="shared" si="19"/>
        <v>0</v>
      </c>
      <c r="DY26" s="3">
        <f t="shared" si="19"/>
        <v>0</v>
      </c>
      <c r="DZ26" s="3">
        <f t="shared" si="19"/>
        <v>0</v>
      </c>
      <c r="EA26" s="3">
        <f t="shared" si="19"/>
        <v>0</v>
      </c>
      <c r="EB26" s="3">
        <f t="shared" si="19"/>
        <v>0</v>
      </c>
      <c r="EC26" s="3">
        <f t="shared" si="19"/>
        <v>0</v>
      </c>
      <c r="ED26" s="3">
        <f t="shared" si="19"/>
        <v>0</v>
      </c>
      <c r="EE26" s="3">
        <f t="shared" si="19"/>
        <v>0</v>
      </c>
      <c r="EF26" s="3">
        <f t="shared" si="19"/>
        <v>0</v>
      </c>
      <c r="EG26" s="3">
        <f t="shared" si="19"/>
        <v>0</v>
      </c>
      <c r="EH26" s="3">
        <f t="shared" si="19"/>
        <v>0</v>
      </c>
      <c r="EI26" s="3">
        <f t="shared" si="19"/>
        <v>0</v>
      </c>
      <c r="EM26" s="1" t="e">
        <f>(#REF!)</f>
        <v>#REF!</v>
      </c>
      <c r="EN26" s="9" t="e">
        <f>(#REF!)</f>
        <v>#REF!</v>
      </c>
      <c r="EO26" s="9" t="e">
        <f>(#REF!)</f>
        <v>#REF!</v>
      </c>
      <c r="EP26" s="9" t="e">
        <f>(#REF!)</f>
        <v>#REF!</v>
      </c>
      <c r="EQ26" s="12"/>
      <c r="ER26" s="1"/>
      <c r="ES26" s="20" t="s">
        <v>31</v>
      </c>
      <c r="ET26" s="10">
        <v>20000</v>
      </c>
      <c r="EU26" s="1"/>
      <c r="EV26" s="1"/>
      <c r="EW26" s="1"/>
      <c r="EX26" s="1"/>
      <c r="EY26" s="1"/>
    </row>
    <row r="27" spans="1:155" ht="18" customHeight="1" x14ac:dyDescent="0.3">
      <c r="A27" s="32" t="str">
        <f>(SALES!$A:$A)</f>
        <v>Wednesday, 3 January 2024</v>
      </c>
      <c r="B27" s="1">
        <f>(SALES!$C:$C)</f>
        <v>4</v>
      </c>
      <c r="C27" s="1">
        <f>(SALES!$D:$D)</f>
        <v>1</v>
      </c>
      <c r="D27" s="1" t="str">
        <f>(SALES!$E:$E)</f>
        <v>PLAIN YOGHURT</v>
      </c>
      <c r="E27" s="1">
        <f>(SALES!$F:$F)</f>
        <v>4000</v>
      </c>
      <c r="F27" s="1">
        <f>(SALES!$G:$G)</f>
        <v>4000</v>
      </c>
      <c r="H27" s="2">
        <f>(EXPENSES!$A:$A)</f>
        <v>45296</v>
      </c>
      <c r="I27" s="10">
        <f>(EXPENSES!$B:$B)</f>
        <v>5</v>
      </c>
      <c r="J27" s="10" t="str">
        <f>(EXPENSES!$C:$C)</f>
        <v>USED G-NUT MONEY</v>
      </c>
      <c r="K27" s="10">
        <f>(EXPENSES!$D:$D)</f>
        <v>12000</v>
      </c>
      <c r="P27" s="3"/>
      <c r="Q27" s="3"/>
      <c r="R27" s="3"/>
      <c r="S27" s="3"/>
      <c r="T27" s="3"/>
      <c r="U27" s="3"/>
      <c r="V27" s="3"/>
      <c r="AV27" s="3"/>
      <c r="AW27" s="3"/>
      <c r="AX27" s="3"/>
      <c r="AY27" s="3"/>
      <c r="AZ27" s="3"/>
      <c r="BA27" s="3"/>
      <c r="BB27" s="3"/>
      <c r="CB27" s="3"/>
      <c r="CC27" s="3"/>
      <c r="CD27" s="3"/>
      <c r="CE27" s="3"/>
      <c r="CF27" s="3"/>
      <c r="CG27" s="3"/>
      <c r="CH27" s="3"/>
      <c r="DH27" s="3"/>
      <c r="DI27" s="3"/>
      <c r="DJ27" s="3"/>
      <c r="DK27" s="3"/>
      <c r="DL27" s="3"/>
      <c r="DM27" s="3"/>
      <c r="DN27" s="3"/>
      <c r="EJ27" s="12"/>
      <c r="EK27" s="12"/>
      <c r="EM27" s="1" t="e">
        <f>(#REF!)</f>
        <v>#REF!</v>
      </c>
      <c r="EN27" s="9" t="e">
        <f>(#REF!)</f>
        <v>#REF!</v>
      </c>
      <c r="EO27" s="9" t="e">
        <f>(#REF!)</f>
        <v>#REF!</v>
      </c>
      <c r="EP27" s="9" t="e">
        <f>(#REF!)</f>
        <v>#REF!</v>
      </c>
      <c r="EQ27" s="12"/>
      <c r="ER27" s="1"/>
      <c r="ES27" s="12" t="s">
        <v>32</v>
      </c>
      <c r="ET27" s="12">
        <v>22000</v>
      </c>
      <c r="EU27" s="1"/>
      <c r="EV27" s="1"/>
      <c r="EW27" s="1"/>
      <c r="EX27" s="1"/>
      <c r="EY27" s="1"/>
    </row>
    <row r="28" spans="1:155" ht="18" customHeight="1" x14ac:dyDescent="0.3">
      <c r="A28" s="32" t="str">
        <f>(SALES!$A:$A)</f>
        <v>Wednesday, 3 January 2024</v>
      </c>
      <c r="B28" s="1">
        <f>(SALES!$C:$C)</f>
        <v>5</v>
      </c>
      <c r="C28" s="1">
        <f>(SALES!$D:$D)</f>
        <v>1</v>
      </c>
      <c r="D28" s="1" t="str">
        <f>(SALES!$E:$E)</f>
        <v>AVOCADO</v>
      </c>
      <c r="E28" s="1">
        <f>(SALES!$F:$F)</f>
        <v>1000</v>
      </c>
      <c r="F28" s="1">
        <f>(SALES!$G:$G)</f>
        <v>1000</v>
      </c>
      <c r="H28" s="2">
        <f>(EXPENSES!$A:$A)</f>
        <v>45296</v>
      </c>
      <c r="I28" s="10">
        <f>(EXPENSES!$B:$B)</f>
        <v>8</v>
      </c>
      <c r="J28" s="10" t="str">
        <f>(EXPENSES!$C:$C)</f>
        <v>PAID FRANK</v>
      </c>
      <c r="K28" s="10">
        <f>(EXPENSES!$D:$D)</f>
        <v>12000</v>
      </c>
      <c r="M28" s="47" t="s">
        <v>33</v>
      </c>
      <c r="N28" s="48"/>
      <c r="O28" s="48"/>
      <c r="P28" s="48"/>
      <c r="Q28" s="48"/>
      <c r="R28" s="48"/>
      <c r="S28" s="48"/>
      <c r="T28" s="48"/>
      <c r="U28" s="48"/>
      <c r="V28" s="48"/>
      <c r="W28" s="48"/>
      <c r="X28" s="48"/>
      <c r="Y28" s="48"/>
      <c r="Z28" s="48"/>
      <c r="AA28" s="48"/>
      <c r="AB28" s="48"/>
      <c r="AC28" s="48"/>
      <c r="AD28" s="48"/>
      <c r="AE28" s="48"/>
      <c r="AF28" s="48"/>
      <c r="AG28" s="48"/>
      <c r="AH28" s="48"/>
      <c r="AI28" s="48"/>
      <c r="AJ28" s="48"/>
      <c r="AK28" s="48"/>
      <c r="AL28" s="48"/>
      <c r="AM28" s="48"/>
      <c r="AN28" s="48"/>
      <c r="AO28" s="48"/>
      <c r="AP28" s="48"/>
      <c r="AQ28" s="49"/>
      <c r="AS28" s="47" t="s">
        <v>33</v>
      </c>
      <c r="AT28" s="48"/>
      <c r="AU28" s="48"/>
      <c r="AV28" s="48"/>
      <c r="AW28" s="48"/>
      <c r="AX28" s="48"/>
      <c r="AY28" s="48"/>
      <c r="AZ28" s="48"/>
      <c r="BA28" s="48"/>
      <c r="BB28" s="48"/>
      <c r="BC28" s="48"/>
      <c r="BD28" s="48"/>
      <c r="BE28" s="48"/>
      <c r="BF28" s="48"/>
      <c r="BG28" s="48"/>
      <c r="BH28" s="48"/>
      <c r="BI28" s="48"/>
      <c r="BJ28" s="48"/>
      <c r="BK28" s="48"/>
      <c r="BL28" s="48"/>
      <c r="BM28" s="48"/>
      <c r="BN28" s="48"/>
      <c r="BO28" s="48"/>
      <c r="BP28" s="48"/>
      <c r="BQ28" s="48"/>
      <c r="BR28" s="48"/>
      <c r="BS28" s="48"/>
      <c r="BT28" s="48"/>
      <c r="BU28" s="48"/>
      <c r="BV28" s="48"/>
      <c r="BW28" s="49"/>
      <c r="BY28" s="47" t="s">
        <v>33</v>
      </c>
      <c r="BZ28" s="48"/>
      <c r="CA28" s="48"/>
      <c r="CB28" s="48"/>
      <c r="CC28" s="48"/>
      <c r="CD28" s="48"/>
      <c r="CE28" s="48"/>
      <c r="CF28" s="48"/>
      <c r="CG28" s="48"/>
      <c r="CH28" s="48"/>
      <c r="CI28" s="48"/>
      <c r="CJ28" s="48"/>
      <c r="CK28" s="48"/>
      <c r="CL28" s="48"/>
      <c r="CM28" s="48"/>
      <c r="CN28" s="48"/>
      <c r="CO28" s="48"/>
      <c r="CP28" s="48"/>
      <c r="CQ28" s="48"/>
      <c r="CR28" s="48"/>
      <c r="CS28" s="48"/>
      <c r="CT28" s="48"/>
      <c r="CU28" s="48"/>
      <c r="CV28" s="48"/>
      <c r="CW28" s="48"/>
      <c r="CX28" s="48"/>
      <c r="CY28" s="48"/>
      <c r="CZ28" s="48"/>
      <c r="DA28" s="48"/>
      <c r="DB28" s="48"/>
      <c r="DC28" s="49"/>
      <c r="DE28" s="47" t="s">
        <v>33</v>
      </c>
      <c r="DF28" s="48"/>
      <c r="DG28" s="48"/>
      <c r="DH28" s="48"/>
      <c r="DI28" s="48"/>
      <c r="DJ28" s="48"/>
      <c r="DK28" s="48"/>
      <c r="DL28" s="48"/>
      <c r="DM28" s="48"/>
      <c r="DN28" s="48"/>
      <c r="DO28" s="48"/>
      <c r="DP28" s="48"/>
      <c r="DQ28" s="48"/>
      <c r="DR28" s="48"/>
      <c r="DS28" s="48"/>
      <c r="DT28" s="48"/>
      <c r="DU28" s="48"/>
      <c r="DV28" s="48"/>
      <c r="DW28" s="48"/>
      <c r="DX28" s="48"/>
      <c r="DY28" s="48"/>
      <c r="DZ28" s="48"/>
      <c r="EA28" s="48"/>
      <c r="EB28" s="48"/>
      <c r="EC28" s="48"/>
      <c r="ED28" s="48"/>
      <c r="EE28" s="48"/>
      <c r="EF28" s="48"/>
      <c r="EG28" s="48"/>
      <c r="EH28" s="48"/>
      <c r="EI28" s="49"/>
      <c r="EJ28" s="3"/>
      <c r="EK28" s="3"/>
      <c r="EM28" s="1" t="e">
        <f>(#REF!)</f>
        <v>#REF!</v>
      </c>
      <c r="EN28" s="9" t="e">
        <f>(#REF!)</f>
        <v>#REF!</v>
      </c>
      <c r="EO28" s="9" t="e">
        <f>(#REF!)</f>
        <v>#REF!</v>
      </c>
      <c r="EP28" s="9" t="e">
        <f>(#REF!)</f>
        <v>#REF!</v>
      </c>
      <c r="EQ28" s="12"/>
      <c r="ER28" s="1"/>
      <c r="ES28" s="10" t="s">
        <v>32</v>
      </c>
      <c r="ET28" s="10">
        <f>IF($D:$D="MATOOKE KGS", 1500, IF($D:$D="SHREDDED BEEF", 24000, IF($D:$D="GOAT LEG", 22000, IF($D:$D="SAUSAGES", 30000, IF($D:$D="MILK", 2000, IF($D:$D="SOUP BONES", 5000,  IF($D:$D="YELLOW YOLK EGGS", 20000, IF($D:$D="AVOCADO", 1000, IF($D:$D="BEEF", 16000, IF($D:$D="PLAIN YOGHURT", 4000,IF($D:$D="OFFALS", 12000,IF($D:$D="GOAT", 20000,""))))))))))))</f>
        <v>1000</v>
      </c>
      <c r="EU28" s="1"/>
      <c r="EV28" s="1"/>
      <c r="EW28" s="1"/>
      <c r="EX28" s="1"/>
      <c r="EY28" s="1"/>
    </row>
    <row r="29" spans="1:155" ht="18" customHeight="1" x14ac:dyDescent="0.3">
      <c r="A29" s="32" t="str">
        <f>(SALES!$A:$A)</f>
        <v>Wednesday, 3 January 2024</v>
      </c>
      <c r="B29" s="1">
        <f>(SALES!$C:$C)</f>
        <v>6</v>
      </c>
      <c r="C29" s="1">
        <f>(SALES!$D:$D)</f>
        <v>1</v>
      </c>
      <c r="D29" s="1" t="str">
        <f>(SALES!$E:$E)</f>
        <v>YELLOW YOLK EGGS</v>
      </c>
      <c r="E29" s="1">
        <f>(SALES!$F:$F)</f>
        <v>20000</v>
      </c>
      <c r="F29" s="1">
        <f>(SALES!$G:$G)</f>
        <v>20000</v>
      </c>
      <c r="H29" s="2">
        <f>(EXPENSES!$A:$A)</f>
        <v>45296</v>
      </c>
      <c r="I29" s="10">
        <f>(EXPENSES!$B:$B)</f>
        <v>1</v>
      </c>
      <c r="J29" s="10" t="str">
        <f>(EXPENSES!$C:$C)</f>
        <v>BOUGHT OX-TAIL</v>
      </c>
      <c r="K29" s="10">
        <f>(EXPENSES!$D:$D)</f>
        <v>17000</v>
      </c>
      <c r="M29" s="3" t="e">
        <f>TEXT(WEEKDAY(DATE(CalendarYear,6,1),1),"aaa")</f>
        <v>#REF!</v>
      </c>
      <c r="N29" s="3" t="e">
        <f>TEXT(WEEKDAY(DATE(CalendarYear,6,2),1),"aaa")</f>
        <v>#REF!</v>
      </c>
      <c r="O29" s="3" t="e">
        <f>TEXT(WEEKDAY(DATE(CalendarYear,6,3),1),"aaa")</f>
        <v>#REF!</v>
      </c>
      <c r="P29" s="3" t="e">
        <f>TEXT(WEEKDAY(DATE(CalendarYear,6,4),1),"aaa")</f>
        <v>#REF!</v>
      </c>
      <c r="Q29" s="3" t="e">
        <f>TEXT(WEEKDAY(DATE(CalendarYear,6,5),1),"aaa")</f>
        <v>#REF!</v>
      </c>
      <c r="R29" s="3" t="e">
        <f>TEXT(WEEKDAY(DATE(CalendarYear,6,6),1),"aaa")</f>
        <v>#REF!</v>
      </c>
      <c r="S29" s="3" t="e">
        <f>TEXT(WEEKDAY(DATE(CalendarYear,6,7),1),"aaa")</f>
        <v>#REF!</v>
      </c>
      <c r="T29" s="3" t="e">
        <f>TEXT(WEEKDAY(DATE(CalendarYear,6,8),1),"aaa")</f>
        <v>#REF!</v>
      </c>
      <c r="U29" s="3" t="e">
        <f>TEXT(WEEKDAY(DATE(CalendarYear,6,9),1),"aaa")</f>
        <v>#REF!</v>
      </c>
      <c r="V29" s="3" t="e">
        <f>TEXT(WEEKDAY(DATE(CalendarYear,6,10),1),"aaa")</f>
        <v>#REF!</v>
      </c>
      <c r="W29" s="3" t="e">
        <f>TEXT(WEEKDAY(DATE(CalendarYear,6,11),1),"aaa")</f>
        <v>#REF!</v>
      </c>
      <c r="X29" s="3" t="e">
        <f>TEXT(WEEKDAY(DATE(CalendarYear,6,12),1),"aaa")</f>
        <v>#REF!</v>
      </c>
      <c r="Y29" s="3" t="e">
        <f>TEXT(WEEKDAY(DATE(CalendarYear,6,13),1),"aaa")</f>
        <v>#REF!</v>
      </c>
      <c r="Z29" s="3" t="e">
        <f>TEXT(WEEKDAY(DATE(CalendarYear,6,14),1),"aaa")</f>
        <v>#REF!</v>
      </c>
      <c r="AA29" s="3" t="e">
        <f>TEXT(WEEKDAY(DATE(CalendarYear,6,15),1),"aaa")</f>
        <v>#REF!</v>
      </c>
      <c r="AB29" s="3" t="e">
        <f>TEXT(WEEKDAY(DATE(CalendarYear,6,16),1),"aaa")</f>
        <v>#REF!</v>
      </c>
      <c r="AC29" s="3" t="e">
        <f>TEXT(WEEKDAY(DATE(CalendarYear,6,17),1),"aaa")</f>
        <v>#REF!</v>
      </c>
      <c r="AD29" s="3" t="e">
        <f>TEXT(WEEKDAY(DATE(CalendarYear,6,18),1),"aaa")</f>
        <v>#REF!</v>
      </c>
      <c r="AE29" s="3" t="e">
        <f>TEXT(WEEKDAY(DATE(CalendarYear,6,19),1),"aaa")</f>
        <v>#REF!</v>
      </c>
      <c r="AF29" s="3" t="e">
        <f>TEXT(WEEKDAY(DATE(CalendarYear,6,20),1),"aaa")</f>
        <v>#REF!</v>
      </c>
      <c r="AG29" s="3" t="e">
        <f>TEXT(WEEKDAY(DATE(CalendarYear,6,21),1),"aaa")</f>
        <v>#REF!</v>
      </c>
      <c r="AH29" s="3" t="e">
        <f>TEXT(WEEKDAY(DATE(CalendarYear,6,22),1),"aaa")</f>
        <v>#REF!</v>
      </c>
      <c r="AI29" s="3" t="e">
        <f>TEXT(WEEKDAY(DATE(CalendarYear,6,23),1),"aaa")</f>
        <v>#REF!</v>
      </c>
      <c r="AJ29" s="3" t="e">
        <f>TEXT(WEEKDAY(DATE(CalendarYear,6,24),1),"aaa")</f>
        <v>#REF!</v>
      </c>
      <c r="AK29" s="3" t="e">
        <f>TEXT(WEEKDAY(DATE(CalendarYear,6,25),1),"aaa")</f>
        <v>#REF!</v>
      </c>
      <c r="AL29" s="3" t="e">
        <f>TEXT(WEEKDAY(DATE(CalendarYear,6,26),1),"aaa")</f>
        <v>#REF!</v>
      </c>
      <c r="AM29" s="3" t="e">
        <f>TEXT(WEEKDAY(DATE(CalendarYear,6,27),1),"aaa")</f>
        <v>#REF!</v>
      </c>
      <c r="AN29" s="3" t="e">
        <f>TEXT(WEEKDAY(DATE(CalendarYear,6,28),1),"aaa")</f>
        <v>#REF!</v>
      </c>
      <c r="AO29" s="3" t="e">
        <f>TEXT(WEEKDAY(DATE(CalendarYear,6,29),1),"aaa")</f>
        <v>#REF!</v>
      </c>
      <c r="AP29" s="3" t="e">
        <f>TEXT(WEEKDAY(DATE(CalendarYear,6,30),1),"aaa")</f>
        <v>#REF!</v>
      </c>
      <c r="AQ29" s="3"/>
      <c r="AS29" s="3" t="e">
        <f>TEXT(WEEKDAY(DATE(CalendarYear,6,1),1),"aaa")</f>
        <v>#REF!</v>
      </c>
      <c r="AT29" s="3" t="e">
        <f>TEXT(WEEKDAY(DATE(CalendarYear,6,2),1),"aaa")</f>
        <v>#REF!</v>
      </c>
      <c r="AU29" s="3" t="e">
        <f>TEXT(WEEKDAY(DATE(CalendarYear,6,3),1),"aaa")</f>
        <v>#REF!</v>
      </c>
      <c r="AV29" s="3" t="e">
        <f>TEXT(WEEKDAY(DATE(CalendarYear,6,4),1),"aaa")</f>
        <v>#REF!</v>
      </c>
      <c r="AW29" s="3" t="e">
        <f>TEXT(WEEKDAY(DATE(CalendarYear,6,5),1),"aaa")</f>
        <v>#REF!</v>
      </c>
      <c r="AX29" s="3" t="e">
        <f>TEXT(WEEKDAY(DATE(CalendarYear,6,6),1),"aaa")</f>
        <v>#REF!</v>
      </c>
      <c r="AY29" s="3" t="e">
        <f>TEXT(WEEKDAY(DATE(CalendarYear,6,7),1),"aaa")</f>
        <v>#REF!</v>
      </c>
      <c r="AZ29" s="3" t="e">
        <f>TEXT(WEEKDAY(DATE(CalendarYear,6,8),1),"aaa")</f>
        <v>#REF!</v>
      </c>
      <c r="BA29" s="3" t="e">
        <f>TEXT(WEEKDAY(DATE(CalendarYear,6,9),1),"aaa")</f>
        <v>#REF!</v>
      </c>
      <c r="BB29" s="3" t="e">
        <f>TEXT(WEEKDAY(DATE(CalendarYear,6,10),1),"aaa")</f>
        <v>#REF!</v>
      </c>
      <c r="BC29" s="3" t="e">
        <f>TEXT(WEEKDAY(DATE(CalendarYear,6,11),1),"aaa")</f>
        <v>#REF!</v>
      </c>
      <c r="BD29" s="3" t="e">
        <f>TEXT(WEEKDAY(DATE(CalendarYear,6,12),1),"aaa")</f>
        <v>#REF!</v>
      </c>
      <c r="BE29" s="3" t="e">
        <f>TEXT(WEEKDAY(DATE(CalendarYear,6,13),1),"aaa")</f>
        <v>#REF!</v>
      </c>
      <c r="BF29" s="3" t="e">
        <f>TEXT(WEEKDAY(DATE(CalendarYear,6,14),1),"aaa")</f>
        <v>#REF!</v>
      </c>
      <c r="BG29" s="3" t="e">
        <f>TEXT(WEEKDAY(DATE(CalendarYear,6,15),1),"aaa")</f>
        <v>#REF!</v>
      </c>
      <c r="BH29" s="3" t="e">
        <f>TEXT(WEEKDAY(DATE(CalendarYear,6,16),1),"aaa")</f>
        <v>#REF!</v>
      </c>
      <c r="BI29" s="3" t="e">
        <f>TEXT(WEEKDAY(DATE(CalendarYear,6,17),1),"aaa")</f>
        <v>#REF!</v>
      </c>
      <c r="BJ29" s="3" t="e">
        <f>TEXT(WEEKDAY(DATE(CalendarYear,6,18),1),"aaa")</f>
        <v>#REF!</v>
      </c>
      <c r="BK29" s="3" t="e">
        <f>TEXT(WEEKDAY(DATE(CalendarYear,6,19),1),"aaa")</f>
        <v>#REF!</v>
      </c>
      <c r="BL29" s="3" t="e">
        <f>TEXT(WEEKDAY(DATE(CalendarYear,6,20),1),"aaa")</f>
        <v>#REF!</v>
      </c>
      <c r="BM29" s="3" t="e">
        <f>TEXT(WEEKDAY(DATE(CalendarYear,6,21),1),"aaa")</f>
        <v>#REF!</v>
      </c>
      <c r="BN29" s="3" t="e">
        <f>TEXT(WEEKDAY(DATE(CalendarYear,6,22),1),"aaa")</f>
        <v>#REF!</v>
      </c>
      <c r="BO29" s="3" t="e">
        <f>TEXT(WEEKDAY(DATE(CalendarYear,6,23),1),"aaa")</f>
        <v>#REF!</v>
      </c>
      <c r="BP29" s="3" t="e">
        <f>TEXT(WEEKDAY(DATE(CalendarYear,6,24),1),"aaa")</f>
        <v>#REF!</v>
      </c>
      <c r="BQ29" s="3" t="e">
        <f>TEXT(WEEKDAY(DATE(CalendarYear,6,25),1),"aaa")</f>
        <v>#REF!</v>
      </c>
      <c r="BR29" s="3" t="e">
        <f>TEXT(WEEKDAY(DATE(CalendarYear,6,26),1),"aaa")</f>
        <v>#REF!</v>
      </c>
      <c r="BS29" s="3" t="e">
        <f>TEXT(WEEKDAY(DATE(CalendarYear,6,27),1),"aaa")</f>
        <v>#REF!</v>
      </c>
      <c r="BT29" s="3" t="e">
        <f>TEXT(WEEKDAY(DATE(CalendarYear,6,28),1),"aaa")</f>
        <v>#REF!</v>
      </c>
      <c r="BU29" s="3" t="e">
        <f>TEXT(WEEKDAY(DATE(CalendarYear,6,29),1),"aaa")</f>
        <v>#REF!</v>
      </c>
      <c r="BV29" s="3" t="e">
        <f>TEXT(WEEKDAY(DATE(CalendarYear,6,30),1),"aaa")</f>
        <v>#REF!</v>
      </c>
      <c r="BW29" s="3"/>
      <c r="BY29" s="3" t="e">
        <f>TEXT(WEEKDAY(DATE(CalendarYear,6,1),1),"aaa")</f>
        <v>#REF!</v>
      </c>
      <c r="BZ29" s="3" t="e">
        <f>TEXT(WEEKDAY(DATE(CalendarYear,6,2),1),"aaa")</f>
        <v>#REF!</v>
      </c>
      <c r="CA29" s="3" t="e">
        <f>TEXT(WEEKDAY(DATE(CalendarYear,6,3),1),"aaa")</f>
        <v>#REF!</v>
      </c>
      <c r="CB29" s="3" t="e">
        <f>TEXT(WEEKDAY(DATE(CalendarYear,6,4),1),"aaa")</f>
        <v>#REF!</v>
      </c>
      <c r="CC29" s="3" t="e">
        <f>TEXT(WEEKDAY(DATE(CalendarYear,6,5),1),"aaa")</f>
        <v>#REF!</v>
      </c>
      <c r="CD29" s="3" t="e">
        <f>TEXT(WEEKDAY(DATE(CalendarYear,6,6),1),"aaa")</f>
        <v>#REF!</v>
      </c>
      <c r="CE29" s="3" t="e">
        <f>TEXT(WEEKDAY(DATE(CalendarYear,6,7),1),"aaa")</f>
        <v>#REF!</v>
      </c>
      <c r="CF29" s="3" t="e">
        <f>TEXT(WEEKDAY(DATE(CalendarYear,6,8),1),"aaa")</f>
        <v>#REF!</v>
      </c>
      <c r="CG29" s="3" t="e">
        <f>TEXT(WEEKDAY(DATE(CalendarYear,6,9),1),"aaa")</f>
        <v>#REF!</v>
      </c>
      <c r="CH29" s="3" t="e">
        <f>TEXT(WEEKDAY(DATE(CalendarYear,6,10),1),"aaa")</f>
        <v>#REF!</v>
      </c>
      <c r="CI29" s="3" t="e">
        <f>TEXT(WEEKDAY(DATE(CalendarYear,6,11),1),"aaa")</f>
        <v>#REF!</v>
      </c>
      <c r="CJ29" s="3" t="e">
        <f>TEXT(WEEKDAY(DATE(CalendarYear,6,12),1),"aaa")</f>
        <v>#REF!</v>
      </c>
      <c r="CK29" s="3" t="e">
        <f>TEXT(WEEKDAY(DATE(CalendarYear,6,13),1),"aaa")</f>
        <v>#REF!</v>
      </c>
      <c r="CL29" s="3" t="e">
        <f>TEXT(WEEKDAY(DATE(CalendarYear,6,14),1),"aaa")</f>
        <v>#REF!</v>
      </c>
      <c r="CM29" s="3" t="e">
        <f>TEXT(WEEKDAY(DATE(CalendarYear,6,15),1),"aaa")</f>
        <v>#REF!</v>
      </c>
      <c r="CN29" s="3" t="e">
        <f>TEXT(WEEKDAY(DATE(CalendarYear,6,16),1),"aaa")</f>
        <v>#REF!</v>
      </c>
      <c r="CO29" s="3" t="e">
        <f>TEXT(WEEKDAY(DATE(CalendarYear,6,17),1),"aaa")</f>
        <v>#REF!</v>
      </c>
      <c r="CP29" s="3" t="e">
        <f>TEXT(WEEKDAY(DATE(CalendarYear,6,18),1),"aaa")</f>
        <v>#REF!</v>
      </c>
      <c r="CQ29" s="3" t="e">
        <f>TEXT(WEEKDAY(DATE(CalendarYear,6,19),1),"aaa")</f>
        <v>#REF!</v>
      </c>
      <c r="CR29" s="3" t="e">
        <f>TEXT(WEEKDAY(DATE(CalendarYear,6,20),1),"aaa")</f>
        <v>#REF!</v>
      </c>
      <c r="CS29" s="3" t="e">
        <f>TEXT(WEEKDAY(DATE(CalendarYear,6,21),1),"aaa")</f>
        <v>#REF!</v>
      </c>
      <c r="CT29" s="3" t="e">
        <f>TEXT(WEEKDAY(DATE(CalendarYear,6,22),1),"aaa")</f>
        <v>#REF!</v>
      </c>
      <c r="CU29" s="3" t="e">
        <f>TEXT(WEEKDAY(DATE(CalendarYear,6,23),1),"aaa")</f>
        <v>#REF!</v>
      </c>
      <c r="CV29" s="3" t="e">
        <f>TEXT(WEEKDAY(DATE(CalendarYear,6,24),1),"aaa")</f>
        <v>#REF!</v>
      </c>
      <c r="CW29" s="3" t="e">
        <f>TEXT(WEEKDAY(DATE(CalendarYear,6,25),1),"aaa")</f>
        <v>#REF!</v>
      </c>
      <c r="CX29" s="3" t="e">
        <f>TEXT(WEEKDAY(DATE(CalendarYear,6,26),1),"aaa")</f>
        <v>#REF!</v>
      </c>
      <c r="CY29" s="3" t="e">
        <f>TEXT(WEEKDAY(DATE(CalendarYear,6,27),1),"aaa")</f>
        <v>#REF!</v>
      </c>
      <c r="CZ29" s="3" t="e">
        <f>TEXT(WEEKDAY(DATE(CalendarYear,6,28),1),"aaa")</f>
        <v>#REF!</v>
      </c>
      <c r="DA29" s="3" t="e">
        <f>TEXT(WEEKDAY(DATE(CalendarYear,6,29),1),"aaa")</f>
        <v>#REF!</v>
      </c>
      <c r="DB29" s="3" t="e">
        <f>TEXT(WEEKDAY(DATE(CalendarYear,6,30),1),"aaa")</f>
        <v>#REF!</v>
      </c>
      <c r="DC29" s="3"/>
      <c r="DE29" s="3" t="e">
        <f>TEXT(WEEKDAY(DATE(CalendarYear,6,1),1),"aaa")</f>
        <v>#REF!</v>
      </c>
      <c r="DF29" s="3" t="e">
        <f>TEXT(WEEKDAY(DATE(CalendarYear,6,2),1),"aaa")</f>
        <v>#REF!</v>
      </c>
      <c r="DG29" s="3" t="e">
        <f>TEXT(WEEKDAY(DATE(CalendarYear,6,3),1),"aaa")</f>
        <v>#REF!</v>
      </c>
      <c r="DH29" s="3" t="e">
        <f>TEXT(WEEKDAY(DATE(CalendarYear,6,4),1),"aaa")</f>
        <v>#REF!</v>
      </c>
      <c r="DI29" s="3" t="e">
        <f>TEXT(WEEKDAY(DATE(CalendarYear,6,5),1),"aaa")</f>
        <v>#REF!</v>
      </c>
      <c r="DJ29" s="3" t="e">
        <f>TEXT(WEEKDAY(DATE(CalendarYear,6,6),1),"aaa")</f>
        <v>#REF!</v>
      </c>
      <c r="DK29" s="3" t="e">
        <f>TEXT(WEEKDAY(DATE(CalendarYear,6,7),1),"aaa")</f>
        <v>#REF!</v>
      </c>
      <c r="DL29" s="3" t="e">
        <f>TEXT(WEEKDAY(DATE(CalendarYear,6,8),1),"aaa")</f>
        <v>#REF!</v>
      </c>
      <c r="DM29" s="3" t="e">
        <f>TEXT(WEEKDAY(DATE(CalendarYear,6,9),1),"aaa")</f>
        <v>#REF!</v>
      </c>
      <c r="DN29" s="3" t="e">
        <f>TEXT(WEEKDAY(DATE(CalendarYear,6,10),1),"aaa")</f>
        <v>#REF!</v>
      </c>
      <c r="DO29" s="3" t="e">
        <f>TEXT(WEEKDAY(DATE(CalendarYear,6,11),1),"aaa")</f>
        <v>#REF!</v>
      </c>
      <c r="DP29" s="3" t="e">
        <f>TEXT(WEEKDAY(DATE(CalendarYear,6,12),1),"aaa")</f>
        <v>#REF!</v>
      </c>
      <c r="DQ29" s="3" t="e">
        <f>TEXT(WEEKDAY(DATE(CalendarYear,6,13),1),"aaa")</f>
        <v>#REF!</v>
      </c>
      <c r="DR29" s="3" t="e">
        <f>TEXT(WEEKDAY(DATE(CalendarYear,6,14),1),"aaa")</f>
        <v>#REF!</v>
      </c>
      <c r="DS29" s="3" t="e">
        <f>TEXT(WEEKDAY(DATE(CalendarYear,6,15),1),"aaa")</f>
        <v>#REF!</v>
      </c>
      <c r="DT29" s="3" t="e">
        <f>TEXT(WEEKDAY(DATE(CalendarYear,6,16),1),"aaa")</f>
        <v>#REF!</v>
      </c>
      <c r="DU29" s="3" t="e">
        <f>TEXT(WEEKDAY(DATE(CalendarYear,6,17),1),"aaa")</f>
        <v>#REF!</v>
      </c>
      <c r="DV29" s="3" t="e">
        <f>TEXT(WEEKDAY(DATE(CalendarYear,6,18),1),"aaa")</f>
        <v>#REF!</v>
      </c>
      <c r="DW29" s="3" t="e">
        <f>TEXT(WEEKDAY(DATE(CalendarYear,6,19),1),"aaa")</f>
        <v>#REF!</v>
      </c>
      <c r="DX29" s="3" t="e">
        <f>TEXT(WEEKDAY(DATE(CalendarYear,6,20),1),"aaa")</f>
        <v>#REF!</v>
      </c>
      <c r="DY29" s="3" t="e">
        <f>TEXT(WEEKDAY(DATE(CalendarYear,6,21),1),"aaa")</f>
        <v>#REF!</v>
      </c>
      <c r="DZ29" s="3" t="e">
        <f>TEXT(WEEKDAY(DATE(CalendarYear,6,22),1),"aaa")</f>
        <v>#REF!</v>
      </c>
      <c r="EA29" s="3" t="e">
        <f>TEXT(WEEKDAY(DATE(CalendarYear,6,23),1),"aaa")</f>
        <v>#REF!</v>
      </c>
      <c r="EB29" s="3" t="e">
        <f>TEXT(WEEKDAY(DATE(CalendarYear,6,24),1),"aaa")</f>
        <v>#REF!</v>
      </c>
      <c r="EC29" s="3" t="e">
        <f>TEXT(WEEKDAY(DATE(CalendarYear,6,25),1),"aaa")</f>
        <v>#REF!</v>
      </c>
      <c r="ED29" s="3" t="e">
        <f>TEXT(WEEKDAY(DATE(CalendarYear,6,26),1),"aaa")</f>
        <v>#REF!</v>
      </c>
      <c r="EE29" s="3" t="e">
        <f>TEXT(WEEKDAY(DATE(CalendarYear,6,27),1),"aaa")</f>
        <v>#REF!</v>
      </c>
      <c r="EF29" s="3" t="e">
        <f>TEXT(WEEKDAY(DATE(CalendarYear,6,28),1),"aaa")</f>
        <v>#REF!</v>
      </c>
      <c r="EG29" s="3" t="e">
        <f>TEXT(WEEKDAY(DATE(CalendarYear,6,29),1),"aaa")</f>
        <v>#REF!</v>
      </c>
      <c r="EH29" s="3" t="e">
        <f>TEXT(WEEKDAY(DATE(CalendarYear,6,30),1),"aaa")</f>
        <v>#REF!</v>
      </c>
      <c r="EI29" s="3"/>
      <c r="EJ29" s="2"/>
      <c r="EK29" s="2"/>
      <c r="EM29" s="1" t="e">
        <f>(#REF!)</f>
        <v>#REF!</v>
      </c>
      <c r="EN29" s="9" t="e">
        <f>(#REF!)</f>
        <v>#REF!</v>
      </c>
      <c r="EO29" s="9" t="e">
        <f>(#REF!)</f>
        <v>#REF!</v>
      </c>
      <c r="EP29" s="9" t="e">
        <f>(#REF!)</f>
        <v>#REF!</v>
      </c>
      <c r="EQ29" s="12"/>
      <c r="ER29" s="1"/>
      <c r="ES29" s="12" t="s">
        <v>34</v>
      </c>
      <c r="ET29" s="12">
        <v>19000</v>
      </c>
      <c r="EU29" s="1"/>
      <c r="EV29" s="1"/>
      <c r="EW29" s="1"/>
      <c r="EX29" s="1"/>
      <c r="EY29" s="1"/>
    </row>
    <row r="30" spans="1:155" ht="18" customHeight="1" x14ac:dyDescent="0.3">
      <c r="A30" s="32" t="str">
        <f>(SALES!$A:$A)</f>
        <v>Wednesday, 3 January 2024</v>
      </c>
      <c r="B30" s="1">
        <f>(SALES!$C:$C)</f>
        <v>7</v>
      </c>
      <c r="C30" s="1">
        <f>(SALES!$D:$D)</f>
        <v>1</v>
      </c>
      <c r="D30" s="1" t="str">
        <f>(SALES!$E:$E)</f>
        <v>CHICKEN</v>
      </c>
      <c r="E30" s="1">
        <f>(SALES!$F:$F)</f>
        <v>30000</v>
      </c>
      <c r="F30" s="1">
        <f>(SALES!$G:$G)</f>
        <v>30000</v>
      </c>
      <c r="H30" s="2">
        <f>(EXPENSES!$A:$A)</f>
        <v>45296</v>
      </c>
      <c r="I30" s="10">
        <f>(EXPENSES!$B:$B)</f>
        <v>2</v>
      </c>
      <c r="J30" s="10" t="str">
        <f>(EXPENSES!$C:$C)</f>
        <v>BOUGHT BONELESS</v>
      </c>
      <c r="K30" s="10">
        <f>(EXPENSES!$D:$D)</f>
        <v>20000</v>
      </c>
      <c r="M30" s="2">
        <v>45444</v>
      </c>
      <c r="N30" s="2">
        <v>45445</v>
      </c>
      <c r="O30" s="2">
        <v>45446</v>
      </c>
      <c r="P30" s="2">
        <v>45447</v>
      </c>
      <c r="Q30" s="2">
        <v>45448</v>
      </c>
      <c r="R30" s="2">
        <v>45449</v>
      </c>
      <c r="S30" s="2">
        <v>45450</v>
      </c>
      <c r="T30" s="2">
        <v>45451</v>
      </c>
      <c r="U30" s="2">
        <v>45452</v>
      </c>
      <c r="V30" s="2">
        <v>45453</v>
      </c>
      <c r="W30" s="2">
        <v>45454</v>
      </c>
      <c r="X30" s="2">
        <v>45455</v>
      </c>
      <c r="Y30" s="2">
        <v>45456</v>
      </c>
      <c r="Z30" s="2">
        <v>45457</v>
      </c>
      <c r="AA30" s="2">
        <v>45458</v>
      </c>
      <c r="AB30" s="2">
        <v>45459</v>
      </c>
      <c r="AC30" s="2">
        <v>45460</v>
      </c>
      <c r="AD30" s="2">
        <v>45461</v>
      </c>
      <c r="AE30" s="2">
        <v>45462</v>
      </c>
      <c r="AF30" s="2">
        <v>45463</v>
      </c>
      <c r="AG30" s="2">
        <v>45464</v>
      </c>
      <c r="AH30" s="2">
        <v>45465</v>
      </c>
      <c r="AI30" s="2">
        <v>45466</v>
      </c>
      <c r="AJ30" s="2">
        <v>45467</v>
      </c>
      <c r="AK30" s="2">
        <v>45468</v>
      </c>
      <c r="AL30" s="2">
        <v>45469</v>
      </c>
      <c r="AM30" s="2">
        <v>45470</v>
      </c>
      <c r="AN30" s="2">
        <v>45471</v>
      </c>
      <c r="AO30" s="2">
        <v>45472</v>
      </c>
      <c r="AP30" s="2">
        <v>45473</v>
      </c>
      <c r="AQ30" s="2"/>
      <c r="AS30" s="2">
        <v>45444</v>
      </c>
      <c r="AT30" s="2">
        <v>45445</v>
      </c>
      <c r="AU30" s="2">
        <v>45446</v>
      </c>
      <c r="AV30" s="2">
        <v>45447</v>
      </c>
      <c r="AW30" s="2">
        <v>45448</v>
      </c>
      <c r="AX30" s="2">
        <v>45449</v>
      </c>
      <c r="AY30" s="2">
        <v>45450</v>
      </c>
      <c r="AZ30" s="2">
        <v>45451</v>
      </c>
      <c r="BA30" s="2">
        <v>45452</v>
      </c>
      <c r="BB30" s="2">
        <v>45453</v>
      </c>
      <c r="BC30" s="2">
        <v>45454</v>
      </c>
      <c r="BD30" s="2">
        <v>45455</v>
      </c>
      <c r="BE30" s="2">
        <v>45456</v>
      </c>
      <c r="BF30" s="2">
        <v>45457</v>
      </c>
      <c r="BG30" s="2">
        <v>45458</v>
      </c>
      <c r="BH30" s="2">
        <v>45459</v>
      </c>
      <c r="BI30" s="2">
        <v>45460</v>
      </c>
      <c r="BJ30" s="2">
        <v>45461</v>
      </c>
      <c r="BK30" s="2">
        <v>45462</v>
      </c>
      <c r="BL30" s="2">
        <v>45463</v>
      </c>
      <c r="BM30" s="2">
        <v>45464</v>
      </c>
      <c r="BN30" s="2">
        <v>45465</v>
      </c>
      <c r="BO30" s="2">
        <v>45466</v>
      </c>
      <c r="BP30" s="2">
        <v>45467</v>
      </c>
      <c r="BQ30" s="2">
        <v>45468</v>
      </c>
      <c r="BR30" s="2">
        <v>45469</v>
      </c>
      <c r="BS30" s="2">
        <v>45470</v>
      </c>
      <c r="BT30" s="2">
        <v>45471</v>
      </c>
      <c r="BU30" s="2">
        <v>45472</v>
      </c>
      <c r="BV30" s="2">
        <v>45473</v>
      </c>
      <c r="BW30" s="2"/>
      <c r="BY30" s="2">
        <v>45444</v>
      </c>
      <c r="BZ30" s="2">
        <v>45445</v>
      </c>
      <c r="CA30" s="2">
        <v>45446</v>
      </c>
      <c r="CB30" s="2">
        <v>45447</v>
      </c>
      <c r="CC30" s="2">
        <v>45448</v>
      </c>
      <c r="CD30" s="2">
        <v>45449</v>
      </c>
      <c r="CE30" s="2">
        <v>45450</v>
      </c>
      <c r="CF30" s="2">
        <v>45451</v>
      </c>
      <c r="CG30" s="2">
        <v>45452</v>
      </c>
      <c r="CH30" s="2">
        <v>45453</v>
      </c>
      <c r="CI30" s="2">
        <v>45454</v>
      </c>
      <c r="CJ30" s="2">
        <v>45455</v>
      </c>
      <c r="CK30" s="2">
        <v>45456</v>
      </c>
      <c r="CL30" s="2">
        <v>45457</v>
      </c>
      <c r="CM30" s="2">
        <v>45458</v>
      </c>
      <c r="CN30" s="2">
        <v>45459</v>
      </c>
      <c r="CO30" s="2">
        <v>45460</v>
      </c>
      <c r="CP30" s="2">
        <v>45461</v>
      </c>
      <c r="CQ30" s="2">
        <v>45462</v>
      </c>
      <c r="CR30" s="2">
        <v>45463</v>
      </c>
      <c r="CS30" s="2">
        <v>45464</v>
      </c>
      <c r="CT30" s="2">
        <v>45465</v>
      </c>
      <c r="CU30" s="2">
        <v>45466</v>
      </c>
      <c r="CV30" s="2">
        <v>45467</v>
      </c>
      <c r="CW30" s="2">
        <v>45468</v>
      </c>
      <c r="CX30" s="2">
        <v>45469</v>
      </c>
      <c r="CY30" s="2">
        <v>45470</v>
      </c>
      <c r="CZ30" s="2">
        <v>45471</v>
      </c>
      <c r="DA30" s="2">
        <v>45472</v>
      </c>
      <c r="DB30" s="2">
        <v>45473</v>
      </c>
      <c r="DC30" s="2"/>
      <c r="DE30" s="2">
        <v>45444</v>
      </c>
      <c r="DF30" s="2">
        <v>45445</v>
      </c>
      <c r="DG30" s="2">
        <v>45446</v>
      </c>
      <c r="DH30" s="2">
        <v>45447</v>
      </c>
      <c r="DI30" s="2">
        <v>45448</v>
      </c>
      <c r="DJ30" s="2">
        <v>45449</v>
      </c>
      <c r="DK30" s="2">
        <v>45450</v>
      </c>
      <c r="DL30" s="2">
        <v>45451</v>
      </c>
      <c r="DM30" s="2">
        <v>45452</v>
      </c>
      <c r="DN30" s="2">
        <v>45453</v>
      </c>
      <c r="DO30" s="2">
        <v>45454</v>
      </c>
      <c r="DP30" s="2">
        <v>45455</v>
      </c>
      <c r="DQ30" s="2">
        <v>45456</v>
      </c>
      <c r="DR30" s="2">
        <v>45457</v>
      </c>
      <c r="DS30" s="2">
        <v>45458</v>
      </c>
      <c r="DT30" s="2">
        <v>45459</v>
      </c>
      <c r="DU30" s="2">
        <v>45460</v>
      </c>
      <c r="DV30" s="2">
        <v>45461</v>
      </c>
      <c r="DW30" s="2">
        <v>45462</v>
      </c>
      <c r="DX30" s="2">
        <v>45463</v>
      </c>
      <c r="DY30" s="2">
        <v>45464</v>
      </c>
      <c r="DZ30" s="2">
        <v>45465</v>
      </c>
      <c r="EA30" s="2">
        <v>45466</v>
      </c>
      <c r="EB30" s="2">
        <v>45467</v>
      </c>
      <c r="EC30" s="2">
        <v>45468</v>
      </c>
      <c r="ED30" s="2">
        <v>45469</v>
      </c>
      <c r="EE30" s="2">
        <v>45470</v>
      </c>
      <c r="EF30" s="2">
        <v>45471</v>
      </c>
      <c r="EG30" s="2">
        <v>45472</v>
      </c>
      <c r="EH30" s="2">
        <v>45473</v>
      </c>
      <c r="EI30" s="2"/>
      <c r="EJ30" s="3"/>
      <c r="EK30" s="3"/>
      <c r="EM30" s="1" t="e">
        <f>(#REF!)</f>
        <v>#REF!</v>
      </c>
      <c r="EN30" s="9" t="e">
        <f>(#REF!)</f>
        <v>#REF!</v>
      </c>
      <c r="EO30" s="9" t="e">
        <f>(#REF!)</f>
        <v>#REF!</v>
      </c>
      <c r="EP30" s="9" t="e">
        <f>(#REF!)</f>
        <v>#REF!</v>
      </c>
      <c r="EQ30" s="12"/>
      <c r="ER30" s="1"/>
      <c r="ES30" s="12" t="s">
        <v>35</v>
      </c>
      <c r="ET30" s="12">
        <v>19000</v>
      </c>
      <c r="EU30" s="1"/>
      <c r="EV30" s="1"/>
      <c r="EW30" s="1"/>
      <c r="EX30" s="1"/>
      <c r="EY30" s="1"/>
    </row>
    <row r="31" spans="1:155" ht="18" customHeight="1" x14ac:dyDescent="0.3">
      <c r="A31" s="32" t="str">
        <f>(SALES!$A:$A)</f>
        <v>Wednesday, 3 January 2024</v>
      </c>
      <c r="B31" s="1">
        <f>(SALES!$C:$C)</f>
        <v>8</v>
      </c>
      <c r="C31" s="1">
        <f>(SALES!$D:$D)</f>
        <v>1.5</v>
      </c>
      <c r="D31" s="1" t="str">
        <f>(SALES!$E:$E)</f>
        <v>BEEF</v>
      </c>
      <c r="E31" s="1">
        <f>(SALES!$F:$F)</f>
        <v>16000</v>
      </c>
      <c r="F31" s="1">
        <f>(SALES!$G:$G)</f>
        <v>24000</v>
      </c>
      <c r="H31" s="2">
        <f>(EXPENSES!$A:$A)</f>
        <v>45296</v>
      </c>
      <c r="I31" s="10">
        <f>(EXPENSES!$B:$B)</f>
        <v>4</v>
      </c>
      <c r="J31" s="10" t="str">
        <f>(EXPENSES!$C:$C)</f>
        <v>BOUGHT BUVEERA</v>
      </c>
      <c r="K31" s="10">
        <f>(EXPENSES!$D:$D)</f>
        <v>50000</v>
      </c>
      <c r="M31" s="3">
        <f t="shared" ref="M31:AQ31" si="20">SUMIF($A:$A, "01/01/2024",$F:$F )</f>
        <v>0</v>
      </c>
      <c r="N31" s="3">
        <f t="shared" si="20"/>
        <v>0</v>
      </c>
      <c r="O31" s="3">
        <f t="shared" si="20"/>
        <v>0</v>
      </c>
      <c r="P31" s="3">
        <f t="shared" si="20"/>
        <v>0</v>
      </c>
      <c r="Q31" s="3">
        <f t="shared" si="20"/>
        <v>0</v>
      </c>
      <c r="R31" s="3">
        <f t="shared" si="20"/>
        <v>0</v>
      </c>
      <c r="S31" s="3">
        <f t="shared" si="20"/>
        <v>0</v>
      </c>
      <c r="T31" s="3">
        <f t="shared" si="20"/>
        <v>0</v>
      </c>
      <c r="U31" s="3">
        <f t="shared" si="20"/>
        <v>0</v>
      </c>
      <c r="V31" s="3">
        <f t="shared" si="20"/>
        <v>0</v>
      </c>
      <c r="W31" s="3">
        <f t="shared" si="20"/>
        <v>0</v>
      </c>
      <c r="X31" s="3">
        <f t="shared" si="20"/>
        <v>0</v>
      </c>
      <c r="Y31" s="3">
        <f t="shared" si="20"/>
        <v>0</v>
      </c>
      <c r="Z31" s="3">
        <f t="shared" si="20"/>
        <v>0</v>
      </c>
      <c r="AA31" s="3">
        <f t="shared" si="20"/>
        <v>0</v>
      </c>
      <c r="AB31" s="3">
        <f t="shared" si="20"/>
        <v>0</v>
      </c>
      <c r="AC31" s="3">
        <f t="shared" si="20"/>
        <v>0</v>
      </c>
      <c r="AD31" s="3">
        <f t="shared" si="20"/>
        <v>0</v>
      </c>
      <c r="AE31" s="3">
        <f t="shared" si="20"/>
        <v>0</v>
      </c>
      <c r="AF31" s="3">
        <f t="shared" si="20"/>
        <v>0</v>
      </c>
      <c r="AG31" s="3">
        <f t="shared" si="20"/>
        <v>0</v>
      </c>
      <c r="AH31" s="3">
        <f t="shared" si="20"/>
        <v>0</v>
      </c>
      <c r="AI31" s="3">
        <f t="shared" si="20"/>
        <v>0</v>
      </c>
      <c r="AJ31" s="3">
        <f t="shared" si="20"/>
        <v>0</v>
      </c>
      <c r="AK31" s="3">
        <f t="shared" si="20"/>
        <v>0</v>
      </c>
      <c r="AL31" s="3">
        <f t="shared" si="20"/>
        <v>0</v>
      </c>
      <c r="AM31" s="3">
        <f t="shared" si="20"/>
        <v>0</v>
      </c>
      <c r="AN31" s="3">
        <f t="shared" si="20"/>
        <v>0</v>
      </c>
      <c r="AO31" s="3">
        <f t="shared" si="20"/>
        <v>0</v>
      </c>
      <c r="AP31" s="3">
        <f t="shared" si="20"/>
        <v>0</v>
      </c>
      <c r="AQ31" s="3">
        <f t="shared" si="20"/>
        <v>0</v>
      </c>
      <c r="AS31" s="3">
        <f t="shared" ref="AS31:BW31" si="21">SUMIF($A:$A, "01/01/2024",$F:$F )</f>
        <v>0</v>
      </c>
      <c r="AT31" s="3">
        <f t="shared" si="21"/>
        <v>0</v>
      </c>
      <c r="AU31" s="3">
        <f t="shared" si="21"/>
        <v>0</v>
      </c>
      <c r="AV31" s="3">
        <f t="shared" si="21"/>
        <v>0</v>
      </c>
      <c r="AW31" s="3">
        <f t="shared" si="21"/>
        <v>0</v>
      </c>
      <c r="AX31" s="3">
        <f t="shared" si="21"/>
        <v>0</v>
      </c>
      <c r="AY31" s="3">
        <f t="shared" si="21"/>
        <v>0</v>
      </c>
      <c r="AZ31" s="3">
        <f t="shared" si="21"/>
        <v>0</v>
      </c>
      <c r="BA31" s="3">
        <f t="shared" si="21"/>
        <v>0</v>
      </c>
      <c r="BB31" s="3">
        <f t="shared" si="21"/>
        <v>0</v>
      </c>
      <c r="BC31" s="3">
        <f t="shared" si="21"/>
        <v>0</v>
      </c>
      <c r="BD31" s="3">
        <f t="shared" si="21"/>
        <v>0</v>
      </c>
      <c r="BE31" s="3">
        <f t="shared" si="21"/>
        <v>0</v>
      </c>
      <c r="BF31" s="3">
        <f t="shared" si="21"/>
        <v>0</v>
      </c>
      <c r="BG31" s="3">
        <f t="shared" si="21"/>
        <v>0</v>
      </c>
      <c r="BH31" s="3">
        <f t="shared" si="21"/>
        <v>0</v>
      </c>
      <c r="BI31" s="3">
        <f t="shared" si="21"/>
        <v>0</v>
      </c>
      <c r="BJ31" s="3">
        <f t="shared" si="21"/>
        <v>0</v>
      </c>
      <c r="BK31" s="3">
        <f t="shared" si="21"/>
        <v>0</v>
      </c>
      <c r="BL31" s="3">
        <f t="shared" si="21"/>
        <v>0</v>
      </c>
      <c r="BM31" s="3">
        <f t="shared" si="21"/>
        <v>0</v>
      </c>
      <c r="BN31" s="3">
        <f t="shared" si="21"/>
        <v>0</v>
      </c>
      <c r="BO31" s="3">
        <f t="shared" si="21"/>
        <v>0</v>
      </c>
      <c r="BP31" s="3">
        <f t="shared" si="21"/>
        <v>0</v>
      </c>
      <c r="BQ31" s="3">
        <f t="shared" si="21"/>
        <v>0</v>
      </c>
      <c r="BR31" s="3">
        <f t="shared" si="21"/>
        <v>0</v>
      </c>
      <c r="BS31" s="3">
        <f t="shared" si="21"/>
        <v>0</v>
      </c>
      <c r="BT31" s="3">
        <f t="shared" si="21"/>
        <v>0</v>
      </c>
      <c r="BU31" s="3">
        <f t="shared" si="21"/>
        <v>0</v>
      </c>
      <c r="BV31" s="3">
        <f t="shared" si="21"/>
        <v>0</v>
      </c>
      <c r="BW31" s="3">
        <f t="shared" si="21"/>
        <v>0</v>
      </c>
      <c r="BY31" s="3">
        <f>(M31-AS31)</f>
        <v>0</v>
      </c>
      <c r="BZ31" s="3">
        <f t="shared" ref="BZ31:DC31" si="22">SUMIF($A:$A, "01/01/2024",$F:$F )</f>
        <v>0</v>
      </c>
      <c r="CA31" s="3">
        <f t="shared" si="22"/>
        <v>0</v>
      </c>
      <c r="CB31" s="3">
        <f t="shared" si="22"/>
        <v>0</v>
      </c>
      <c r="CC31" s="3">
        <f t="shared" si="22"/>
        <v>0</v>
      </c>
      <c r="CD31" s="3">
        <f t="shared" si="22"/>
        <v>0</v>
      </c>
      <c r="CE31" s="3">
        <f t="shared" si="22"/>
        <v>0</v>
      </c>
      <c r="CF31" s="3">
        <f t="shared" si="22"/>
        <v>0</v>
      </c>
      <c r="CG31" s="3">
        <f t="shared" si="22"/>
        <v>0</v>
      </c>
      <c r="CH31" s="3">
        <f t="shared" si="22"/>
        <v>0</v>
      </c>
      <c r="CI31" s="3">
        <f t="shared" si="22"/>
        <v>0</v>
      </c>
      <c r="CJ31" s="3">
        <f t="shared" si="22"/>
        <v>0</v>
      </c>
      <c r="CK31" s="3">
        <f t="shared" si="22"/>
        <v>0</v>
      </c>
      <c r="CL31" s="3">
        <f t="shared" si="22"/>
        <v>0</v>
      </c>
      <c r="CM31" s="3">
        <f t="shared" si="22"/>
        <v>0</v>
      </c>
      <c r="CN31" s="3">
        <f t="shared" si="22"/>
        <v>0</v>
      </c>
      <c r="CO31" s="3">
        <f t="shared" si="22"/>
        <v>0</v>
      </c>
      <c r="CP31" s="3">
        <f t="shared" si="22"/>
        <v>0</v>
      </c>
      <c r="CQ31" s="3">
        <f t="shared" si="22"/>
        <v>0</v>
      </c>
      <c r="CR31" s="3">
        <f t="shared" si="22"/>
        <v>0</v>
      </c>
      <c r="CS31" s="3">
        <f t="shared" si="22"/>
        <v>0</v>
      </c>
      <c r="CT31" s="3">
        <f t="shared" si="22"/>
        <v>0</v>
      </c>
      <c r="CU31" s="3">
        <f t="shared" si="22"/>
        <v>0</v>
      </c>
      <c r="CV31" s="3">
        <f t="shared" si="22"/>
        <v>0</v>
      </c>
      <c r="CW31" s="3">
        <f t="shared" si="22"/>
        <v>0</v>
      </c>
      <c r="CX31" s="3">
        <f t="shared" si="22"/>
        <v>0</v>
      </c>
      <c r="CY31" s="3">
        <f t="shared" si="22"/>
        <v>0</v>
      </c>
      <c r="CZ31" s="3">
        <f t="shared" si="22"/>
        <v>0</v>
      </c>
      <c r="DA31" s="3">
        <f t="shared" si="22"/>
        <v>0</v>
      </c>
      <c r="DB31" s="3">
        <f t="shared" si="22"/>
        <v>0</v>
      </c>
      <c r="DC31" s="3">
        <f t="shared" si="22"/>
        <v>0</v>
      </c>
      <c r="DE31" s="3">
        <f t="shared" ref="DE31:EI31" si="23">SUMIF($A:$A, "01/01/2024",$F:$F )</f>
        <v>0</v>
      </c>
      <c r="DF31" s="3">
        <f t="shared" si="23"/>
        <v>0</v>
      </c>
      <c r="DG31" s="3">
        <f t="shared" si="23"/>
        <v>0</v>
      </c>
      <c r="DH31" s="3">
        <f t="shared" si="23"/>
        <v>0</v>
      </c>
      <c r="DI31" s="3">
        <f t="shared" si="23"/>
        <v>0</v>
      </c>
      <c r="DJ31" s="3">
        <f t="shared" si="23"/>
        <v>0</v>
      </c>
      <c r="DK31" s="3">
        <f t="shared" si="23"/>
        <v>0</v>
      </c>
      <c r="DL31" s="3">
        <f t="shared" si="23"/>
        <v>0</v>
      </c>
      <c r="DM31" s="3">
        <f t="shared" si="23"/>
        <v>0</v>
      </c>
      <c r="DN31" s="3">
        <f t="shared" si="23"/>
        <v>0</v>
      </c>
      <c r="DO31" s="3">
        <f t="shared" si="23"/>
        <v>0</v>
      </c>
      <c r="DP31" s="3">
        <f t="shared" si="23"/>
        <v>0</v>
      </c>
      <c r="DQ31" s="3">
        <f t="shared" si="23"/>
        <v>0</v>
      </c>
      <c r="DR31" s="3">
        <f t="shared" si="23"/>
        <v>0</v>
      </c>
      <c r="DS31" s="3">
        <f t="shared" si="23"/>
        <v>0</v>
      </c>
      <c r="DT31" s="3">
        <f t="shared" si="23"/>
        <v>0</v>
      </c>
      <c r="DU31" s="3">
        <f t="shared" si="23"/>
        <v>0</v>
      </c>
      <c r="DV31" s="3">
        <f t="shared" si="23"/>
        <v>0</v>
      </c>
      <c r="DW31" s="3">
        <f t="shared" si="23"/>
        <v>0</v>
      </c>
      <c r="DX31" s="3">
        <f t="shared" si="23"/>
        <v>0</v>
      </c>
      <c r="DY31" s="3">
        <f t="shared" si="23"/>
        <v>0</v>
      </c>
      <c r="DZ31" s="3">
        <f t="shared" si="23"/>
        <v>0</v>
      </c>
      <c r="EA31" s="3">
        <f t="shared" si="23"/>
        <v>0</v>
      </c>
      <c r="EB31" s="3">
        <f t="shared" si="23"/>
        <v>0</v>
      </c>
      <c r="EC31" s="3">
        <f t="shared" si="23"/>
        <v>0</v>
      </c>
      <c r="ED31" s="3">
        <f t="shared" si="23"/>
        <v>0</v>
      </c>
      <c r="EE31" s="3">
        <f t="shared" si="23"/>
        <v>0</v>
      </c>
      <c r="EF31" s="3">
        <f t="shared" si="23"/>
        <v>0</v>
      </c>
      <c r="EG31" s="3">
        <f t="shared" si="23"/>
        <v>0</v>
      </c>
      <c r="EH31" s="3">
        <f t="shared" si="23"/>
        <v>0</v>
      </c>
      <c r="EI31" s="3">
        <f t="shared" si="23"/>
        <v>0</v>
      </c>
      <c r="EM31" s="1" t="e">
        <f>(#REF!)</f>
        <v>#REF!</v>
      </c>
      <c r="EN31" s="9" t="e">
        <f>(#REF!)</f>
        <v>#REF!</v>
      </c>
      <c r="EO31" s="9" t="e">
        <f>(#REF!)</f>
        <v>#REF!</v>
      </c>
      <c r="EP31" s="9" t="e">
        <f>(#REF!)</f>
        <v>#REF!</v>
      </c>
      <c r="EQ31" s="12"/>
      <c r="ER31" s="1"/>
      <c r="ES31" s="12" t="s">
        <v>36</v>
      </c>
      <c r="ET31" s="12">
        <v>3000</v>
      </c>
      <c r="EU31" s="1"/>
      <c r="EV31" s="1"/>
      <c r="EW31" s="1"/>
      <c r="EX31" s="1"/>
      <c r="EY31" s="1"/>
    </row>
    <row r="32" spans="1:155" ht="18" customHeight="1" x14ac:dyDescent="0.3">
      <c r="A32" s="32" t="str">
        <f>(SALES!$A:$A)</f>
        <v>Wednesday, 3 January 2024</v>
      </c>
      <c r="B32" s="1">
        <f>(SALES!$C:$C)</f>
        <v>13</v>
      </c>
      <c r="C32" s="1">
        <f>(SALES!$D:$D)</f>
        <v>6</v>
      </c>
      <c r="D32" s="1" t="str">
        <f>(SALES!$E:$E)</f>
        <v>DOG BONES</v>
      </c>
      <c r="E32" s="1">
        <f>(SALES!$F:$F)</f>
        <v>4000</v>
      </c>
      <c r="F32" s="1">
        <f>(SALES!$G:$G)</f>
        <v>24000</v>
      </c>
      <c r="H32" s="2">
        <f>(EXPENSES!$A:$A)</f>
        <v>45296</v>
      </c>
      <c r="I32" s="10">
        <f>(EXPENSES!$B:$B)</f>
        <v>3</v>
      </c>
      <c r="J32" s="10" t="str">
        <f>(EXPENSES!$C:$C)</f>
        <v>BOUGHT FILLET</v>
      </c>
      <c r="K32" s="10">
        <f>(EXPENSES!$D:$D)</f>
        <v>81000</v>
      </c>
      <c r="M32" s="3"/>
      <c r="AS32" s="3"/>
      <c r="BY32" s="3"/>
      <c r="DE32" s="3"/>
      <c r="EJ32" s="12"/>
      <c r="EK32" s="12"/>
      <c r="EM32" s="1" t="e">
        <f>(#REF!)</f>
        <v>#REF!</v>
      </c>
      <c r="EN32" s="9" t="e">
        <f>(#REF!)</f>
        <v>#REF!</v>
      </c>
      <c r="EO32" s="9" t="e">
        <f>(#REF!)</f>
        <v>#REF!</v>
      </c>
      <c r="EP32" s="9" t="e">
        <f>(#REF!)</f>
        <v>#REF!</v>
      </c>
      <c r="EQ32" s="12"/>
      <c r="ER32" s="1"/>
      <c r="ES32" s="12" t="s">
        <v>36</v>
      </c>
      <c r="ET32" s="12">
        <v>10000</v>
      </c>
      <c r="EU32" s="1"/>
      <c r="EV32" s="1"/>
      <c r="EW32" s="1"/>
      <c r="EX32" s="1"/>
      <c r="EY32" s="1"/>
    </row>
    <row r="33" spans="1:155" ht="18" customHeight="1" x14ac:dyDescent="0.3">
      <c r="A33" s="32" t="str">
        <f>(SALES!$A:$A)</f>
        <v>Wednesday, 3 January 2024</v>
      </c>
      <c r="B33" s="1">
        <f>(SALES!$C:$C)</f>
        <v>14</v>
      </c>
      <c r="C33" s="1">
        <f>(SALES!$D:$D)</f>
        <v>0.5</v>
      </c>
      <c r="D33" s="1" t="str">
        <f>(SALES!$E:$E)</f>
        <v>BEEF</v>
      </c>
      <c r="E33" s="1">
        <f>(SALES!$F:$F)</f>
        <v>16000</v>
      </c>
      <c r="F33" s="1">
        <f>(SALES!$G:$G)</f>
        <v>8000</v>
      </c>
      <c r="H33" s="2">
        <f>(EXPENSES!$A:$A)</f>
        <v>45296</v>
      </c>
      <c r="I33" s="10">
        <f>(EXPENSES!$B:$B)</f>
        <v>6</v>
      </c>
      <c r="J33" s="10" t="str">
        <f>(EXPENSES!$C:$C)</f>
        <v>USED GHEE MONEY</v>
      </c>
      <c r="K33" s="10">
        <f>(EXPENSES!$D:$D)</f>
        <v>160000</v>
      </c>
      <c r="M33" s="47" t="s">
        <v>37</v>
      </c>
      <c r="N33" s="48"/>
      <c r="O33" s="48"/>
      <c r="P33" s="48"/>
      <c r="Q33" s="48"/>
      <c r="R33" s="48"/>
      <c r="S33" s="48"/>
      <c r="T33" s="48"/>
      <c r="U33" s="48"/>
      <c r="V33" s="48"/>
      <c r="W33" s="48"/>
      <c r="X33" s="48"/>
      <c r="Y33" s="48"/>
      <c r="Z33" s="48"/>
      <c r="AA33" s="48"/>
      <c r="AB33" s="48"/>
      <c r="AC33" s="48"/>
      <c r="AD33" s="48"/>
      <c r="AE33" s="48"/>
      <c r="AF33" s="48"/>
      <c r="AG33" s="48"/>
      <c r="AH33" s="48"/>
      <c r="AI33" s="48"/>
      <c r="AJ33" s="48"/>
      <c r="AK33" s="48"/>
      <c r="AL33" s="48"/>
      <c r="AM33" s="48"/>
      <c r="AN33" s="48"/>
      <c r="AO33" s="48"/>
      <c r="AP33" s="48"/>
      <c r="AQ33" s="49"/>
      <c r="AS33" s="47" t="s">
        <v>37</v>
      </c>
      <c r="AT33" s="48"/>
      <c r="AU33" s="48"/>
      <c r="AV33" s="48"/>
      <c r="AW33" s="48"/>
      <c r="AX33" s="48"/>
      <c r="AY33" s="48"/>
      <c r="AZ33" s="48"/>
      <c r="BA33" s="48"/>
      <c r="BB33" s="48"/>
      <c r="BC33" s="48"/>
      <c r="BD33" s="48"/>
      <c r="BE33" s="48"/>
      <c r="BF33" s="48"/>
      <c r="BG33" s="48"/>
      <c r="BH33" s="48"/>
      <c r="BI33" s="48"/>
      <c r="BJ33" s="48"/>
      <c r="BK33" s="48"/>
      <c r="BL33" s="48"/>
      <c r="BM33" s="48"/>
      <c r="BN33" s="48"/>
      <c r="BO33" s="48"/>
      <c r="BP33" s="48"/>
      <c r="BQ33" s="48"/>
      <c r="BR33" s="48"/>
      <c r="BS33" s="48"/>
      <c r="BT33" s="48"/>
      <c r="BU33" s="48"/>
      <c r="BV33" s="48"/>
      <c r="BW33" s="49"/>
      <c r="BY33" s="47" t="s">
        <v>37</v>
      </c>
      <c r="BZ33" s="48"/>
      <c r="CA33" s="48"/>
      <c r="CB33" s="48"/>
      <c r="CC33" s="48"/>
      <c r="CD33" s="48"/>
      <c r="CE33" s="48"/>
      <c r="CF33" s="48"/>
      <c r="CG33" s="48"/>
      <c r="CH33" s="48"/>
      <c r="CI33" s="48"/>
      <c r="CJ33" s="48"/>
      <c r="CK33" s="48"/>
      <c r="CL33" s="48"/>
      <c r="CM33" s="48"/>
      <c r="CN33" s="48"/>
      <c r="CO33" s="48"/>
      <c r="CP33" s="48"/>
      <c r="CQ33" s="48"/>
      <c r="CR33" s="48"/>
      <c r="CS33" s="48"/>
      <c r="CT33" s="48"/>
      <c r="CU33" s="48"/>
      <c r="CV33" s="48"/>
      <c r="CW33" s="48"/>
      <c r="CX33" s="48"/>
      <c r="CY33" s="48"/>
      <c r="CZ33" s="48"/>
      <c r="DA33" s="48"/>
      <c r="DB33" s="48"/>
      <c r="DC33" s="49"/>
      <c r="DE33" s="47" t="s">
        <v>37</v>
      </c>
      <c r="DF33" s="48"/>
      <c r="DG33" s="48"/>
      <c r="DH33" s="48"/>
      <c r="DI33" s="48"/>
      <c r="DJ33" s="48"/>
      <c r="DK33" s="48"/>
      <c r="DL33" s="48"/>
      <c r="DM33" s="48"/>
      <c r="DN33" s="48"/>
      <c r="DO33" s="48"/>
      <c r="DP33" s="48"/>
      <c r="DQ33" s="48"/>
      <c r="DR33" s="48"/>
      <c r="DS33" s="48"/>
      <c r="DT33" s="48"/>
      <c r="DU33" s="48"/>
      <c r="DV33" s="48"/>
      <c r="DW33" s="48"/>
      <c r="DX33" s="48"/>
      <c r="DY33" s="48"/>
      <c r="DZ33" s="48"/>
      <c r="EA33" s="48"/>
      <c r="EB33" s="48"/>
      <c r="EC33" s="48"/>
      <c r="ED33" s="48"/>
      <c r="EE33" s="48"/>
      <c r="EF33" s="48"/>
      <c r="EG33" s="48"/>
      <c r="EH33" s="48"/>
      <c r="EI33" s="49"/>
      <c r="EJ33" s="3"/>
      <c r="EK33" s="3"/>
      <c r="EM33" s="1" t="e">
        <f>(#REF!)</f>
        <v>#REF!</v>
      </c>
      <c r="EN33" s="9" t="e">
        <f>(#REF!)</f>
        <v>#REF!</v>
      </c>
      <c r="EO33" s="9" t="e">
        <f>(#REF!)</f>
        <v>#REF!</v>
      </c>
      <c r="EP33" s="9" t="e">
        <f>(#REF!)</f>
        <v>#REF!</v>
      </c>
      <c r="EQ33" s="12"/>
      <c r="ER33" s="1"/>
      <c r="ES33" s="10" t="s">
        <v>36</v>
      </c>
      <c r="ET33" s="10">
        <v>5000</v>
      </c>
      <c r="EU33" s="1"/>
      <c r="EV33" s="1"/>
      <c r="EW33" s="1"/>
      <c r="EX33" s="1"/>
      <c r="EY33" s="1"/>
    </row>
    <row r="34" spans="1:155" ht="18" customHeight="1" x14ac:dyDescent="0.3">
      <c r="A34" s="32" t="str">
        <f>(SALES!$A:$A)</f>
        <v>Wednesday, 3 January 2024</v>
      </c>
      <c r="B34" s="1">
        <f>(SALES!$C:$C)</f>
        <v>15</v>
      </c>
      <c r="C34" s="1">
        <f>(SALES!$D:$D)</f>
        <v>2</v>
      </c>
      <c r="D34" s="1" t="str">
        <f>(SALES!$E:$E)</f>
        <v>MILK</v>
      </c>
      <c r="E34" s="1">
        <f>(SALES!$F:$F)</f>
        <v>2000</v>
      </c>
      <c r="F34" s="1">
        <f>(SALES!$G:$G)</f>
        <v>4000</v>
      </c>
      <c r="H34" s="2">
        <f>(EXPENSES!$A:$A)</f>
        <v>45296</v>
      </c>
      <c r="I34" s="10">
        <f>(EXPENSES!$B:$B)</f>
        <v>10</v>
      </c>
      <c r="J34" s="10" t="str">
        <f>(EXPENSES!$C:$C)</f>
        <v>RETURNED GHEE MONEY</v>
      </c>
      <c r="K34" s="10">
        <f>(EXPENSES!$D:$D)</f>
        <v>185000</v>
      </c>
      <c r="M34" s="3" t="e">
        <f>TEXT(WEEKDAY(DATE(CalendarYear,7,1),1),"aaa")</f>
        <v>#REF!</v>
      </c>
      <c r="N34" s="3" t="e">
        <f>TEXT(WEEKDAY(DATE(CalendarYear,7,2),1),"aaa")</f>
        <v>#REF!</v>
      </c>
      <c r="O34" s="3" t="e">
        <f>TEXT(WEEKDAY(DATE(CalendarYear,7,3),1),"aaa")</f>
        <v>#REF!</v>
      </c>
      <c r="P34" s="3" t="e">
        <f>TEXT(WEEKDAY(DATE(CalendarYear,7,4),1),"aaa")</f>
        <v>#REF!</v>
      </c>
      <c r="Q34" s="3" t="e">
        <f>TEXT(WEEKDAY(DATE(CalendarYear,7,5),1),"aaa")</f>
        <v>#REF!</v>
      </c>
      <c r="R34" s="3" t="e">
        <f>TEXT(WEEKDAY(DATE(CalendarYear,7,6),1),"aaa")</f>
        <v>#REF!</v>
      </c>
      <c r="S34" s="3" t="e">
        <f>TEXT(WEEKDAY(DATE(CalendarYear,7,7),1),"aaa")</f>
        <v>#REF!</v>
      </c>
      <c r="T34" s="3" t="e">
        <f>TEXT(WEEKDAY(DATE(CalendarYear,7,8),1),"aaa")</f>
        <v>#REF!</v>
      </c>
      <c r="U34" s="3" t="e">
        <f>TEXT(WEEKDAY(DATE(CalendarYear,7,9),1),"aaa")</f>
        <v>#REF!</v>
      </c>
      <c r="V34" s="3" t="e">
        <f>TEXT(WEEKDAY(DATE(CalendarYear,7,10),1),"aaa")</f>
        <v>#REF!</v>
      </c>
      <c r="W34" s="3" t="e">
        <f>TEXT(WEEKDAY(DATE(CalendarYear,7,11),1),"aaa")</f>
        <v>#REF!</v>
      </c>
      <c r="X34" s="3" t="e">
        <f>TEXT(WEEKDAY(DATE(CalendarYear,7,12),1),"aaa")</f>
        <v>#REF!</v>
      </c>
      <c r="Y34" s="3" t="e">
        <f>TEXT(WEEKDAY(DATE(CalendarYear,7,13),1),"aaa")</f>
        <v>#REF!</v>
      </c>
      <c r="Z34" s="3" t="e">
        <f>TEXT(WEEKDAY(DATE(CalendarYear,7,14),1),"aaa")</f>
        <v>#REF!</v>
      </c>
      <c r="AA34" s="3" t="e">
        <f>TEXT(WEEKDAY(DATE(CalendarYear,7,15),1),"aaa")</f>
        <v>#REF!</v>
      </c>
      <c r="AB34" s="3" t="e">
        <f>TEXT(WEEKDAY(DATE(CalendarYear,7,16),1),"aaa")</f>
        <v>#REF!</v>
      </c>
      <c r="AC34" s="3" t="e">
        <f>TEXT(WEEKDAY(DATE(CalendarYear,7,17),1),"aaa")</f>
        <v>#REF!</v>
      </c>
      <c r="AD34" s="3" t="e">
        <f>TEXT(WEEKDAY(DATE(CalendarYear,7,18),1),"aaa")</f>
        <v>#REF!</v>
      </c>
      <c r="AE34" s="3" t="e">
        <f>TEXT(WEEKDAY(DATE(CalendarYear,7,19),1),"aaa")</f>
        <v>#REF!</v>
      </c>
      <c r="AF34" s="3" t="e">
        <f>TEXT(WEEKDAY(DATE(CalendarYear,7,20),1),"aaa")</f>
        <v>#REF!</v>
      </c>
      <c r="AG34" s="3" t="e">
        <f>TEXT(WEEKDAY(DATE(CalendarYear,7,21),1),"aaa")</f>
        <v>#REF!</v>
      </c>
      <c r="AH34" s="3" t="e">
        <f>TEXT(WEEKDAY(DATE(CalendarYear,7,22),1),"aaa")</f>
        <v>#REF!</v>
      </c>
      <c r="AI34" s="3" t="e">
        <f>TEXT(WEEKDAY(DATE(CalendarYear,7,23),1),"aaa")</f>
        <v>#REF!</v>
      </c>
      <c r="AJ34" s="3" t="e">
        <f>TEXT(WEEKDAY(DATE(CalendarYear,7,24),1),"aaa")</f>
        <v>#REF!</v>
      </c>
      <c r="AK34" s="3" t="e">
        <f>TEXT(WEEKDAY(DATE(CalendarYear,7,25),1),"aaa")</f>
        <v>#REF!</v>
      </c>
      <c r="AL34" s="3" t="e">
        <f>TEXT(WEEKDAY(DATE(CalendarYear,7,26),1),"aaa")</f>
        <v>#REF!</v>
      </c>
      <c r="AM34" s="3" t="e">
        <f>TEXT(WEEKDAY(DATE(CalendarYear,7,27),1),"aaa")</f>
        <v>#REF!</v>
      </c>
      <c r="AN34" s="3" t="e">
        <f>TEXT(WEEKDAY(DATE(CalendarYear,7,28),1),"aaa")</f>
        <v>#REF!</v>
      </c>
      <c r="AO34" s="3" t="e">
        <f>TEXT(WEEKDAY(DATE(CalendarYear,7,29),1),"aaa")</f>
        <v>#REF!</v>
      </c>
      <c r="AP34" s="3" t="e">
        <f>TEXT(WEEKDAY(DATE(CalendarYear,7,30),1),"aaa")</f>
        <v>#REF!</v>
      </c>
      <c r="AQ34" s="3" t="e">
        <f>TEXT(WEEKDAY(DATE(CalendarYear,7,31),1),"aaa")</f>
        <v>#REF!</v>
      </c>
      <c r="AS34" s="3" t="e">
        <f>TEXT(WEEKDAY(DATE(CalendarYear,7,1),1),"aaa")</f>
        <v>#REF!</v>
      </c>
      <c r="AT34" s="3" t="e">
        <f>TEXT(WEEKDAY(DATE(CalendarYear,7,2),1),"aaa")</f>
        <v>#REF!</v>
      </c>
      <c r="AU34" s="3" t="e">
        <f>TEXT(WEEKDAY(DATE(CalendarYear,7,3),1),"aaa")</f>
        <v>#REF!</v>
      </c>
      <c r="AV34" s="3" t="e">
        <f>TEXT(WEEKDAY(DATE(CalendarYear,7,4),1),"aaa")</f>
        <v>#REF!</v>
      </c>
      <c r="AW34" s="3" t="e">
        <f>TEXT(WEEKDAY(DATE(CalendarYear,7,5),1),"aaa")</f>
        <v>#REF!</v>
      </c>
      <c r="AX34" s="3" t="e">
        <f>TEXT(WEEKDAY(DATE(CalendarYear,7,6),1),"aaa")</f>
        <v>#REF!</v>
      </c>
      <c r="AY34" s="3" t="e">
        <f>TEXT(WEEKDAY(DATE(CalendarYear,7,7),1),"aaa")</f>
        <v>#REF!</v>
      </c>
      <c r="AZ34" s="3" t="e">
        <f>TEXT(WEEKDAY(DATE(CalendarYear,7,8),1),"aaa")</f>
        <v>#REF!</v>
      </c>
      <c r="BA34" s="3" t="e">
        <f>TEXT(WEEKDAY(DATE(CalendarYear,7,9),1),"aaa")</f>
        <v>#REF!</v>
      </c>
      <c r="BB34" s="3" t="e">
        <f>TEXT(WEEKDAY(DATE(CalendarYear,7,10),1),"aaa")</f>
        <v>#REF!</v>
      </c>
      <c r="BC34" s="3" t="e">
        <f>TEXT(WEEKDAY(DATE(CalendarYear,7,11),1),"aaa")</f>
        <v>#REF!</v>
      </c>
      <c r="BD34" s="3" t="e">
        <f>TEXT(WEEKDAY(DATE(CalendarYear,7,12),1),"aaa")</f>
        <v>#REF!</v>
      </c>
      <c r="BE34" s="3" t="e">
        <f>TEXT(WEEKDAY(DATE(CalendarYear,7,13),1),"aaa")</f>
        <v>#REF!</v>
      </c>
      <c r="BF34" s="3" t="e">
        <f>TEXT(WEEKDAY(DATE(CalendarYear,7,14),1),"aaa")</f>
        <v>#REF!</v>
      </c>
      <c r="BG34" s="3" t="e">
        <f>TEXT(WEEKDAY(DATE(CalendarYear,7,15),1),"aaa")</f>
        <v>#REF!</v>
      </c>
      <c r="BH34" s="3" t="e">
        <f>TEXT(WEEKDAY(DATE(CalendarYear,7,16),1),"aaa")</f>
        <v>#REF!</v>
      </c>
      <c r="BI34" s="3" t="e">
        <f>TEXT(WEEKDAY(DATE(CalendarYear,7,17),1),"aaa")</f>
        <v>#REF!</v>
      </c>
      <c r="BJ34" s="3" t="e">
        <f>TEXT(WEEKDAY(DATE(CalendarYear,7,18),1),"aaa")</f>
        <v>#REF!</v>
      </c>
      <c r="BK34" s="3" t="e">
        <f>TEXT(WEEKDAY(DATE(CalendarYear,7,19),1),"aaa")</f>
        <v>#REF!</v>
      </c>
      <c r="BL34" s="3" t="e">
        <f>TEXT(WEEKDAY(DATE(CalendarYear,7,20),1),"aaa")</f>
        <v>#REF!</v>
      </c>
      <c r="BM34" s="3" t="e">
        <f>TEXT(WEEKDAY(DATE(CalendarYear,7,21),1),"aaa")</f>
        <v>#REF!</v>
      </c>
      <c r="BN34" s="3" t="e">
        <f>TEXT(WEEKDAY(DATE(CalendarYear,7,22),1),"aaa")</f>
        <v>#REF!</v>
      </c>
      <c r="BO34" s="3" t="e">
        <f>TEXT(WEEKDAY(DATE(CalendarYear,7,23),1),"aaa")</f>
        <v>#REF!</v>
      </c>
      <c r="BP34" s="3" t="e">
        <f>TEXT(WEEKDAY(DATE(CalendarYear,7,24),1),"aaa")</f>
        <v>#REF!</v>
      </c>
      <c r="BQ34" s="3" t="e">
        <f>TEXT(WEEKDAY(DATE(CalendarYear,7,25),1),"aaa")</f>
        <v>#REF!</v>
      </c>
      <c r="BR34" s="3" t="e">
        <f>TEXT(WEEKDAY(DATE(CalendarYear,7,26),1),"aaa")</f>
        <v>#REF!</v>
      </c>
      <c r="BS34" s="3" t="e">
        <f>TEXT(WEEKDAY(DATE(CalendarYear,7,27),1),"aaa")</f>
        <v>#REF!</v>
      </c>
      <c r="BT34" s="3" t="e">
        <f>TEXT(WEEKDAY(DATE(CalendarYear,7,28),1),"aaa")</f>
        <v>#REF!</v>
      </c>
      <c r="BU34" s="3" t="e">
        <f>TEXT(WEEKDAY(DATE(CalendarYear,7,29),1),"aaa")</f>
        <v>#REF!</v>
      </c>
      <c r="BV34" s="3" t="e">
        <f>TEXT(WEEKDAY(DATE(CalendarYear,7,30),1),"aaa")</f>
        <v>#REF!</v>
      </c>
      <c r="BW34" s="3" t="e">
        <f>TEXT(WEEKDAY(DATE(CalendarYear,7,31),1),"aaa")</f>
        <v>#REF!</v>
      </c>
      <c r="BY34" s="3" t="e">
        <f>TEXT(WEEKDAY(DATE(CalendarYear,7,1),1),"aaa")</f>
        <v>#REF!</v>
      </c>
      <c r="BZ34" s="3" t="e">
        <f>TEXT(WEEKDAY(DATE(CalendarYear,7,2),1),"aaa")</f>
        <v>#REF!</v>
      </c>
      <c r="CA34" s="3" t="e">
        <f>TEXT(WEEKDAY(DATE(CalendarYear,7,3),1),"aaa")</f>
        <v>#REF!</v>
      </c>
      <c r="CB34" s="3" t="e">
        <f>TEXT(WEEKDAY(DATE(CalendarYear,7,4),1),"aaa")</f>
        <v>#REF!</v>
      </c>
      <c r="CC34" s="3" t="e">
        <f>TEXT(WEEKDAY(DATE(CalendarYear,7,5),1),"aaa")</f>
        <v>#REF!</v>
      </c>
      <c r="CD34" s="3" t="e">
        <f>TEXT(WEEKDAY(DATE(CalendarYear,7,6),1),"aaa")</f>
        <v>#REF!</v>
      </c>
      <c r="CE34" s="3" t="e">
        <f>TEXT(WEEKDAY(DATE(CalendarYear,7,7),1),"aaa")</f>
        <v>#REF!</v>
      </c>
      <c r="CF34" s="3" t="e">
        <f>TEXT(WEEKDAY(DATE(CalendarYear,7,8),1),"aaa")</f>
        <v>#REF!</v>
      </c>
      <c r="CG34" s="3" t="e">
        <f>TEXT(WEEKDAY(DATE(CalendarYear,7,9),1),"aaa")</f>
        <v>#REF!</v>
      </c>
      <c r="CH34" s="3" t="e">
        <f>TEXT(WEEKDAY(DATE(CalendarYear,7,10),1),"aaa")</f>
        <v>#REF!</v>
      </c>
      <c r="CI34" s="3" t="e">
        <f>TEXT(WEEKDAY(DATE(CalendarYear,7,11),1),"aaa")</f>
        <v>#REF!</v>
      </c>
      <c r="CJ34" s="3" t="e">
        <f>TEXT(WEEKDAY(DATE(CalendarYear,7,12),1),"aaa")</f>
        <v>#REF!</v>
      </c>
      <c r="CK34" s="3" t="e">
        <f>TEXT(WEEKDAY(DATE(CalendarYear,7,13),1),"aaa")</f>
        <v>#REF!</v>
      </c>
      <c r="CL34" s="3" t="e">
        <f>TEXT(WEEKDAY(DATE(CalendarYear,7,14),1),"aaa")</f>
        <v>#REF!</v>
      </c>
      <c r="CM34" s="3" t="e">
        <f>TEXT(WEEKDAY(DATE(CalendarYear,7,15),1),"aaa")</f>
        <v>#REF!</v>
      </c>
      <c r="CN34" s="3" t="e">
        <f>TEXT(WEEKDAY(DATE(CalendarYear,7,16),1),"aaa")</f>
        <v>#REF!</v>
      </c>
      <c r="CO34" s="3" t="e">
        <f>TEXT(WEEKDAY(DATE(CalendarYear,7,17),1),"aaa")</f>
        <v>#REF!</v>
      </c>
      <c r="CP34" s="3" t="e">
        <f>TEXT(WEEKDAY(DATE(CalendarYear,7,18),1),"aaa")</f>
        <v>#REF!</v>
      </c>
      <c r="CQ34" s="3" t="e">
        <f>TEXT(WEEKDAY(DATE(CalendarYear,7,19),1),"aaa")</f>
        <v>#REF!</v>
      </c>
      <c r="CR34" s="3" t="e">
        <f>TEXT(WEEKDAY(DATE(CalendarYear,7,20),1),"aaa")</f>
        <v>#REF!</v>
      </c>
      <c r="CS34" s="3" t="e">
        <f>TEXT(WEEKDAY(DATE(CalendarYear,7,21),1),"aaa")</f>
        <v>#REF!</v>
      </c>
      <c r="CT34" s="3" t="e">
        <f>TEXT(WEEKDAY(DATE(CalendarYear,7,22),1),"aaa")</f>
        <v>#REF!</v>
      </c>
      <c r="CU34" s="3" t="e">
        <f>TEXT(WEEKDAY(DATE(CalendarYear,7,23),1),"aaa")</f>
        <v>#REF!</v>
      </c>
      <c r="CV34" s="3" t="e">
        <f>TEXT(WEEKDAY(DATE(CalendarYear,7,24),1),"aaa")</f>
        <v>#REF!</v>
      </c>
      <c r="CW34" s="3" t="e">
        <f>TEXT(WEEKDAY(DATE(CalendarYear,7,25),1),"aaa")</f>
        <v>#REF!</v>
      </c>
      <c r="CX34" s="3" t="e">
        <f>TEXT(WEEKDAY(DATE(CalendarYear,7,26),1),"aaa")</f>
        <v>#REF!</v>
      </c>
      <c r="CY34" s="3" t="e">
        <f>TEXT(WEEKDAY(DATE(CalendarYear,7,27),1),"aaa")</f>
        <v>#REF!</v>
      </c>
      <c r="CZ34" s="3" t="e">
        <f>TEXT(WEEKDAY(DATE(CalendarYear,7,28),1),"aaa")</f>
        <v>#REF!</v>
      </c>
      <c r="DA34" s="3" t="e">
        <f>TEXT(WEEKDAY(DATE(CalendarYear,7,29),1),"aaa")</f>
        <v>#REF!</v>
      </c>
      <c r="DB34" s="3" t="e">
        <f>TEXT(WEEKDAY(DATE(CalendarYear,7,30),1),"aaa")</f>
        <v>#REF!</v>
      </c>
      <c r="DC34" s="3" t="e">
        <f>TEXT(WEEKDAY(DATE(CalendarYear,7,31),1),"aaa")</f>
        <v>#REF!</v>
      </c>
      <c r="DE34" s="3" t="e">
        <f>TEXT(WEEKDAY(DATE(CalendarYear,7,1),1),"aaa")</f>
        <v>#REF!</v>
      </c>
      <c r="DF34" s="3" t="e">
        <f>TEXT(WEEKDAY(DATE(CalendarYear,7,2),1),"aaa")</f>
        <v>#REF!</v>
      </c>
      <c r="DG34" s="3" t="e">
        <f>TEXT(WEEKDAY(DATE(CalendarYear,7,3),1),"aaa")</f>
        <v>#REF!</v>
      </c>
      <c r="DH34" s="3" t="e">
        <f>TEXT(WEEKDAY(DATE(CalendarYear,7,4),1),"aaa")</f>
        <v>#REF!</v>
      </c>
      <c r="DI34" s="3" t="e">
        <f>TEXT(WEEKDAY(DATE(CalendarYear,7,5),1),"aaa")</f>
        <v>#REF!</v>
      </c>
      <c r="DJ34" s="3" t="e">
        <f>TEXT(WEEKDAY(DATE(CalendarYear,7,6),1),"aaa")</f>
        <v>#REF!</v>
      </c>
      <c r="DK34" s="3" t="e">
        <f>TEXT(WEEKDAY(DATE(CalendarYear,7,7),1),"aaa")</f>
        <v>#REF!</v>
      </c>
      <c r="DL34" s="3" t="e">
        <f>TEXT(WEEKDAY(DATE(CalendarYear,7,8),1),"aaa")</f>
        <v>#REF!</v>
      </c>
      <c r="DM34" s="3" t="e">
        <f>TEXT(WEEKDAY(DATE(CalendarYear,7,9),1),"aaa")</f>
        <v>#REF!</v>
      </c>
      <c r="DN34" s="3" t="e">
        <f>TEXT(WEEKDAY(DATE(CalendarYear,7,10),1),"aaa")</f>
        <v>#REF!</v>
      </c>
      <c r="DO34" s="3" t="e">
        <f>TEXT(WEEKDAY(DATE(CalendarYear,7,11),1),"aaa")</f>
        <v>#REF!</v>
      </c>
      <c r="DP34" s="3" t="e">
        <f>TEXT(WEEKDAY(DATE(CalendarYear,7,12),1),"aaa")</f>
        <v>#REF!</v>
      </c>
      <c r="DQ34" s="3" t="e">
        <f>TEXT(WEEKDAY(DATE(CalendarYear,7,13),1),"aaa")</f>
        <v>#REF!</v>
      </c>
      <c r="DR34" s="3" t="e">
        <f>TEXT(WEEKDAY(DATE(CalendarYear,7,14),1),"aaa")</f>
        <v>#REF!</v>
      </c>
      <c r="DS34" s="3" t="e">
        <f>TEXT(WEEKDAY(DATE(CalendarYear,7,15),1),"aaa")</f>
        <v>#REF!</v>
      </c>
      <c r="DT34" s="3" t="e">
        <f>TEXT(WEEKDAY(DATE(CalendarYear,7,16),1),"aaa")</f>
        <v>#REF!</v>
      </c>
      <c r="DU34" s="3" t="e">
        <f>TEXT(WEEKDAY(DATE(CalendarYear,7,17),1),"aaa")</f>
        <v>#REF!</v>
      </c>
      <c r="DV34" s="3" t="e">
        <f>TEXT(WEEKDAY(DATE(CalendarYear,7,18),1),"aaa")</f>
        <v>#REF!</v>
      </c>
      <c r="DW34" s="3" t="e">
        <f>TEXT(WEEKDAY(DATE(CalendarYear,7,19),1),"aaa")</f>
        <v>#REF!</v>
      </c>
      <c r="DX34" s="3" t="e">
        <f>TEXT(WEEKDAY(DATE(CalendarYear,7,20),1),"aaa")</f>
        <v>#REF!</v>
      </c>
      <c r="DY34" s="3" t="e">
        <f>TEXT(WEEKDAY(DATE(CalendarYear,7,21),1),"aaa")</f>
        <v>#REF!</v>
      </c>
      <c r="DZ34" s="3" t="e">
        <f>TEXT(WEEKDAY(DATE(CalendarYear,7,22),1),"aaa")</f>
        <v>#REF!</v>
      </c>
      <c r="EA34" s="3" t="e">
        <f>TEXT(WEEKDAY(DATE(CalendarYear,7,23),1),"aaa")</f>
        <v>#REF!</v>
      </c>
      <c r="EB34" s="3" t="e">
        <f>TEXT(WEEKDAY(DATE(CalendarYear,7,24),1),"aaa")</f>
        <v>#REF!</v>
      </c>
      <c r="EC34" s="3" t="e">
        <f>TEXT(WEEKDAY(DATE(CalendarYear,7,25),1),"aaa")</f>
        <v>#REF!</v>
      </c>
      <c r="ED34" s="3" t="e">
        <f>TEXT(WEEKDAY(DATE(CalendarYear,7,26),1),"aaa")</f>
        <v>#REF!</v>
      </c>
      <c r="EE34" s="3" t="e">
        <f>TEXT(WEEKDAY(DATE(CalendarYear,7,27),1),"aaa")</f>
        <v>#REF!</v>
      </c>
      <c r="EF34" s="3" t="e">
        <f>TEXT(WEEKDAY(DATE(CalendarYear,7,28),1),"aaa")</f>
        <v>#REF!</v>
      </c>
      <c r="EG34" s="3" t="e">
        <f>TEXT(WEEKDAY(DATE(CalendarYear,7,29),1),"aaa")</f>
        <v>#REF!</v>
      </c>
      <c r="EH34" s="3" t="e">
        <f>TEXT(WEEKDAY(DATE(CalendarYear,7,30),1),"aaa")</f>
        <v>#REF!</v>
      </c>
      <c r="EI34" s="3" t="e">
        <f>TEXT(WEEKDAY(DATE(CalendarYear,7,31),1),"aaa")</f>
        <v>#REF!</v>
      </c>
      <c r="EJ34" s="2"/>
      <c r="EK34" s="2"/>
      <c r="EM34" s="1" t="e">
        <f>(#REF!)</f>
        <v>#REF!</v>
      </c>
      <c r="EN34" s="9" t="e">
        <f>(#REF!)</f>
        <v>#REF!</v>
      </c>
      <c r="EO34" s="9" t="e">
        <f>(#REF!)</f>
        <v>#REF!</v>
      </c>
      <c r="EP34" s="9" t="e">
        <f>(#REF!)</f>
        <v>#REF!</v>
      </c>
      <c r="EQ34" s="12"/>
      <c r="ER34" s="1"/>
      <c r="ES34" s="10" t="s">
        <v>36</v>
      </c>
      <c r="ET34" s="10">
        <v>7000</v>
      </c>
      <c r="EU34" s="1"/>
      <c r="EV34" s="1"/>
      <c r="EW34" s="1"/>
      <c r="EX34" s="1"/>
      <c r="EY34" s="1"/>
    </row>
    <row r="35" spans="1:155" ht="18" customHeight="1" x14ac:dyDescent="0.3">
      <c r="A35" s="32" t="str">
        <f>(SALES!$A:$A)</f>
        <v>Wednesday, 3 January 2024</v>
      </c>
      <c r="B35" s="1">
        <f>(SALES!$C:$C)</f>
        <v>16</v>
      </c>
      <c r="C35" s="1">
        <f>(SALES!$D:$D)</f>
        <v>3</v>
      </c>
      <c r="D35" s="1" t="str">
        <f>(SALES!$E:$E)</f>
        <v>AVOCADO</v>
      </c>
      <c r="E35" s="1">
        <f>(SALES!$F:$F)</f>
        <v>1000</v>
      </c>
      <c r="F35" s="1">
        <f>(SALES!$G:$G)</f>
        <v>3000</v>
      </c>
      <c r="H35" s="2">
        <f>(EXPENSES!$A:$A)</f>
        <v>45297</v>
      </c>
      <c r="I35" s="10">
        <f>(EXPENSES!$B:$B)</f>
        <v>8</v>
      </c>
      <c r="J35" s="10" t="str">
        <f>(EXPENSES!$C:$C)</f>
        <v xml:space="preserve">PAID ASHIRAF </v>
      </c>
      <c r="K35" s="10">
        <f>(EXPENSES!$D:$D)</f>
        <v>3000</v>
      </c>
      <c r="M35" s="2">
        <v>45474</v>
      </c>
      <c r="N35" s="2">
        <v>45475</v>
      </c>
      <c r="O35" s="2">
        <v>45476</v>
      </c>
      <c r="P35" s="2">
        <v>45477</v>
      </c>
      <c r="Q35" s="2">
        <v>45478</v>
      </c>
      <c r="R35" s="2">
        <v>45479</v>
      </c>
      <c r="S35" s="2">
        <v>45480</v>
      </c>
      <c r="T35" s="2">
        <v>45481</v>
      </c>
      <c r="U35" s="2">
        <v>45482</v>
      </c>
      <c r="V35" s="2">
        <v>45483</v>
      </c>
      <c r="W35" s="2">
        <v>45484</v>
      </c>
      <c r="X35" s="2">
        <v>45485</v>
      </c>
      <c r="Y35" s="2">
        <v>45486</v>
      </c>
      <c r="Z35" s="2">
        <v>45487</v>
      </c>
      <c r="AA35" s="2">
        <v>45488</v>
      </c>
      <c r="AB35" s="2">
        <v>45489</v>
      </c>
      <c r="AC35" s="2">
        <v>45490</v>
      </c>
      <c r="AD35" s="2">
        <v>45491</v>
      </c>
      <c r="AE35" s="2">
        <v>45492</v>
      </c>
      <c r="AF35" s="2">
        <v>45493</v>
      </c>
      <c r="AG35" s="2">
        <v>45494</v>
      </c>
      <c r="AH35" s="2">
        <v>45495</v>
      </c>
      <c r="AI35" s="2">
        <v>45496</v>
      </c>
      <c r="AJ35" s="2">
        <v>45497</v>
      </c>
      <c r="AK35" s="2">
        <v>45498</v>
      </c>
      <c r="AL35" s="2">
        <v>45499</v>
      </c>
      <c r="AM35" s="2">
        <v>45500</v>
      </c>
      <c r="AN35" s="2">
        <v>45501</v>
      </c>
      <c r="AO35" s="2">
        <v>45502</v>
      </c>
      <c r="AP35" s="2">
        <v>45503</v>
      </c>
      <c r="AQ35" s="2">
        <v>45504</v>
      </c>
      <c r="AS35" s="2">
        <v>45474</v>
      </c>
      <c r="AT35" s="2">
        <v>45475</v>
      </c>
      <c r="AU35" s="2">
        <v>45476</v>
      </c>
      <c r="AV35" s="2">
        <v>45477</v>
      </c>
      <c r="AW35" s="2">
        <v>45478</v>
      </c>
      <c r="AX35" s="2">
        <v>45479</v>
      </c>
      <c r="AY35" s="2">
        <v>45480</v>
      </c>
      <c r="AZ35" s="2">
        <v>45481</v>
      </c>
      <c r="BA35" s="2">
        <v>45482</v>
      </c>
      <c r="BB35" s="2">
        <v>45483</v>
      </c>
      <c r="BC35" s="2">
        <v>45484</v>
      </c>
      <c r="BD35" s="2">
        <v>45485</v>
      </c>
      <c r="BE35" s="2">
        <v>45486</v>
      </c>
      <c r="BF35" s="2">
        <v>45487</v>
      </c>
      <c r="BG35" s="2">
        <v>45488</v>
      </c>
      <c r="BH35" s="2">
        <v>45489</v>
      </c>
      <c r="BI35" s="2">
        <v>45490</v>
      </c>
      <c r="BJ35" s="2">
        <v>45491</v>
      </c>
      <c r="BK35" s="2">
        <v>45492</v>
      </c>
      <c r="BL35" s="2">
        <v>45493</v>
      </c>
      <c r="BM35" s="2">
        <v>45494</v>
      </c>
      <c r="BN35" s="2">
        <v>45495</v>
      </c>
      <c r="BO35" s="2">
        <v>45496</v>
      </c>
      <c r="BP35" s="2">
        <v>45497</v>
      </c>
      <c r="BQ35" s="2">
        <v>45498</v>
      </c>
      <c r="BR35" s="2">
        <v>45499</v>
      </c>
      <c r="BS35" s="2">
        <v>45500</v>
      </c>
      <c r="BT35" s="2">
        <v>45501</v>
      </c>
      <c r="BU35" s="2">
        <v>45502</v>
      </c>
      <c r="BV35" s="2">
        <v>45503</v>
      </c>
      <c r="BW35" s="2">
        <v>45504</v>
      </c>
      <c r="BY35" s="2">
        <v>45474</v>
      </c>
      <c r="BZ35" s="2">
        <v>45475</v>
      </c>
      <c r="CA35" s="2">
        <v>45476</v>
      </c>
      <c r="CB35" s="2">
        <v>45477</v>
      </c>
      <c r="CC35" s="2">
        <v>45478</v>
      </c>
      <c r="CD35" s="2">
        <v>45479</v>
      </c>
      <c r="CE35" s="2">
        <v>45480</v>
      </c>
      <c r="CF35" s="2">
        <v>45481</v>
      </c>
      <c r="CG35" s="2">
        <v>45482</v>
      </c>
      <c r="CH35" s="2">
        <v>45483</v>
      </c>
      <c r="CI35" s="2">
        <v>45484</v>
      </c>
      <c r="CJ35" s="2">
        <v>45485</v>
      </c>
      <c r="CK35" s="2">
        <v>45486</v>
      </c>
      <c r="CL35" s="2">
        <v>45487</v>
      </c>
      <c r="CM35" s="2">
        <v>45488</v>
      </c>
      <c r="CN35" s="2">
        <v>45489</v>
      </c>
      <c r="CO35" s="2">
        <v>45490</v>
      </c>
      <c r="CP35" s="2">
        <v>45491</v>
      </c>
      <c r="CQ35" s="2">
        <v>45492</v>
      </c>
      <c r="CR35" s="2">
        <v>45493</v>
      </c>
      <c r="CS35" s="2">
        <v>45494</v>
      </c>
      <c r="CT35" s="2">
        <v>45495</v>
      </c>
      <c r="CU35" s="2">
        <v>45496</v>
      </c>
      <c r="CV35" s="2">
        <v>45497</v>
      </c>
      <c r="CW35" s="2">
        <v>45498</v>
      </c>
      <c r="CX35" s="2">
        <v>45499</v>
      </c>
      <c r="CY35" s="2">
        <v>45500</v>
      </c>
      <c r="CZ35" s="2">
        <v>45501</v>
      </c>
      <c r="DA35" s="2">
        <v>45502</v>
      </c>
      <c r="DB35" s="2">
        <v>45503</v>
      </c>
      <c r="DC35" s="2">
        <v>45504</v>
      </c>
      <c r="DE35" s="2">
        <v>45474</v>
      </c>
      <c r="DF35" s="2">
        <v>45475</v>
      </c>
      <c r="DG35" s="2">
        <v>45476</v>
      </c>
      <c r="DH35" s="2">
        <v>45477</v>
      </c>
      <c r="DI35" s="2">
        <v>45478</v>
      </c>
      <c r="DJ35" s="2">
        <v>45479</v>
      </c>
      <c r="DK35" s="2">
        <v>45480</v>
      </c>
      <c r="DL35" s="2">
        <v>45481</v>
      </c>
      <c r="DM35" s="2">
        <v>45482</v>
      </c>
      <c r="DN35" s="2">
        <v>45483</v>
      </c>
      <c r="DO35" s="2">
        <v>45484</v>
      </c>
      <c r="DP35" s="2">
        <v>45485</v>
      </c>
      <c r="DQ35" s="2">
        <v>45486</v>
      </c>
      <c r="DR35" s="2">
        <v>45487</v>
      </c>
      <c r="DS35" s="2">
        <v>45488</v>
      </c>
      <c r="DT35" s="2">
        <v>45489</v>
      </c>
      <c r="DU35" s="2">
        <v>45490</v>
      </c>
      <c r="DV35" s="2">
        <v>45491</v>
      </c>
      <c r="DW35" s="2">
        <v>45492</v>
      </c>
      <c r="DX35" s="2">
        <v>45493</v>
      </c>
      <c r="DY35" s="2">
        <v>45494</v>
      </c>
      <c r="DZ35" s="2">
        <v>45495</v>
      </c>
      <c r="EA35" s="2">
        <v>45496</v>
      </c>
      <c r="EB35" s="2">
        <v>45497</v>
      </c>
      <c r="EC35" s="2">
        <v>45498</v>
      </c>
      <c r="ED35" s="2">
        <v>45499</v>
      </c>
      <c r="EE35" s="2">
        <v>45500</v>
      </c>
      <c r="EF35" s="2">
        <v>45501</v>
      </c>
      <c r="EG35" s="2">
        <v>45502</v>
      </c>
      <c r="EH35" s="2">
        <v>45503</v>
      </c>
      <c r="EI35" s="2">
        <v>45504</v>
      </c>
      <c r="EJ35" s="3"/>
      <c r="EK35" s="3"/>
      <c r="EM35" s="1" t="e">
        <f>(#REF!)</f>
        <v>#REF!</v>
      </c>
      <c r="EN35" s="9" t="e">
        <f>(#REF!)</f>
        <v>#REF!</v>
      </c>
      <c r="EO35" s="9" t="e">
        <f>(#REF!)</f>
        <v>#REF!</v>
      </c>
      <c r="EP35" s="9" t="e">
        <f>(#REF!)</f>
        <v>#REF!</v>
      </c>
      <c r="EQ35" s="12"/>
      <c r="ER35" s="1"/>
      <c r="ES35" s="12" t="s">
        <v>36</v>
      </c>
      <c r="ET35" s="12">
        <v>7500</v>
      </c>
      <c r="EU35" s="1"/>
      <c r="EV35" s="1"/>
      <c r="EW35" s="1"/>
      <c r="EX35" s="1"/>
      <c r="EY35" s="1"/>
    </row>
    <row r="36" spans="1:155" ht="18" customHeight="1" x14ac:dyDescent="0.3">
      <c r="A36" s="32" t="str">
        <f>(SALES!$A:$A)</f>
        <v>Wednesday, 3 January 2024</v>
      </c>
      <c r="B36" s="1">
        <f>(SALES!$C:$C)</f>
        <v>17</v>
      </c>
      <c r="C36" s="1">
        <f>(SALES!$D:$D)</f>
        <v>1</v>
      </c>
      <c r="D36" s="1" t="str">
        <f>(SALES!$E:$E)</f>
        <v>MILK</v>
      </c>
      <c r="E36" s="1">
        <f>(SALES!$F:$F)</f>
        <v>2000</v>
      </c>
      <c r="F36" s="1">
        <f>(SALES!$G:$G)</f>
        <v>2000</v>
      </c>
      <c r="H36" s="2">
        <f>(EXPENSES!$A:$A)</f>
        <v>45297</v>
      </c>
      <c r="I36" s="10">
        <f>(EXPENSES!$B:$B)</f>
        <v>10</v>
      </c>
      <c r="J36" s="10" t="str">
        <f>(EXPENSES!$C:$C)</f>
        <v xml:space="preserve">PAID ASHIRAF </v>
      </c>
      <c r="K36" s="10">
        <f>(EXPENSES!$D:$D)</f>
        <v>3000</v>
      </c>
      <c r="M36" s="3">
        <f t="shared" ref="M36:AQ36" si="24">SUMIF($A:$A, "01/01/2024",$F:$F )</f>
        <v>0</v>
      </c>
      <c r="N36" s="3">
        <f t="shared" si="24"/>
        <v>0</v>
      </c>
      <c r="O36" s="3">
        <f t="shared" si="24"/>
        <v>0</v>
      </c>
      <c r="P36" s="3">
        <f t="shared" si="24"/>
        <v>0</v>
      </c>
      <c r="Q36" s="3">
        <f t="shared" si="24"/>
        <v>0</v>
      </c>
      <c r="R36" s="3">
        <f t="shared" si="24"/>
        <v>0</v>
      </c>
      <c r="S36" s="3">
        <f t="shared" si="24"/>
        <v>0</v>
      </c>
      <c r="T36" s="3">
        <f t="shared" si="24"/>
        <v>0</v>
      </c>
      <c r="U36" s="3">
        <f t="shared" si="24"/>
        <v>0</v>
      </c>
      <c r="V36" s="3">
        <f t="shared" si="24"/>
        <v>0</v>
      </c>
      <c r="W36" s="3">
        <f t="shared" si="24"/>
        <v>0</v>
      </c>
      <c r="X36" s="3">
        <f t="shared" si="24"/>
        <v>0</v>
      </c>
      <c r="Y36" s="3">
        <f t="shared" si="24"/>
        <v>0</v>
      </c>
      <c r="Z36" s="3">
        <f t="shared" si="24"/>
        <v>0</v>
      </c>
      <c r="AA36" s="3">
        <f t="shared" si="24"/>
        <v>0</v>
      </c>
      <c r="AB36" s="3">
        <f t="shared" si="24"/>
        <v>0</v>
      </c>
      <c r="AC36" s="3">
        <f t="shared" si="24"/>
        <v>0</v>
      </c>
      <c r="AD36" s="3">
        <f t="shared" si="24"/>
        <v>0</v>
      </c>
      <c r="AE36" s="3">
        <f t="shared" si="24"/>
        <v>0</v>
      </c>
      <c r="AF36" s="3">
        <f t="shared" si="24"/>
        <v>0</v>
      </c>
      <c r="AG36" s="3">
        <f t="shared" si="24"/>
        <v>0</v>
      </c>
      <c r="AH36" s="3">
        <f t="shared" si="24"/>
        <v>0</v>
      </c>
      <c r="AI36" s="3">
        <f t="shared" si="24"/>
        <v>0</v>
      </c>
      <c r="AJ36" s="3">
        <f t="shared" si="24"/>
        <v>0</v>
      </c>
      <c r="AK36" s="3">
        <f t="shared" si="24"/>
        <v>0</v>
      </c>
      <c r="AL36" s="3">
        <f t="shared" si="24"/>
        <v>0</v>
      </c>
      <c r="AM36" s="3">
        <f t="shared" si="24"/>
        <v>0</v>
      </c>
      <c r="AN36" s="3">
        <f t="shared" si="24"/>
        <v>0</v>
      </c>
      <c r="AO36" s="3">
        <f t="shared" si="24"/>
        <v>0</v>
      </c>
      <c r="AP36" s="3">
        <f t="shared" si="24"/>
        <v>0</v>
      </c>
      <c r="AQ36" s="3">
        <f t="shared" si="24"/>
        <v>0</v>
      </c>
      <c r="AS36" s="3">
        <f t="shared" ref="AS36:BW36" si="25">SUMIF($A:$A, "01/01/2024",$F:$F )</f>
        <v>0</v>
      </c>
      <c r="AT36" s="3">
        <f t="shared" si="25"/>
        <v>0</v>
      </c>
      <c r="AU36" s="3">
        <f t="shared" si="25"/>
        <v>0</v>
      </c>
      <c r="AV36" s="3">
        <f t="shared" si="25"/>
        <v>0</v>
      </c>
      <c r="AW36" s="3">
        <f t="shared" si="25"/>
        <v>0</v>
      </c>
      <c r="AX36" s="3">
        <f t="shared" si="25"/>
        <v>0</v>
      </c>
      <c r="AY36" s="3">
        <f t="shared" si="25"/>
        <v>0</v>
      </c>
      <c r="AZ36" s="3">
        <f t="shared" si="25"/>
        <v>0</v>
      </c>
      <c r="BA36" s="3">
        <f t="shared" si="25"/>
        <v>0</v>
      </c>
      <c r="BB36" s="3">
        <f t="shared" si="25"/>
        <v>0</v>
      </c>
      <c r="BC36" s="3">
        <f t="shared" si="25"/>
        <v>0</v>
      </c>
      <c r="BD36" s="3">
        <f t="shared" si="25"/>
        <v>0</v>
      </c>
      <c r="BE36" s="3">
        <f t="shared" si="25"/>
        <v>0</v>
      </c>
      <c r="BF36" s="3">
        <f t="shared" si="25"/>
        <v>0</v>
      </c>
      <c r="BG36" s="3">
        <f t="shared" si="25"/>
        <v>0</v>
      </c>
      <c r="BH36" s="3">
        <f t="shared" si="25"/>
        <v>0</v>
      </c>
      <c r="BI36" s="3">
        <f t="shared" si="25"/>
        <v>0</v>
      </c>
      <c r="BJ36" s="3">
        <f t="shared" si="25"/>
        <v>0</v>
      </c>
      <c r="BK36" s="3">
        <f t="shared" si="25"/>
        <v>0</v>
      </c>
      <c r="BL36" s="3">
        <f t="shared" si="25"/>
        <v>0</v>
      </c>
      <c r="BM36" s="3">
        <f t="shared" si="25"/>
        <v>0</v>
      </c>
      <c r="BN36" s="3">
        <f t="shared" si="25"/>
        <v>0</v>
      </c>
      <c r="BO36" s="3">
        <f t="shared" si="25"/>
        <v>0</v>
      </c>
      <c r="BP36" s="3">
        <f t="shared" si="25"/>
        <v>0</v>
      </c>
      <c r="BQ36" s="3">
        <f t="shared" si="25"/>
        <v>0</v>
      </c>
      <c r="BR36" s="3">
        <f t="shared" si="25"/>
        <v>0</v>
      </c>
      <c r="BS36" s="3">
        <f t="shared" si="25"/>
        <v>0</v>
      </c>
      <c r="BT36" s="3">
        <f t="shared" si="25"/>
        <v>0</v>
      </c>
      <c r="BU36" s="3">
        <f t="shared" si="25"/>
        <v>0</v>
      </c>
      <c r="BV36" s="3">
        <f t="shared" si="25"/>
        <v>0</v>
      </c>
      <c r="BW36" s="3">
        <f t="shared" si="25"/>
        <v>0</v>
      </c>
      <c r="BY36" s="3">
        <f>(M36-AS36)</f>
        <v>0</v>
      </c>
      <c r="BZ36" s="3">
        <f t="shared" ref="BZ36:DC36" si="26">SUMIF($A:$A, "01/01/2024",$F:$F )</f>
        <v>0</v>
      </c>
      <c r="CA36" s="3">
        <f t="shared" si="26"/>
        <v>0</v>
      </c>
      <c r="CB36" s="3">
        <f t="shared" si="26"/>
        <v>0</v>
      </c>
      <c r="CC36" s="3">
        <f t="shared" si="26"/>
        <v>0</v>
      </c>
      <c r="CD36" s="3">
        <f t="shared" si="26"/>
        <v>0</v>
      </c>
      <c r="CE36" s="3">
        <f t="shared" si="26"/>
        <v>0</v>
      </c>
      <c r="CF36" s="3">
        <f t="shared" si="26"/>
        <v>0</v>
      </c>
      <c r="CG36" s="3">
        <f t="shared" si="26"/>
        <v>0</v>
      </c>
      <c r="CH36" s="3">
        <f t="shared" si="26"/>
        <v>0</v>
      </c>
      <c r="CI36" s="3">
        <f t="shared" si="26"/>
        <v>0</v>
      </c>
      <c r="CJ36" s="3">
        <f t="shared" si="26"/>
        <v>0</v>
      </c>
      <c r="CK36" s="3">
        <f t="shared" si="26"/>
        <v>0</v>
      </c>
      <c r="CL36" s="3">
        <f t="shared" si="26"/>
        <v>0</v>
      </c>
      <c r="CM36" s="3">
        <f t="shared" si="26"/>
        <v>0</v>
      </c>
      <c r="CN36" s="3">
        <f t="shared" si="26"/>
        <v>0</v>
      </c>
      <c r="CO36" s="3">
        <f t="shared" si="26"/>
        <v>0</v>
      </c>
      <c r="CP36" s="3">
        <f t="shared" si="26"/>
        <v>0</v>
      </c>
      <c r="CQ36" s="3">
        <f t="shared" si="26"/>
        <v>0</v>
      </c>
      <c r="CR36" s="3">
        <f t="shared" si="26"/>
        <v>0</v>
      </c>
      <c r="CS36" s="3">
        <f t="shared" si="26"/>
        <v>0</v>
      </c>
      <c r="CT36" s="3">
        <f t="shared" si="26"/>
        <v>0</v>
      </c>
      <c r="CU36" s="3">
        <f t="shared" si="26"/>
        <v>0</v>
      </c>
      <c r="CV36" s="3">
        <f t="shared" si="26"/>
        <v>0</v>
      </c>
      <c r="CW36" s="3">
        <f t="shared" si="26"/>
        <v>0</v>
      </c>
      <c r="CX36" s="3">
        <f t="shared" si="26"/>
        <v>0</v>
      </c>
      <c r="CY36" s="3">
        <f t="shared" si="26"/>
        <v>0</v>
      </c>
      <c r="CZ36" s="3">
        <f t="shared" si="26"/>
        <v>0</v>
      </c>
      <c r="DA36" s="3">
        <f t="shared" si="26"/>
        <v>0</v>
      </c>
      <c r="DB36" s="3">
        <f t="shared" si="26"/>
        <v>0</v>
      </c>
      <c r="DC36" s="3">
        <f t="shared" si="26"/>
        <v>0</v>
      </c>
      <c r="DE36" s="3">
        <f t="shared" ref="DE36:EI36" si="27">SUMIF($A:$A, "01/01/2024",$F:$F )</f>
        <v>0</v>
      </c>
      <c r="DF36" s="3">
        <f t="shared" si="27"/>
        <v>0</v>
      </c>
      <c r="DG36" s="3">
        <f t="shared" si="27"/>
        <v>0</v>
      </c>
      <c r="DH36" s="3">
        <f t="shared" si="27"/>
        <v>0</v>
      </c>
      <c r="DI36" s="3">
        <f t="shared" si="27"/>
        <v>0</v>
      </c>
      <c r="DJ36" s="3">
        <f t="shared" si="27"/>
        <v>0</v>
      </c>
      <c r="DK36" s="3">
        <f t="shared" si="27"/>
        <v>0</v>
      </c>
      <c r="DL36" s="3">
        <f t="shared" si="27"/>
        <v>0</v>
      </c>
      <c r="DM36" s="3">
        <f t="shared" si="27"/>
        <v>0</v>
      </c>
      <c r="DN36" s="3">
        <f t="shared" si="27"/>
        <v>0</v>
      </c>
      <c r="DO36" s="3">
        <f t="shared" si="27"/>
        <v>0</v>
      </c>
      <c r="DP36" s="3">
        <f t="shared" si="27"/>
        <v>0</v>
      </c>
      <c r="DQ36" s="3">
        <f t="shared" si="27"/>
        <v>0</v>
      </c>
      <c r="DR36" s="3">
        <f t="shared" si="27"/>
        <v>0</v>
      </c>
      <c r="DS36" s="3">
        <f t="shared" si="27"/>
        <v>0</v>
      </c>
      <c r="DT36" s="3">
        <f t="shared" si="27"/>
        <v>0</v>
      </c>
      <c r="DU36" s="3">
        <f t="shared" si="27"/>
        <v>0</v>
      </c>
      <c r="DV36" s="3">
        <f t="shared" si="27"/>
        <v>0</v>
      </c>
      <c r="DW36" s="3">
        <f t="shared" si="27"/>
        <v>0</v>
      </c>
      <c r="DX36" s="3">
        <f t="shared" si="27"/>
        <v>0</v>
      </c>
      <c r="DY36" s="3">
        <f t="shared" si="27"/>
        <v>0</v>
      </c>
      <c r="DZ36" s="3">
        <f t="shared" si="27"/>
        <v>0</v>
      </c>
      <c r="EA36" s="3">
        <f t="shared" si="27"/>
        <v>0</v>
      </c>
      <c r="EB36" s="3">
        <f t="shared" si="27"/>
        <v>0</v>
      </c>
      <c r="EC36" s="3">
        <f t="shared" si="27"/>
        <v>0</v>
      </c>
      <c r="ED36" s="3">
        <f t="shared" si="27"/>
        <v>0</v>
      </c>
      <c r="EE36" s="3">
        <f t="shared" si="27"/>
        <v>0</v>
      </c>
      <c r="EF36" s="3">
        <f t="shared" si="27"/>
        <v>0</v>
      </c>
      <c r="EG36" s="3">
        <f t="shared" si="27"/>
        <v>0</v>
      </c>
      <c r="EH36" s="3">
        <f t="shared" si="27"/>
        <v>0</v>
      </c>
      <c r="EI36" s="3">
        <f t="shared" si="27"/>
        <v>0</v>
      </c>
      <c r="EM36" s="1" t="e">
        <f>(#REF!)</f>
        <v>#REF!</v>
      </c>
      <c r="EN36" s="9" t="e">
        <f>(#REF!)</f>
        <v>#REF!</v>
      </c>
      <c r="EO36" s="9" t="e">
        <f>(#REF!)</f>
        <v>#REF!</v>
      </c>
      <c r="EP36" s="9" t="e">
        <f>(#REF!)</f>
        <v>#REF!</v>
      </c>
      <c r="EQ36" s="12"/>
      <c r="ER36" s="1"/>
      <c r="ES36" s="12" t="s">
        <v>38</v>
      </c>
      <c r="ET36" s="10">
        <f>IF($D:$D="MATOOKE KGS", 1500, IF($D:$D="SAUSAGES", 30000, IF($D:$D="TOMATOES", 3000, IF($D:$D="CHICKEN", 30000, IF($D:$D="LOCAL EGGS", 25000, IF($D:$D="IRISH", 3000, IF($D:$D="MILK", 2000, IF($D:$D="ONIONS", 6000, IF($D:$D="YELLOW YOLK EGGS", 20000, IF($D:$D="AVOCADO", 1000, IF($D:$D="BEEF", 16000, IF($D:$D="PLAIN YOGHURT", 4000, ""))))))))))))</f>
        <v>2000</v>
      </c>
      <c r="EU36" s="1"/>
      <c r="EV36" s="1"/>
      <c r="EW36" s="1"/>
      <c r="EX36" s="1"/>
      <c r="EY36" s="1"/>
    </row>
    <row r="37" spans="1:155" ht="18" customHeight="1" x14ac:dyDescent="0.3">
      <c r="A37" s="32" t="str">
        <f>(SALES!$A:$A)</f>
        <v>Wednesday, 3 January 2024</v>
      </c>
      <c r="B37" s="1">
        <f>(SALES!$C:$C)</f>
        <v>18</v>
      </c>
      <c r="C37" s="1">
        <f>(SALES!$D:$D)</f>
        <v>2</v>
      </c>
      <c r="D37" s="1" t="str">
        <f>(SALES!$E:$E)</f>
        <v>MILK</v>
      </c>
      <c r="E37" s="1">
        <f>(SALES!$F:$F)</f>
        <v>2000</v>
      </c>
      <c r="F37" s="1">
        <f>(SALES!$G:$G)</f>
        <v>4000</v>
      </c>
      <c r="H37" s="2">
        <f>(EXPENSES!$A:$A)</f>
        <v>45297</v>
      </c>
      <c r="I37" s="10">
        <f>(EXPENSES!$B:$B)</f>
        <v>6</v>
      </c>
      <c r="J37" s="10" t="str">
        <f>(EXPENSES!$C:$C)</f>
        <v>BOUGHT ENVELOPES</v>
      </c>
      <c r="K37" s="10">
        <f>(EXPENSES!$D:$D)</f>
        <v>6000</v>
      </c>
      <c r="Q37" s="3"/>
      <c r="R37" s="3"/>
      <c r="S37" s="3"/>
      <c r="T37" s="3"/>
      <c r="U37" s="3"/>
      <c r="V37" s="3"/>
      <c r="W37" s="3"/>
      <c r="X37" s="3"/>
      <c r="Y37" s="3"/>
      <c r="Z37" s="3"/>
      <c r="AA37" s="3"/>
      <c r="AB37" s="3"/>
      <c r="AC37" s="3"/>
      <c r="AD37" s="3"/>
      <c r="AE37" s="3"/>
      <c r="AF37" s="3"/>
      <c r="AG37" s="3"/>
      <c r="AW37" s="3"/>
      <c r="AX37" s="3"/>
      <c r="AY37" s="3"/>
      <c r="AZ37" s="3"/>
      <c r="BA37" s="3"/>
      <c r="BB37" s="3"/>
      <c r="BC37" s="3"/>
      <c r="BD37" s="3"/>
      <c r="BE37" s="3"/>
      <c r="BF37" s="3"/>
      <c r="BG37" s="3"/>
      <c r="BH37" s="3"/>
      <c r="BI37" s="3"/>
      <c r="BJ37" s="3"/>
      <c r="BK37" s="3"/>
      <c r="BL37" s="3"/>
      <c r="BM37" s="3"/>
      <c r="CC37" s="3"/>
      <c r="CD37" s="3"/>
      <c r="CE37" s="3"/>
      <c r="CF37" s="3"/>
      <c r="CG37" s="3"/>
      <c r="CH37" s="3"/>
      <c r="CI37" s="3"/>
      <c r="CJ37" s="3"/>
      <c r="CK37" s="3"/>
      <c r="CL37" s="3"/>
      <c r="CM37" s="3"/>
      <c r="CN37" s="3"/>
      <c r="CO37" s="3"/>
      <c r="CP37" s="3"/>
      <c r="CQ37" s="3"/>
      <c r="CR37" s="3"/>
      <c r="CS37" s="3"/>
      <c r="DI37" s="3"/>
      <c r="DJ37" s="3"/>
      <c r="DK37" s="3"/>
      <c r="DL37" s="3"/>
      <c r="DM37" s="3"/>
      <c r="DN37" s="3"/>
      <c r="DO37" s="3"/>
      <c r="DP37" s="3"/>
      <c r="DQ37" s="3"/>
      <c r="DR37" s="3"/>
      <c r="DS37" s="3"/>
      <c r="DT37" s="3"/>
      <c r="DU37" s="3"/>
      <c r="DV37" s="3"/>
      <c r="DW37" s="3"/>
      <c r="DX37" s="3"/>
      <c r="DY37" s="3"/>
      <c r="EJ37" s="12"/>
      <c r="EK37" s="12"/>
      <c r="EM37" s="1" t="e">
        <f>(#REF!)</f>
        <v>#REF!</v>
      </c>
      <c r="EN37" s="9" t="e">
        <f>(#REF!)</f>
        <v>#REF!</v>
      </c>
      <c r="EO37" s="9" t="e">
        <f>(#REF!)</f>
        <v>#REF!</v>
      </c>
      <c r="EP37" s="9" t="e">
        <f>(#REF!)</f>
        <v>#REF!</v>
      </c>
      <c r="EQ37" s="12"/>
      <c r="ER37" s="1"/>
      <c r="ES37" s="12" t="s">
        <v>38</v>
      </c>
      <c r="ET37" s="10">
        <f>IF($D:$D="MATOOKE KGS", 1500, IF($D:$D="SAUSAGES", 30000,  IF($D:$D="TOMATOES", 3000,  IF($D:$D="CHICKEN", 30000, IF($D:$D="LOCAL EGGS", 25000,  IF($D:$D="IRISH", 3000, IF($D:$D="MILK", 2000, IF($D:$D="ONIONS", 6000, IF($D:$D="YELLOW YOLK EGGS", 20000, IF($D:$D="AVOCADO", 1000, IF($D:$D="BEEF", 16000, IF($D:$D="PLAIN YOGHURT", 4000, IF($D:$D="GOAT", 19000, "")))))))))))))</f>
        <v>2000</v>
      </c>
      <c r="EU37" s="1"/>
      <c r="EV37" s="1"/>
      <c r="EW37" s="1"/>
      <c r="EX37" s="1"/>
      <c r="EY37" s="1"/>
    </row>
    <row r="38" spans="1:155" ht="18" customHeight="1" x14ac:dyDescent="0.3">
      <c r="A38" s="32" t="str">
        <f>(SALES!$A:$A)</f>
        <v>Wednesday, 3 January 2024</v>
      </c>
      <c r="B38" s="1">
        <f>(SALES!$C:$C)</f>
        <v>19</v>
      </c>
      <c r="C38" s="1">
        <f>(SALES!$D:$D)</f>
        <v>0.5</v>
      </c>
      <c r="D38" s="1" t="str">
        <f>(SALES!$E:$E)</f>
        <v>YELLOW YOLK EGGS</v>
      </c>
      <c r="E38" s="1">
        <f>(SALES!$F:$F)</f>
        <v>20000</v>
      </c>
      <c r="F38" s="1">
        <f>(SALES!$G:$G)</f>
        <v>10000</v>
      </c>
      <c r="H38" s="2">
        <f>(EXPENSES!$A:$A)</f>
        <v>45297</v>
      </c>
      <c r="I38" s="10">
        <f>(EXPENSES!$B:$B)</f>
        <v>5</v>
      </c>
      <c r="J38" s="10" t="str">
        <f>(EXPENSES!$C:$C)</f>
        <v>BOUGHT BREAD CRUMBS</v>
      </c>
      <c r="K38" s="10">
        <f>(EXPENSES!$D:$D)</f>
        <v>14100</v>
      </c>
      <c r="M38" s="47" t="s">
        <v>39</v>
      </c>
      <c r="N38" s="48"/>
      <c r="O38" s="48"/>
      <c r="P38" s="48"/>
      <c r="Q38" s="48"/>
      <c r="R38" s="48"/>
      <c r="S38" s="48"/>
      <c r="T38" s="48"/>
      <c r="U38" s="48"/>
      <c r="V38" s="48"/>
      <c r="W38" s="48"/>
      <c r="X38" s="48"/>
      <c r="Y38" s="48"/>
      <c r="Z38" s="48"/>
      <c r="AA38" s="48"/>
      <c r="AB38" s="48"/>
      <c r="AC38" s="48"/>
      <c r="AD38" s="48"/>
      <c r="AE38" s="48"/>
      <c r="AF38" s="48"/>
      <c r="AG38" s="48"/>
      <c r="AH38" s="48"/>
      <c r="AI38" s="48"/>
      <c r="AJ38" s="48"/>
      <c r="AK38" s="48"/>
      <c r="AL38" s="48"/>
      <c r="AM38" s="48"/>
      <c r="AN38" s="48"/>
      <c r="AO38" s="48"/>
      <c r="AP38" s="48"/>
      <c r="AQ38" s="49"/>
      <c r="AS38" s="47" t="s">
        <v>39</v>
      </c>
      <c r="AT38" s="48"/>
      <c r="AU38" s="48"/>
      <c r="AV38" s="48"/>
      <c r="AW38" s="48"/>
      <c r="AX38" s="48"/>
      <c r="AY38" s="48"/>
      <c r="AZ38" s="48"/>
      <c r="BA38" s="48"/>
      <c r="BB38" s="48"/>
      <c r="BC38" s="48"/>
      <c r="BD38" s="48"/>
      <c r="BE38" s="48"/>
      <c r="BF38" s="48"/>
      <c r="BG38" s="48"/>
      <c r="BH38" s="48"/>
      <c r="BI38" s="48"/>
      <c r="BJ38" s="48"/>
      <c r="BK38" s="48"/>
      <c r="BL38" s="48"/>
      <c r="BM38" s="48"/>
      <c r="BN38" s="48"/>
      <c r="BO38" s="48"/>
      <c r="BP38" s="48"/>
      <c r="BQ38" s="48"/>
      <c r="BR38" s="48"/>
      <c r="BS38" s="48"/>
      <c r="BT38" s="48"/>
      <c r="BU38" s="48"/>
      <c r="BV38" s="48"/>
      <c r="BW38" s="49"/>
      <c r="BY38" s="47" t="s">
        <v>39</v>
      </c>
      <c r="BZ38" s="48"/>
      <c r="CA38" s="48"/>
      <c r="CB38" s="48"/>
      <c r="CC38" s="48"/>
      <c r="CD38" s="48"/>
      <c r="CE38" s="48"/>
      <c r="CF38" s="48"/>
      <c r="CG38" s="48"/>
      <c r="CH38" s="48"/>
      <c r="CI38" s="48"/>
      <c r="CJ38" s="48"/>
      <c r="CK38" s="48"/>
      <c r="CL38" s="48"/>
      <c r="CM38" s="48"/>
      <c r="CN38" s="48"/>
      <c r="CO38" s="48"/>
      <c r="CP38" s="48"/>
      <c r="CQ38" s="48"/>
      <c r="CR38" s="48"/>
      <c r="CS38" s="48"/>
      <c r="CT38" s="48"/>
      <c r="CU38" s="48"/>
      <c r="CV38" s="48"/>
      <c r="CW38" s="48"/>
      <c r="CX38" s="48"/>
      <c r="CY38" s="48"/>
      <c r="CZ38" s="48"/>
      <c r="DA38" s="48"/>
      <c r="DB38" s="48"/>
      <c r="DC38" s="49"/>
      <c r="DE38" s="47" t="s">
        <v>39</v>
      </c>
      <c r="DF38" s="48"/>
      <c r="DG38" s="48"/>
      <c r="DH38" s="48"/>
      <c r="DI38" s="48"/>
      <c r="DJ38" s="48"/>
      <c r="DK38" s="48"/>
      <c r="DL38" s="48"/>
      <c r="DM38" s="48"/>
      <c r="DN38" s="48"/>
      <c r="DO38" s="48"/>
      <c r="DP38" s="48"/>
      <c r="DQ38" s="48"/>
      <c r="DR38" s="48"/>
      <c r="DS38" s="48"/>
      <c r="DT38" s="48"/>
      <c r="DU38" s="48"/>
      <c r="DV38" s="48"/>
      <c r="DW38" s="48"/>
      <c r="DX38" s="48"/>
      <c r="DY38" s="48"/>
      <c r="DZ38" s="48"/>
      <c r="EA38" s="48"/>
      <c r="EB38" s="48"/>
      <c r="EC38" s="48"/>
      <c r="ED38" s="48"/>
      <c r="EE38" s="48"/>
      <c r="EF38" s="48"/>
      <c r="EG38" s="48"/>
      <c r="EH38" s="48"/>
      <c r="EI38" s="49"/>
      <c r="EJ38" s="3"/>
      <c r="EK38" s="3"/>
      <c r="EM38" s="1" t="e">
        <f>(#REF!)</f>
        <v>#REF!</v>
      </c>
      <c r="EN38" s="9" t="e">
        <f>(#REF!)</f>
        <v>#REF!</v>
      </c>
      <c r="EO38" s="9" t="e">
        <f>(#REF!)</f>
        <v>#REF!</v>
      </c>
      <c r="EP38" s="9" t="e">
        <f>(#REF!)</f>
        <v>#REF!</v>
      </c>
      <c r="EQ38" s="12"/>
      <c r="ER38" s="1"/>
      <c r="ES38" s="12" t="s">
        <v>40</v>
      </c>
      <c r="ET38" s="12">
        <v>3000</v>
      </c>
      <c r="EU38" s="1"/>
      <c r="EV38" s="1"/>
      <c r="EW38" s="1"/>
      <c r="EX38" s="1"/>
      <c r="EY38" s="1"/>
    </row>
    <row r="39" spans="1:155" ht="18" customHeight="1" x14ac:dyDescent="0.3">
      <c r="A39" s="32" t="str">
        <f>(SALES!$A:$A)</f>
        <v>Wednesday, 3 January 2024</v>
      </c>
      <c r="B39" s="1">
        <f>(SALES!$C:$C)</f>
        <v>20</v>
      </c>
      <c r="C39" s="1">
        <f>(SALES!$D:$D)</f>
        <v>1.5</v>
      </c>
      <c r="D39" s="1" t="str">
        <f>(SALES!$E:$E)</f>
        <v>MILK</v>
      </c>
      <c r="E39" s="1">
        <f>(SALES!$F:$F)</f>
        <v>2000</v>
      </c>
      <c r="F39" s="1">
        <f>(SALES!$G:$G)</f>
        <v>3000</v>
      </c>
      <c r="H39" s="2">
        <f>(EXPENSES!$A:$A)</f>
        <v>45297</v>
      </c>
      <c r="I39" s="10">
        <f>(EXPENSES!$B:$B)</f>
        <v>7</v>
      </c>
      <c r="J39" s="10" t="str">
        <f>(EXPENSES!$C:$C)</f>
        <v>PAID FRANK</v>
      </c>
      <c r="K39" s="10">
        <f>(EXPENSES!$D:$D)</f>
        <v>16000</v>
      </c>
      <c r="M39" s="3" t="e">
        <f>TEXT(WEEKDAY(DATE(CalendarYear,8,1),1),"aaa")</f>
        <v>#REF!</v>
      </c>
      <c r="N39" s="3" t="e">
        <f>TEXT(WEEKDAY(DATE(CalendarYear,8,2),1),"aaa")</f>
        <v>#REF!</v>
      </c>
      <c r="O39" s="3" t="e">
        <f>TEXT(WEEKDAY(DATE(CalendarYear,8,3),1),"aaa")</f>
        <v>#REF!</v>
      </c>
      <c r="P39" s="3" t="e">
        <f>TEXT(WEEKDAY(DATE(CalendarYear,8,4),1),"aaa")</f>
        <v>#REF!</v>
      </c>
      <c r="Q39" s="3" t="e">
        <f>TEXT(WEEKDAY(DATE(CalendarYear,8,5),1),"aaa")</f>
        <v>#REF!</v>
      </c>
      <c r="R39" s="3" t="e">
        <f>TEXT(WEEKDAY(DATE(CalendarYear,8,6),1),"aaa")</f>
        <v>#REF!</v>
      </c>
      <c r="S39" s="3" t="e">
        <f>TEXT(WEEKDAY(DATE(CalendarYear,8,7),1),"aaa")</f>
        <v>#REF!</v>
      </c>
      <c r="T39" s="3" t="e">
        <f>TEXT(WEEKDAY(DATE(CalendarYear,8,8),1),"aaa")</f>
        <v>#REF!</v>
      </c>
      <c r="U39" s="3" t="e">
        <f>TEXT(WEEKDAY(DATE(CalendarYear,8,9),1),"aaa")</f>
        <v>#REF!</v>
      </c>
      <c r="V39" s="3" t="e">
        <f>TEXT(WEEKDAY(DATE(CalendarYear,8,10),1),"aaa")</f>
        <v>#REF!</v>
      </c>
      <c r="W39" s="3" t="e">
        <f>TEXT(WEEKDAY(DATE(CalendarYear,8,11),1),"aaa")</f>
        <v>#REF!</v>
      </c>
      <c r="X39" s="3" t="e">
        <f>TEXT(WEEKDAY(DATE(CalendarYear,8,12),1),"aaa")</f>
        <v>#REF!</v>
      </c>
      <c r="Y39" s="3" t="e">
        <f>TEXT(WEEKDAY(DATE(CalendarYear,8,13),1),"aaa")</f>
        <v>#REF!</v>
      </c>
      <c r="Z39" s="3" t="e">
        <f>TEXT(WEEKDAY(DATE(CalendarYear,8,14),1),"aaa")</f>
        <v>#REF!</v>
      </c>
      <c r="AA39" s="3" t="e">
        <f>TEXT(WEEKDAY(DATE(CalendarYear,8,15),1),"aaa")</f>
        <v>#REF!</v>
      </c>
      <c r="AB39" s="3" t="e">
        <f>TEXT(WEEKDAY(DATE(CalendarYear,8,16),1),"aaa")</f>
        <v>#REF!</v>
      </c>
      <c r="AC39" s="3" t="e">
        <f>TEXT(WEEKDAY(DATE(CalendarYear,8,17),1),"aaa")</f>
        <v>#REF!</v>
      </c>
      <c r="AD39" s="3" t="e">
        <f>TEXT(WEEKDAY(DATE(CalendarYear,8,18),1),"aaa")</f>
        <v>#REF!</v>
      </c>
      <c r="AE39" s="3" t="e">
        <f>TEXT(WEEKDAY(DATE(CalendarYear,8,19),1),"aaa")</f>
        <v>#REF!</v>
      </c>
      <c r="AF39" s="3" t="e">
        <f>TEXT(WEEKDAY(DATE(CalendarYear,8,20),1),"aaa")</f>
        <v>#REF!</v>
      </c>
      <c r="AG39" s="3" t="e">
        <f>TEXT(WEEKDAY(DATE(CalendarYear,8,21),1),"aaa")</f>
        <v>#REF!</v>
      </c>
      <c r="AH39" s="3" t="e">
        <f>TEXT(WEEKDAY(DATE(CalendarYear,8,22),1),"aaa")</f>
        <v>#REF!</v>
      </c>
      <c r="AI39" s="3" t="e">
        <f>TEXT(WEEKDAY(DATE(CalendarYear,8,23),1),"aaa")</f>
        <v>#REF!</v>
      </c>
      <c r="AJ39" s="3" t="e">
        <f>TEXT(WEEKDAY(DATE(CalendarYear,8,24),1),"aaa")</f>
        <v>#REF!</v>
      </c>
      <c r="AK39" s="3" t="e">
        <f>TEXT(WEEKDAY(DATE(CalendarYear,8,25),1),"aaa")</f>
        <v>#REF!</v>
      </c>
      <c r="AL39" s="3" t="e">
        <f>TEXT(WEEKDAY(DATE(CalendarYear,8,26),1),"aaa")</f>
        <v>#REF!</v>
      </c>
      <c r="AM39" s="3" t="e">
        <f>TEXT(WEEKDAY(DATE(CalendarYear,8,27),1),"aaa")</f>
        <v>#REF!</v>
      </c>
      <c r="AN39" s="3" t="e">
        <f>TEXT(WEEKDAY(DATE(CalendarYear,8,28),1),"aaa")</f>
        <v>#REF!</v>
      </c>
      <c r="AO39" s="3" t="e">
        <f>TEXT(WEEKDAY(DATE(CalendarYear,8,29),1),"aaa")</f>
        <v>#REF!</v>
      </c>
      <c r="AP39" s="3" t="e">
        <f>TEXT(WEEKDAY(DATE(CalendarYear,8,30),1),"aaa")</f>
        <v>#REF!</v>
      </c>
      <c r="AQ39" s="3" t="e">
        <f>TEXT(WEEKDAY(DATE(CalendarYear,8,31),1),"aaa")</f>
        <v>#REF!</v>
      </c>
      <c r="AS39" s="3" t="e">
        <f>TEXT(WEEKDAY(DATE(CalendarYear,8,1),1),"aaa")</f>
        <v>#REF!</v>
      </c>
      <c r="AT39" s="3" t="e">
        <f>TEXT(WEEKDAY(DATE(CalendarYear,8,2),1),"aaa")</f>
        <v>#REF!</v>
      </c>
      <c r="AU39" s="3" t="e">
        <f>TEXT(WEEKDAY(DATE(CalendarYear,8,3),1),"aaa")</f>
        <v>#REF!</v>
      </c>
      <c r="AV39" s="3" t="e">
        <f>TEXT(WEEKDAY(DATE(CalendarYear,8,4),1),"aaa")</f>
        <v>#REF!</v>
      </c>
      <c r="AW39" s="3" t="e">
        <f>TEXT(WEEKDAY(DATE(CalendarYear,8,5),1),"aaa")</f>
        <v>#REF!</v>
      </c>
      <c r="AX39" s="3" t="e">
        <f>TEXT(WEEKDAY(DATE(CalendarYear,8,6),1),"aaa")</f>
        <v>#REF!</v>
      </c>
      <c r="AY39" s="3" t="e">
        <f>TEXT(WEEKDAY(DATE(CalendarYear,8,7),1),"aaa")</f>
        <v>#REF!</v>
      </c>
      <c r="AZ39" s="3" t="e">
        <f>TEXT(WEEKDAY(DATE(CalendarYear,8,8),1),"aaa")</f>
        <v>#REF!</v>
      </c>
      <c r="BA39" s="3" t="e">
        <f>TEXT(WEEKDAY(DATE(CalendarYear,8,9),1),"aaa")</f>
        <v>#REF!</v>
      </c>
      <c r="BB39" s="3" t="e">
        <f>TEXT(WEEKDAY(DATE(CalendarYear,8,10),1),"aaa")</f>
        <v>#REF!</v>
      </c>
      <c r="BC39" s="3" t="e">
        <f>TEXT(WEEKDAY(DATE(CalendarYear,8,11),1),"aaa")</f>
        <v>#REF!</v>
      </c>
      <c r="BD39" s="3" t="e">
        <f>TEXT(WEEKDAY(DATE(CalendarYear,8,12),1),"aaa")</f>
        <v>#REF!</v>
      </c>
      <c r="BE39" s="3" t="e">
        <f>TEXT(WEEKDAY(DATE(CalendarYear,8,13),1),"aaa")</f>
        <v>#REF!</v>
      </c>
      <c r="BF39" s="3" t="e">
        <f>TEXT(WEEKDAY(DATE(CalendarYear,8,14),1),"aaa")</f>
        <v>#REF!</v>
      </c>
      <c r="BG39" s="3" t="e">
        <f>TEXT(WEEKDAY(DATE(CalendarYear,8,15),1),"aaa")</f>
        <v>#REF!</v>
      </c>
      <c r="BH39" s="3" t="e">
        <f>TEXT(WEEKDAY(DATE(CalendarYear,8,16),1),"aaa")</f>
        <v>#REF!</v>
      </c>
      <c r="BI39" s="3" t="e">
        <f>TEXT(WEEKDAY(DATE(CalendarYear,8,17),1),"aaa")</f>
        <v>#REF!</v>
      </c>
      <c r="BJ39" s="3" t="e">
        <f>TEXT(WEEKDAY(DATE(CalendarYear,8,18),1),"aaa")</f>
        <v>#REF!</v>
      </c>
      <c r="BK39" s="3" t="e">
        <f>TEXT(WEEKDAY(DATE(CalendarYear,8,19),1),"aaa")</f>
        <v>#REF!</v>
      </c>
      <c r="BL39" s="3" t="e">
        <f>TEXT(WEEKDAY(DATE(CalendarYear,8,20),1),"aaa")</f>
        <v>#REF!</v>
      </c>
      <c r="BM39" s="3" t="e">
        <f>TEXT(WEEKDAY(DATE(CalendarYear,8,21),1),"aaa")</f>
        <v>#REF!</v>
      </c>
      <c r="BN39" s="3" t="e">
        <f>TEXT(WEEKDAY(DATE(CalendarYear,8,22),1),"aaa")</f>
        <v>#REF!</v>
      </c>
      <c r="BO39" s="3" t="e">
        <f>TEXT(WEEKDAY(DATE(CalendarYear,8,23),1),"aaa")</f>
        <v>#REF!</v>
      </c>
      <c r="BP39" s="3" t="e">
        <f>TEXT(WEEKDAY(DATE(CalendarYear,8,24),1),"aaa")</f>
        <v>#REF!</v>
      </c>
      <c r="BQ39" s="3" t="e">
        <f>TEXT(WEEKDAY(DATE(CalendarYear,8,25),1),"aaa")</f>
        <v>#REF!</v>
      </c>
      <c r="BR39" s="3" t="e">
        <f>TEXT(WEEKDAY(DATE(CalendarYear,8,26),1),"aaa")</f>
        <v>#REF!</v>
      </c>
      <c r="BS39" s="3" t="e">
        <f>TEXT(WEEKDAY(DATE(CalendarYear,8,27),1),"aaa")</f>
        <v>#REF!</v>
      </c>
      <c r="BT39" s="3" t="e">
        <f>TEXT(WEEKDAY(DATE(CalendarYear,8,28),1),"aaa")</f>
        <v>#REF!</v>
      </c>
      <c r="BU39" s="3" t="e">
        <f>TEXT(WEEKDAY(DATE(CalendarYear,8,29),1),"aaa")</f>
        <v>#REF!</v>
      </c>
      <c r="BV39" s="3" t="e">
        <f>TEXT(WEEKDAY(DATE(CalendarYear,8,30),1),"aaa")</f>
        <v>#REF!</v>
      </c>
      <c r="BW39" s="3" t="e">
        <f>TEXT(WEEKDAY(DATE(CalendarYear,8,31),1),"aaa")</f>
        <v>#REF!</v>
      </c>
      <c r="BY39" s="3" t="e">
        <f>TEXT(WEEKDAY(DATE(CalendarYear,8,1),1),"aaa")</f>
        <v>#REF!</v>
      </c>
      <c r="BZ39" s="3" t="e">
        <f>TEXT(WEEKDAY(DATE(CalendarYear,8,2),1),"aaa")</f>
        <v>#REF!</v>
      </c>
      <c r="CA39" s="3" t="e">
        <f>TEXT(WEEKDAY(DATE(CalendarYear,8,3),1),"aaa")</f>
        <v>#REF!</v>
      </c>
      <c r="CB39" s="3" t="e">
        <f>TEXT(WEEKDAY(DATE(CalendarYear,8,4),1),"aaa")</f>
        <v>#REF!</v>
      </c>
      <c r="CC39" s="3" t="e">
        <f>TEXT(WEEKDAY(DATE(CalendarYear,8,5),1),"aaa")</f>
        <v>#REF!</v>
      </c>
      <c r="CD39" s="3" t="e">
        <f>TEXT(WEEKDAY(DATE(CalendarYear,8,6),1),"aaa")</f>
        <v>#REF!</v>
      </c>
      <c r="CE39" s="3" t="e">
        <f>TEXT(WEEKDAY(DATE(CalendarYear,8,7),1),"aaa")</f>
        <v>#REF!</v>
      </c>
      <c r="CF39" s="3" t="e">
        <f>TEXT(WEEKDAY(DATE(CalendarYear,8,8),1),"aaa")</f>
        <v>#REF!</v>
      </c>
      <c r="CG39" s="3" t="e">
        <f>TEXT(WEEKDAY(DATE(CalendarYear,8,9),1),"aaa")</f>
        <v>#REF!</v>
      </c>
      <c r="CH39" s="3" t="e">
        <f>TEXT(WEEKDAY(DATE(CalendarYear,8,10),1),"aaa")</f>
        <v>#REF!</v>
      </c>
      <c r="CI39" s="3" t="e">
        <f>TEXT(WEEKDAY(DATE(CalendarYear,8,11),1),"aaa")</f>
        <v>#REF!</v>
      </c>
      <c r="CJ39" s="3" t="e">
        <f>TEXT(WEEKDAY(DATE(CalendarYear,8,12),1),"aaa")</f>
        <v>#REF!</v>
      </c>
      <c r="CK39" s="3" t="e">
        <f>TEXT(WEEKDAY(DATE(CalendarYear,8,13),1),"aaa")</f>
        <v>#REF!</v>
      </c>
      <c r="CL39" s="3" t="e">
        <f>TEXT(WEEKDAY(DATE(CalendarYear,8,14),1),"aaa")</f>
        <v>#REF!</v>
      </c>
      <c r="CM39" s="3" t="e">
        <f>TEXT(WEEKDAY(DATE(CalendarYear,8,15),1),"aaa")</f>
        <v>#REF!</v>
      </c>
      <c r="CN39" s="3" t="e">
        <f>TEXT(WEEKDAY(DATE(CalendarYear,8,16),1),"aaa")</f>
        <v>#REF!</v>
      </c>
      <c r="CO39" s="3" t="e">
        <f>TEXT(WEEKDAY(DATE(CalendarYear,8,17),1),"aaa")</f>
        <v>#REF!</v>
      </c>
      <c r="CP39" s="3" t="e">
        <f>TEXT(WEEKDAY(DATE(CalendarYear,8,18),1),"aaa")</f>
        <v>#REF!</v>
      </c>
      <c r="CQ39" s="3" t="e">
        <f>TEXT(WEEKDAY(DATE(CalendarYear,8,19),1),"aaa")</f>
        <v>#REF!</v>
      </c>
      <c r="CR39" s="3" t="e">
        <f>TEXT(WEEKDAY(DATE(CalendarYear,8,20),1),"aaa")</f>
        <v>#REF!</v>
      </c>
      <c r="CS39" s="3" t="e">
        <f>TEXT(WEEKDAY(DATE(CalendarYear,8,21),1),"aaa")</f>
        <v>#REF!</v>
      </c>
      <c r="CT39" s="3" t="e">
        <f>TEXT(WEEKDAY(DATE(CalendarYear,8,22),1),"aaa")</f>
        <v>#REF!</v>
      </c>
      <c r="CU39" s="3" t="e">
        <f>TEXT(WEEKDAY(DATE(CalendarYear,8,23),1),"aaa")</f>
        <v>#REF!</v>
      </c>
      <c r="CV39" s="3" t="e">
        <f>TEXT(WEEKDAY(DATE(CalendarYear,8,24),1),"aaa")</f>
        <v>#REF!</v>
      </c>
      <c r="CW39" s="3" t="e">
        <f>TEXT(WEEKDAY(DATE(CalendarYear,8,25),1),"aaa")</f>
        <v>#REF!</v>
      </c>
      <c r="CX39" s="3" t="e">
        <f>TEXT(WEEKDAY(DATE(CalendarYear,8,26),1),"aaa")</f>
        <v>#REF!</v>
      </c>
      <c r="CY39" s="3" t="e">
        <f>TEXT(WEEKDAY(DATE(CalendarYear,8,27),1),"aaa")</f>
        <v>#REF!</v>
      </c>
      <c r="CZ39" s="3" t="e">
        <f>TEXT(WEEKDAY(DATE(CalendarYear,8,28),1),"aaa")</f>
        <v>#REF!</v>
      </c>
      <c r="DA39" s="3" t="e">
        <f>TEXT(WEEKDAY(DATE(CalendarYear,8,29),1),"aaa")</f>
        <v>#REF!</v>
      </c>
      <c r="DB39" s="3" t="e">
        <f>TEXT(WEEKDAY(DATE(CalendarYear,8,30),1),"aaa")</f>
        <v>#REF!</v>
      </c>
      <c r="DC39" s="3" t="e">
        <f>TEXT(WEEKDAY(DATE(CalendarYear,8,31),1),"aaa")</f>
        <v>#REF!</v>
      </c>
      <c r="DE39" s="3" t="e">
        <f>TEXT(WEEKDAY(DATE(CalendarYear,8,1),1),"aaa")</f>
        <v>#REF!</v>
      </c>
      <c r="DF39" s="3" t="e">
        <f>TEXT(WEEKDAY(DATE(CalendarYear,8,2),1),"aaa")</f>
        <v>#REF!</v>
      </c>
      <c r="DG39" s="3" t="e">
        <f>TEXT(WEEKDAY(DATE(CalendarYear,8,3),1),"aaa")</f>
        <v>#REF!</v>
      </c>
      <c r="DH39" s="3" t="e">
        <f>TEXT(WEEKDAY(DATE(CalendarYear,8,4),1),"aaa")</f>
        <v>#REF!</v>
      </c>
      <c r="DI39" s="3" t="e">
        <f>TEXT(WEEKDAY(DATE(CalendarYear,8,5),1),"aaa")</f>
        <v>#REF!</v>
      </c>
      <c r="DJ39" s="3" t="e">
        <f>TEXT(WEEKDAY(DATE(CalendarYear,8,6),1),"aaa")</f>
        <v>#REF!</v>
      </c>
      <c r="DK39" s="3" t="e">
        <f>TEXT(WEEKDAY(DATE(CalendarYear,8,7),1),"aaa")</f>
        <v>#REF!</v>
      </c>
      <c r="DL39" s="3" t="e">
        <f>TEXT(WEEKDAY(DATE(CalendarYear,8,8),1),"aaa")</f>
        <v>#REF!</v>
      </c>
      <c r="DM39" s="3" t="e">
        <f>TEXT(WEEKDAY(DATE(CalendarYear,8,9),1),"aaa")</f>
        <v>#REF!</v>
      </c>
      <c r="DN39" s="3" t="e">
        <f>TEXT(WEEKDAY(DATE(CalendarYear,8,10),1),"aaa")</f>
        <v>#REF!</v>
      </c>
      <c r="DO39" s="3" t="e">
        <f>TEXT(WEEKDAY(DATE(CalendarYear,8,11),1),"aaa")</f>
        <v>#REF!</v>
      </c>
      <c r="DP39" s="3" t="e">
        <f>TEXT(WEEKDAY(DATE(CalendarYear,8,12),1),"aaa")</f>
        <v>#REF!</v>
      </c>
      <c r="DQ39" s="3" t="e">
        <f>TEXT(WEEKDAY(DATE(CalendarYear,8,13),1),"aaa")</f>
        <v>#REF!</v>
      </c>
      <c r="DR39" s="3" t="e">
        <f>TEXT(WEEKDAY(DATE(CalendarYear,8,14),1),"aaa")</f>
        <v>#REF!</v>
      </c>
      <c r="DS39" s="3" t="e">
        <f>TEXT(WEEKDAY(DATE(CalendarYear,8,15),1),"aaa")</f>
        <v>#REF!</v>
      </c>
      <c r="DT39" s="3" t="e">
        <f>TEXT(WEEKDAY(DATE(CalendarYear,8,16),1),"aaa")</f>
        <v>#REF!</v>
      </c>
      <c r="DU39" s="3" t="e">
        <f>TEXT(WEEKDAY(DATE(CalendarYear,8,17),1),"aaa")</f>
        <v>#REF!</v>
      </c>
      <c r="DV39" s="3" t="e">
        <f>TEXT(WEEKDAY(DATE(CalendarYear,8,18),1),"aaa")</f>
        <v>#REF!</v>
      </c>
      <c r="DW39" s="3" t="e">
        <f>TEXT(WEEKDAY(DATE(CalendarYear,8,19),1),"aaa")</f>
        <v>#REF!</v>
      </c>
      <c r="DX39" s="3" t="e">
        <f>TEXT(WEEKDAY(DATE(CalendarYear,8,20),1),"aaa")</f>
        <v>#REF!</v>
      </c>
      <c r="DY39" s="3" t="e">
        <f>TEXT(WEEKDAY(DATE(CalendarYear,8,21),1),"aaa")</f>
        <v>#REF!</v>
      </c>
      <c r="DZ39" s="3" t="e">
        <f>TEXT(WEEKDAY(DATE(CalendarYear,8,22),1),"aaa")</f>
        <v>#REF!</v>
      </c>
      <c r="EA39" s="3" t="e">
        <f>TEXT(WEEKDAY(DATE(CalendarYear,8,23),1),"aaa")</f>
        <v>#REF!</v>
      </c>
      <c r="EB39" s="3" t="e">
        <f>TEXT(WEEKDAY(DATE(CalendarYear,8,24),1),"aaa")</f>
        <v>#REF!</v>
      </c>
      <c r="EC39" s="3" t="e">
        <f>TEXT(WEEKDAY(DATE(CalendarYear,8,25),1),"aaa")</f>
        <v>#REF!</v>
      </c>
      <c r="ED39" s="3" t="e">
        <f>TEXT(WEEKDAY(DATE(CalendarYear,8,26),1),"aaa")</f>
        <v>#REF!</v>
      </c>
      <c r="EE39" s="3" t="e">
        <f>TEXT(WEEKDAY(DATE(CalendarYear,8,27),1),"aaa")</f>
        <v>#REF!</v>
      </c>
      <c r="EF39" s="3" t="e">
        <f>TEXT(WEEKDAY(DATE(CalendarYear,8,28),1),"aaa")</f>
        <v>#REF!</v>
      </c>
      <c r="EG39" s="3" t="e">
        <f>TEXT(WEEKDAY(DATE(CalendarYear,8,29),1),"aaa")</f>
        <v>#REF!</v>
      </c>
      <c r="EH39" s="3" t="e">
        <f>TEXT(WEEKDAY(DATE(CalendarYear,8,30),1),"aaa")</f>
        <v>#REF!</v>
      </c>
      <c r="EI39" s="3" t="e">
        <f>TEXT(WEEKDAY(DATE(CalendarYear,8,31),1),"aaa")</f>
        <v>#REF!</v>
      </c>
      <c r="EJ39" s="2"/>
      <c r="EK39" s="2"/>
      <c r="EM39" s="1" t="e">
        <f>(#REF!)</f>
        <v>#REF!</v>
      </c>
      <c r="EN39" s="9" t="e">
        <f>(#REF!)</f>
        <v>#REF!</v>
      </c>
      <c r="EO39" s="9" t="e">
        <f>(#REF!)</f>
        <v>#REF!</v>
      </c>
      <c r="EP39" s="9" t="e">
        <f>(#REF!)</f>
        <v>#REF!</v>
      </c>
      <c r="EQ39" s="12"/>
      <c r="ER39" s="1"/>
      <c r="ES39" s="12" t="s">
        <v>41</v>
      </c>
      <c r="ET39" s="12">
        <v>6000</v>
      </c>
      <c r="EU39" s="1"/>
      <c r="EV39" s="1"/>
      <c r="EW39" s="1"/>
      <c r="EX39" s="1"/>
      <c r="EY39" s="1"/>
    </row>
    <row r="40" spans="1:155" ht="18" customHeight="1" x14ac:dyDescent="0.3">
      <c r="A40" s="32" t="str">
        <f>(SALES!$A:$A)</f>
        <v>Wednesday, 3 January 2024</v>
      </c>
      <c r="B40" s="1">
        <f>(SALES!$C:$C)</f>
        <v>21</v>
      </c>
      <c r="C40" s="1">
        <f>(SALES!$D:$D)</f>
        <v>1</v>
      </c>
      <c r="D40" s="1" t="str">
        <f>(SALES!$E:$E)</f>
        <v>DOG BONES</v>
      </c>
      <c r="E40" s="1">
        <f>(SALES!$F:$F)</f>
        <v>4000</v>
      </c>
      <c r="F40" s="1">
        <f>(SALES!$G:$G)</f>
        <v>4000</v>
      </c>
      <c r="H40" s="2">
        <f>(EXPENSES!$A:$A)</f>
        <v>45297</v>
      </c>
      <c r="I40" s="10">
        <f>(EXPENSES!$B:$B)</f>
        <v>9</v>
      </c>
      <c r="J40" s="10" t="str">
        <f>(EXPENSES!$C:$C)</f>
        <v>PAID REUBEN</v>
      </c>
      <c r="K40" s="10">
        <f>(EXPENSES!$D:$D)</f>
        <v>30000</v>
      </c>
      <c r="M40" s="2">
        <v>45505</v>
      </c>
      <c r="N40" s="2">
        <v>45506</v>
      </c>
      <c r="O40" s="2">
        <v>45507</v>
      </c>
      <c r="P40" s="2">
        <v>45508</v>
      </c>
      <c r="Q40" s="2">
        <v>45509</v>
      </c>
      <c r="R40" s="2">
        <v>45510</v>
      </c>
      <c r="S40" s="2">
        <v>45511</v>
      </c>
      <c r="T40" s="2">
        <v>45512</v>
      </c>
      <c r="U40" s="2">
        <v>45513</v>
      </c>
      <c r="V40" s="2">
        <v>45514</v>
      </c>
      <c r="W40" s="2">
        <v>45515</v>
      </c>
      <c r="X40" s="2">
        <v>45516</v>
      </c>
      <c r="Y40" s="2">
        <v>45517</v>
      </c>
      <c r="Z40" s="2">
        <v>45518</v>
      </c>
      <c r="AA40" s="2">
        <v>45519</v>
      </c>
      <c r="AB40" s="2">
        <v>45520</v>
      </c>
      <c r="AC40" s="2">
        <v>45521</v>
      </c>
      <c r="AD40" s="2">
        <v>45522</v>
      </c>
      <c r="AE40" s="2">
        <v>45523</v>
      </c>
      <c r="AF40" s="2">
        <v>45524</v>
      </c>
      <c r="AG40" s="2">
        <v>45525</v>
      </c>
      <c r="AH40" s="2">
        <v>45526</v>
      </c>
      <c r="AI40" s="2">
        <v>45527</v>
      </c>
      <c r="AJ40" s="2">
        <v>45528</v>
      </c>
      <c r="AK40" s="2">
        <v>45529</v>
      </c>
      <c r="AL40" s="2">
        <v>45530</v>
      </c>
      <c r="AM40" s="2">
        <v>45531</v>
      </c>
      <c r="AN40" s="2">
        <v>45532</v>
      </c>
      <c r="AO40" s="2">
        <v>45533</v>
      </c>
      <c r="AP40" s="2">
        <v>45534</v>
      </c>
      <c r="AQ40" s="2">
        <v>45535</v>
      </c>
      <c r="AS40" s="2">
        <v>45505</v>
      </c>
      <c r="AT40" s="2">
        <v>45506</v>
      </c>
      <c r="AU40" s="2">
        <v>45507</v>
      </c>
      <c r="AV40" s="2">
        <v>45508</v>
      </c>
      <c r="AW40" s="2">
        <v>45509</v>
      </c>
      <c r="AX40" s="2">
        <v>45510</v>
      </c>
      <c r="AY40" s="2">
        <v>45511</v>
      </c>
      <c r="AZ40" s="2">
        <v>45512</v>
      </c>
      <c r="BA40" s="2">
        <v>45513</v>
      </c>
      <c r="BB40" s="2">
        <v>45514</v>
      </c>
      <c r="BC40" s="2">
        <v>45515</v>
      </c>
      <c r="BD40" s="2">
        <v>45516</v>
      </c>
      <c r="BE40" s="2">
        <v>45517</v>
      </c>
      <c r="BF40" s="2">
        <v>45518</v>
      </c>
      <c r="BG40" s="2">
        <v>45519</v>
      </c>
      <c r="BH40" s="2">
        <v>45520</v>
      </c>
      <c r="BI40" s="2">
        <v>45521</v>
      </c>
      <c r="BJ40" s="2">
        <v>45522</v>
      </c>
      <c r="BK40" s="2">
        <v>45523</v>
      </c>
      <c r="BL40" s="2">
        <v>45524</v>
      </c>
      <c r="BM40" s="2">
        <v>45525</v>
      </c>
      <c r="BN40" s="2">
        <v>45526</v>
      </c>
      <c r="BO40" s="2">
        <v>45527</v>
      </c>
      <c r="BP40" s="2">
        <v>45528</v>
      </c>
      <c r="BQ40" s="2">
        <v>45529</v>
      </c>
      <c r="BR40" s="2">
        <v>45530</v>
      </c>
      <c r="BS40" s="2">
        <v>45531</v>
      </c>
      <c r="BT40" s="2">
        <v>45532</v>
      </c>
      <c r="BU40" s="2">
        <v>45533</v>
      </c>
      <c r="BV40" s="2">
        <v>45534</v>
      </c>
      <c r="BW40" s="2">
        <v>45535</v>
      </c>
      <c r="BY40" s="2">
        <v>45505</v>
      </c>
      <c r="BZ40" s="2">
        <v>45506</v>
      </c>
      <c r="CA40" s="2">
        <v>45507</v>
      </c>
      <c r="CB40" s="2">
        <v>45508</v>
      </c>
      <c r="CC40" s="2">
        <v>45509</v>
      </c>
      <c r="CD40" s="2">
        <v>45510</v>
      </c>
      <c r="CE40" s="2">
        <v>45511</v>
      </c>
      <c r="CF40" s="2">
        <v>45512</v>
      </c>
      <c r="CG40" s="2">
        <v>45513</v>
      </c>
      <c r="CH40" s="2">
        <v>45514</v>
      </c>
      <c r="CI40" s="2">
        <v>45515</v>
      </c>
      <c r="CJ40" s="2">
        <v>45516</v>
      </c>
      <c r="CK40" s="2">
        <v>45517</v>
      </c>
      <c r="CL40" s="2">
        <v>45518</v>
      </c>
      <c r="CM40" s="2">
        <v>45519</v>
      </c>
      <c r="CN40" s="2">
        <v>45520</v>
      </c>
      <c r="CO40" s="2">
        <v>45521</v>
      </c>
      <c r="CP40" s="2">
        <v>45522</v>
      </c>
      <c r="CQ40" s="2">
        <v>45523</v>
      </c>
      <c r="CR40" s="2">
        <v>45524</v>
      </c>
      <c r="CS40" s="2">
        <v>45525</v>
      </c>
      <c r="CT40" s="2">
        <v>45526</v>
      </c>
      <c r="CU40" s="2">
        <v>45527</v>
      </c>
      <c r="CV40" s="2">
        <v>45528</v>
      </c>
      <c r="CW40" s="2">
        <v>45529</v>
      </c>
      <c r="CX40" s="2">
        <v>45530</v>
      </c>
      <c r="CY40" s="2">
        <v>45531</v>
      </c>
      <c r="CZ40" s="2">
        <v>45532</v>
      </c>
      <c r="DA40" s="2">
        <v>45533</v>
      </c>
      <c r="DB40" s="2">
        <v>45534</v>
      </c>
      <c r="DC40" s="2">
        <v>45535</v>
      </c>
      <c r="DE40" s="2">
        <v>45505</v>
      </c>
      <c r="DF40" s="2">
        <v>45506</v>
      </c>
      <c r="DG40" s="2">
        <v>45507</v>
      </c>
      <c r="DH40" s="2">
        <v>45508</v>
      </c>
      <c r="DI40" s="2">
        <v>45509</v>
      </c>
      <c r="DJ40" s="2">
        <v>45510</v>
      </c>
      <c r="DK40" s="2">
        <v>45511</v>
      </c>
      <c r="DL40" s="2">
        <v>45512</v>
      </c>
      <c r="DM40" s="2">
        <v>45513</v>
      </c>
      <c r="DN40" s="2">
        <v>45514</v>
      </c>
      <c r="DO40" s="2">
        <v>45515</v>
      </c>
      <c r="DP40" s="2">
        <v>45516</v>
      </c>
      <c r="DQ40" s="2">
        <v>45517</v>
      </c>
      <c r="DR40" s="2">
        <v>45518</v>
      </c>
      <c r="DS40" s="2">
        <v>45519</v>
      </c>
      <c r="DT40" s="2">
        <v>45520</v>
      </c>
      <c r="DU40" s="2">
        <v>45521</v>
      </c>
      <c r="DV40" s="2">
        <v>45522</v>
      </c>
      <c r="DW40" s="2">
        <v>45523</v>
      </c>
      <c r="DX40" s="2">
        <v>45524</v>
      </c>
      <c r="DY40" s="2">
        <v>45525</v>
      </c>
      <c r="DZ40" s="2">
        <v>45526</v>
      </c>
      <c r="EA40" s="2">
        <v>45527</v>
      </c>
      <c r="EB40" s="2">
        <v>45528</v>
      </c>
      <c r="EC40" s="2">
        <v>45529</v>
      </c>
      <c r="ED40" s="2">
        <v>45530</v>
      </c>
      <c r="EE40" s="2">
        <v>45531</v>
      </c>
      <c r="EF40" s="2">
        <v>45532</v>
      </c>
      <c r="EG40" s="2">
        <v>45533</v>
      </c>
      <c r="EH40" s="2">
        <v>45534</v>
      </c>
      <c r="EI40" s="2">
        <v>45535</v>
      </c>
      <c r="EJ40" s="3"/>
      <c r="EK40" s="3"/>
      <c r="EM40" s="1" t="e">
        <f>(#REF!)</f>
        <v>#REF!</v>
      </c>
      <c r="EN40" s="9" t="e">
        <f>(#REF!)</f>
        <v>#REF!</v>
      </c>
      <c r="EO40" s="9" t="e">
        <f>(#REF!)</f>
        <v>#REF!</v>
      </c>
      <c r="EP40" s="9" t="e">
        <f>(#REF!)</f>
        <v>#REF!</v>
      </c>
      <c r="EQ40" s="12"/>
      <c r="ER40" s="1"/>
      <c r="ES40" s="10" t="s">
        <v>42</v>
      </c>
      <c r="ET40" s="10">
        <v>122000</v>
      </c>
      <c r="EU40" s="1"/>
      <c r="EV40" s="1"/>
      <c r="EW40" s="1"/>
      <c r="EX40" s="1"/>
      <c r="EY40" s="1"/>
    </row>
    <row r="41" spans="1:155" ht="18" customHeight="1" x14ac:dyDescent="0.3">
      <c r="A41" s="32" t="str">
        <f>(SALES!$A:$A)</f>
        <v>Wednesday, 3 January 2024</v>
      </c>
      <c r="B41" s="1">
        <f>(SALES!$C:$C)</f>
        <v>22</v>
      </c>
      <c r="C41" s="1">
        <f>(SALES!$D:$D)</f>
        <v>2</v>
      </c>
      <c r="D41" s="1" t="str">
        <f>(SALES!$E:$E)</f>
        <v>DOG BONES</v>
      </c>
      <c r="E41" s="1">
        <f>(SALES!$F:$F)</f>
        <v>4000</v>
      </c>
      <c r="F41" s="1">
        <f>(SALES!$G:$G)</f>
        <v>8000</v>
      </c>
      <c r="H41" s="2">
        <f>(EXPENSES!$A:$A)</f>
        <v>45297</v>
      </c>
      <c r="I41" s="10">
        <f>(EXPENSES!$B:$B)</f>
        <v>1</v>
      </c>
      <c r="J41" s="10" t="str">
        <f>(EXPENSES!$C:$C)</f>
        <v xml:space="preserve">BOUGHT MILK </v>
      </c>
      <c r="K41" s="10">
        <f>(EXPENSES!$D:$D)</f>
        <v>32500</v>
      </c>
      <c r="M41" s="3">
        <f t="shared" ref="M41:AQ41" si="28">SUMIF($A:$A, "01/01/2024",$F:$F )</f>
        <v>0</v>
      </c>
      <c r="N41" s="3">
        <f t="shared" si="28"/>
        <v>0</v>
      </c>
      <c r="O41" s="3">
        <f t="shared" si="28"/>
        <v>0</v>
      </c>
      <c r="P41" s="3">
        <f t="shared" si="28"/>
        <v>0</v>
      </c>
      <c r="Q41" s="3">
        <f t="shared" si="28"/>
        <v>0</v>
      </c>
      <c r="R41" s="3">
        <f t="shared" si="28"/>
        <v>0</v>
      </c>
      <c r="S41" s="3">
        <f t="shared" si="28"/>
        <v>0</v>
      </c>
      <c r="T41" s="3">
        <f t="shared" si="28"/>
        <v>0</v>
      </c>
      <c r="U41" s="3">
        <f t="shared" si="28"/>
        <v>0</v>
      </c>
      <c r="V41" s="3">
        <f t="shared" si="28"/>
        <v>0</v>
      </c>
      <c r="W41" s="3">
        <f t="shared" si="28"/>
        <v>0</v>
      </c>
      <c r="X41" s="3">
        <f t="shared" si="28"/>
        <v>0</v>
      </c>
      <c r="Y41" s="3">
        <f t="shared" si="28"/>
        <v>0</v>
      </c>
      <c r="Z41" s="3">
        <f t="shared" si="28"/>
        <v>0</v>
      </c>
      <c r="AA41" s="3">
        <f t="shared" si="28"/>
        <v>0</v>
      </c>
      <c r="AB41" s="3">
        <f t="shared" si="28"/>
        <v>0</v>
      </c>
      <c r="AC41" s="3">
        <f t="shared" si="28"/>
        <v>0</v>
      </c>
      <c r="AD41" s="3">
        <f t="shared" si="28"/>
        <v>0</v>
      </c>
      <c r="AE41" s="3">
        <f t="shared" si="28"/>
        <v>0</v>
      </c>
      <c r="AF41" s="3">
        <f t="shared" si="28"/>
        <v>0</v>
      </c>
      <c r="AG41" s="3">
        <f t="shared" si="28"/>
        <v>0</v>
      </c>
      <c r="AH41" s="3">
        <f t="shared" si="28"/>
        <v>0</v>
      </c>
      <c r="AI41" s="3">
        <f t="shared" si="28"/>
        <v>0</v>
      </c>
      <c r="AJ41" s="3">
        <f t="shared" si="28"/>
        <v>0</v>
      </c>
      <c r="AK41" s="3">
        <f t="shared" si="28"/>
        <v>0</v>
      </c>
      <c r="AL41" s="3">
        <f t="shared" si="28"/>
        <v>0</v>
      </c>
      <c r="AM41" s="3">
        <f t="shared" si="28"/>
        <v>0</v>
      </c>
      <c r="AN41" s="3">
        <f t="shared" si="28"/>
        <v>0</v>
      </c>
      <c r="AO41" s="3">
        <f t="shared" si="28"/>
        <v>0</v>
      </c>
      <c r="AP41" s="3">
        <f t="shared" si="28"/>
        <v>0</v>
      </c>
      <c r="AQ41" s="3">
        <f t="shared" si="28"/>
        <v>0</v>
      </c>
      <c r="AS41" s="3">
        <f t="shared" ref="AS41:BW41" si="29">SUMIF($A:$A, "01/01/2024",$F:$F )</f>
        <v>0</v>
      </c>
      <c r="AT41" s="3">
        <f t="shared" si="29"/>
        <v>0</v>
      </c>
      <c r="AU41" s="3">
        <f t="shared" si="29"/>
        <v>0</v>
      </c>
      <c r="AV41" s="3">
        <f t="shared" si="29"/>
        <v>0</v>
      </c>
      <c r="AW41" s="3">
        <f t="shared" si="29"/>
        <v>0</v>
      </c>
      <c r="AX41" s="3">
        <f t="shared" si="29"/>
        <v>0</v>
      </c>
      <c r="AY41" s="3">
        <f t="shared" si="29"/>
        <v>0</v>
      </c>
      <c r="AZ41" s="3">
        <f t="shared" si="29"/>
        <v>0</v>
      </c>
      <c r="BA41" s="3">
        <f t="shared" si="29"/>
        <v>0</v>
      </c>
      <c r="BB41" s="3">
        <f t="shared" si="29"/>
        <v>0</v>
      </c>
      <c r="BC41" s="3">
        <f t="shared" si="29"/>
        <v>0</v>
      </c>
      <c r="BD41" s="3">
        <f t="shared" si="29"/>
        <v>0</v>
      </c>
      <c r="BE41" s="3">
        <f t="shared" si="29"/>
        <v>0</v>
      </c>
      <c r="BF41" s="3">
        <f t="shared" si="29"/>
        <v>0</v>
      </c>
      <c r="BG41" s="3">
        <f t="shared" si="29"/>
        <v>0</v>
      </c>
      <c r="BH41" s="3">
        <f t="shared" si="29"/>
        <v>0</v>
      </c>
      <c r="BI41" s="3">
        <f t="shared" si="29"/>
        <v>0</v>
      </c>
      <c r="BJ41" s="3">
        <f t="shared" si="29"/>
        <v>0</v>
      </c>
      <c r="BK41" s="3">
        <f t="shared" si="29"/>
        <v>0</v>
      </c>
      <c r="BL41" s="3">
        <f t="shared" si="29"/>
        <v>0</v>
      </c>
      <c r="BM41" s="3">
        <f t="shared" si="29"/>
        <v>0</v>
      </c>
      <c r="BN41" s="3">
        <f t="shared" si="29"/>
        <v>0</v>
      </c>
      <c r="BO41" s="3">
        <f t="shared" si="29"/>
        <v>0</v>
      </c>
      <c r="BP41" s="3">
        <f t="shared" si="29"/>
        <v>0</v>
      </c>
      <c r="BQ41" s="3">
        <f t="shared" si="29"/>
        <v>0</v>
      </c>
      <c r="BR41" s="3">
        <f t="shared" si="29"/>
        <v>0</v>
      </c>
      <c r="BS41" s="3">
        <f t="shared" si="29"/>
        <v>0</v>
      </c>
      <c r="BT41" s="3">
        <f t="shared" si="29"/>
        <v>0</v>
      </c>
      <c r="BU41" s="3">
        <f t="shared" si="29"/>
        <v>0</v>
      </c>
      <c r="BV41" s="3">
        <f t="shared" si="29"/>
        <v>0</v>
      </c>
      <c r="BW41" s="3">
        <f t="shared" si="29"/>
        <v>0</v>
      </c>
      <c r="BY41" s="3">
        <f>(M41-AS41)</f>
        <v>0</v>
      </c>
      <c r="BZ41" s="3">
        <f t="shared" ref="BZ41:DC41" si="30">SUMIF($A:$A, "01/01/2024",$F:$F )</f>
        <v>0</v>
      </c>
      <c r="CA41" s="3">
        <f t="shared" si="30"/>
        <v>0</v>
      </c>
      <c r="CB41" s="3">
        <f t="shared" si="30"/>
        <v>0</v>
      </c>
      <c r="CC41" s="3">
        <f t="shared" si="30"/>
        <v>0</v>
      </c>
      <c r="CD41" s="3">
        <f t="shared" si="30"/>
        <v>0</v>
      </c>
      <c r="CE41" s="3">
        <f t="shared" si="30"/>
        <v>0</v>
      </c>
      <c r="CF41" s="3">
        <f t="shared" si="30"/>
        <v>0</v>
      </c>
      <c r="CG41" s="3">
        <f t="shared" si="30"/>
        <v>0</v>
      </c>
      <c r="CH41" s="3">
        <f t="shared" si="30"/>
        <v>0</v>
      </c>
      <c r="CI41" s="3">
        <f t="shared" si="30"/>
        <v>0</v>
      </c>
      <c r="CJ41" s="3">
        <f t="shared" si="30"/>
        <v>0</v>
      </c>
      <c r="CK41" s="3">
        <f t="shared" si="30"/>
        <v>0</v>
      </c>
      <c r="CL41" s="3">
        <f t="shared" si="30"/>
        <v>0</v>
      </c>
      <c r="CM41" s="3">
        <f t="shared" si="30"/>
        <v>0</v>
      </c>
      <c r="CN41" s="3">
        <f t="shared" si="30"/>
        <v>0</v>
      </c>
      <c r="CO41" s="3">
        <f t="shared" si="30"/>
        <v>0</v>
      </c>
      <c r="CP41" s="3">
        <f t="shared" si="30"/>
        <v>0</v>
      </c>
      <c r="CQ41" s="3">
        <f t="shared" si="30"/>
        <v>0</v>
      </c>
      <c r="CR41" s="3">
        <f t="shared" si="30"/>
        <v>0</v>
      </c>
      <c r="CS41" s="3">
        <f t="shared" si="30"/>
        <v>0</v>
      </c>
      <c r="CT41" s="3">
        <f t="shared" si="30"/>
        <v>0</v>
      </c>
      <c r="CU41" s="3">
        <f t="shared" si="30"/>
        <v>0</v>
      </c>
      <c r="CV41" s="3">
        <f t="shared" si="30"/>
        <v>0</v>
      </c>
      <c r="CW41" s="3">
        <f t="shared" si="30"/>
        <v>0</v>
      </c>
      <c r="CX41" s="3">
        <f t="shared" si="30"/>
        <v>0</v>
      </c>
      <c r="CY41" s="3">
        <f t="shared" si="30"/>
        <v>0</v>
      </c>
      <c r="CZ41" s="3">
        <f t="shared" si="30"/>
        <v>0</v>
      </c>
      <c r="DA41" s="3">
        <f t="shared" si="30"/>
        <v>0</v>
      </c>
      <c r="DB41" s="3">
        <f t="shared" si="30"/>
        <v>0</v>
      </c>
      <c r="DC41" s="3">
        <f t="shared" si="30"/>
        <v>0</v>
      </c>
      <c r="DE41" s="3">
        <f t="shared" ref="DE41:EI41" si="31">SUMIF($A:$A, "01/01/2024",$F:$F )</f>
        <v>0</v>
      </c>
      <c r="DF41" s="3">
        <f t="shared" si="31"/>
        <v>0</v>
      </c>
      <c r="DG41" s="3">
        <f t="shared" si="31"/>
        <v>0</v>
      </c>
      <c r="DH41" s="3">
        <f t="shared" si="31"/>
        <v>0</v>
      </c>
      <c r="DI41" s="3">
        <f t="shared" si="31"/>
        <v>0</v>
      </c>
      <c r="DJ41" s="3">
        <f t="shared" si="31"/>
        <v>0</v>
      </c>
      <c r="DK41" s="3">
        <f t="shared" si="31"/>
        <v>0</v>
      </c>
      <c r="DL41" s="3">
        <f t="shared" si="31"/>
        <v>0</v>
      </c>
      <c r="DM41" s="3">
        <f t="shared" si="31"/>
        <v>0</v>
      </c>
      <c r="DN41" s="3">
        <f t="shared" si="31"/>
        <v>0</v>
      </c>
      <c r="DO41" s="3">
        <f t="shared" si="31"/>
        <v>0</v>
      </c>
      <c r="DP41" s="3">
        <f t="shared" si="31"/>
        <v>0</v>
      </c>
      <c r="DQ41" s="3">
        <f t="shared" si="31"/>
        <v>0</v>
      </c>
      <c r="DR41" s="3">
        <f t="shared" si="31"/>
        <v>0</v>
      </c>
      <c r="DS41" s="3">
        <f t="shared" si="31"/>
        <v>0</v>
      </c>
      <c r="DT41" s="3">
        <f t="shared" si="31"/>
        <v>0</v>
      </c>
      <c r="DU41" s="3">
        <f t="shared" si="31"/>
        <v>0</v>
      </c>
      <c r="DV41" s="3">
        <f t="shared" si="31"/>
        <v>0</v>
      </c>
      <c r="DW41" s="3">
        <f t="shared" si="31"/>
        <v>0</v>
      </c>
      <c r="DX41" s="3">
        <f t="shared" si="31"/>
        <v>0</v>
      </c>
      <c r="DY41" s="3">
        <f t="shared" si="31"/>
        <v>0</v>
      </c>
      <c r="DZ41" s="3">
        <f t="shared" si="31"/>
        <v>0</v>
      </c>
      <c r="EA41" s="3">
        <f t="shared" si="31"/>
        <v>0</v>
      </c>
      <c r="EB41" s="3">
        <f t="shared" si="31"/>
        <v>0</v>
      </c>
      <c r="EC41" s="3">
        <f t="shared" si="31"/>
        <v>0</v>
      </c>
      <c r="ED41" s="3">
        <f t="shared" si="31"/>
        <v>0</v>
      </c>
      <c r="EE41" s="3">
        <f t="shared" si="31"/>
        <v>0</v>
      </c>
      <c r="EF41" s="3">
        <f t="shared" si="31"/>
        <v>0</v>
      </c>
      <c r="EG41" s="3">
        <f t="shared" si="31"/>
        <v>0</v>
      </c>
      <c r="EH41" s="3">
        <f t="shared" si="31"/>
        <v>0</v>
      </c>
      <c r="EI41" s="3">
        <f t="shared" si="31"/>
        <v>0</v>
      </c>
      <c r="EM41" s="1" t="e">
        <f>(#REF!)</f>
        <v>#REF!</v>
      </c>
      <c r="EN41" s="9" t="e">
        <f>(#REF!)</f>
        <v>#REF!</v>
      </c>
      <c r="EO41" s="9" t="e">
        <f>(#REF!)</f>
        <v>#REF!</v>
      </c>
      <c r="EP41" s="9" t="e">
        <f>(#REF!)</f>
        <v>#REF!</v>
      </c>
      <c r="EQ41" s="12"/>
      <c r="ER41" s="1"/>
      <c r="ES41" s="12" t="s">
        <v>43</v>
      </c>
      <c r="ET41" s="12">
        <v>22000</v>
      </c>
      <c r="EU41" s="1"/>
      <c r="EV41" s="1"/>
      <c r="EW41" s="1"/>
      <c r="EX41" s="1"/>
      <c r="EY41" s="1"/>
    </row>
    <row r="42" spans="1:155" ht="18" customHeight="1" x14ac:dyDescent="0.3">
      <c r="A42" s="32" t="str">
        <f>(SALES!$A:$A)</f>
        <v>Wednesday, 3 January 2024</v>
      </c>
      <c r="B42" s="1">
        <f>(SALES!$C:$C)</f>
        <v>23</v>
      </c>
      <c r="C42" s="1">
        <f>(SALES!$D:$D)</f>
        <v>0.5</v>
      </c>
      <c r="D42" s="1" t="str">
        <f>(SALES!$E:$E)</f>
        <v>MEAT BALLS</v>
      </c>
      <c r="E42" s="1">
        <f>(SALES!$F:$F)</f>
        <v>30000</v>
      </c>
      <c r="F42" s="1">
        <f>(SALES!$G:$G)</f>
        <v>15000</v>
      </c>
      <c r="H42" s="2">
        <f>(EXPENSES!$A:$A)</f>
        <v>45297</v>
      </c>
      <c r="I42" s="10">
        <f>(EXPENSES!$B:$B)</f>
        <v>3</v>
      </c>
      <c r="J42" s="10" t="str">
        <f>(EXPENSES!$C:$C)</f>
        <v>BOUGHT CHICKEN FILLET</v>
      </c>
      <c r="K42" s="10">
        <f>(EXPENSES!$D:$D)</f>
        <v>78000</v>
      </c>
      <c r="M42" s="3"/>
      <c r="AS42" s="3"/>
      <c r="BY42" s="3"/>
      <c r="DE42" s="3"/>
      <c r="EJ42" s="12"/>
      <c r="EK42" s="12"/>
      <c r="EM42" s="1" t="e">
        <f>(#REF!)</f>
        <v>#REF!</v>
      </c>
      <c r="EN42" s="9" t="e">
        <f>(#REF!)</f>
        <v>#REF!</v>
      </c>
      <c r="EO42" s="9" t="e">
        <f>(#REF!)</f>
        <v>#REF!</v>
      </c>
      <c r="EP42" s="9" t="e">
        <f>(#REF!)</f>
        <v>#REF!</v>
      </c>
      <c r="EQ42" s="1"/>
      <c r="ER42" s="1"/>
      <c r="ES42" s="12" t="s">
        <v>44</v>
      </c>
      <c r="ET42" s="12">
        <v>25000</v>
      </c>
      <c r="EU42" s="1"/>
      <c r="EV42" s="1"/>
      <c r="EW42" s="1"/>
      <c r="EX42" s="1"/>
      <c r="EY42" s="1"/>
    </row>
    <row r="43" spans="1:155" ht="18" customHeight="1" x14ac:dyDescent="0.3">
      <c r="A43" s="32" t="str">
        <f>(SALES!$A:$A)</f>
        <v>Wednesday, 3 January 2024</v>
      </c>
      <c r="B43" s="1">
        <f>(SALES!$C:$C)</f>
        <v>24</v>
      </c>
      <c r="C43" s="1">
        <f>(SALES!$D:$D)</f>
        <v>0.5</v>
      </c>
      <c r="D43" s="1" t="str">
        <f>(SALES!$E:$E)</f>
        <v>LOCAL EGGS</v>
      </c>
      <c r="E43" s="1">
        <f>(SALES!$F:$F)</f>
        <v>25000</v>
      </c>
      <c r="F43" s="1">
        <f>(SALES!$G:$G)</f>
        <v>12500</v>
      </c>
      <c r="H43" s="2">
        <f>(EXPENSES!$A:$A)</f>
        <v>45297</v>
      </c>
      <c r="I43" s="10">
        <f>(EXPENSES!$B:$B)</f>
        <v>2</v>
      </c>
      <c r="J43" s="10" t="str">
        <f>(EXPENSES!$C:$C)</f>
        <v>BOUGHT BEEF FILLET</v>
      </c>
      <c r="K43" s="10">
        <f>(EXPENSES!$D:$D)</f>
        <v>135000</v>
      </c>
      <c r="M43" s="47" t="s">
        <v>45</v>
      </c>
      <c r="N43" s="48"/>
      <c r="O43" s="48"/>
      <c r="P43" s="48"/>
      <c r="Q43" s="48"/>
      <c r="R43" s="48"/>
      <c r="S43" s="48"/>
      <c r="T43" s="48"/>
      <c r="U43" s="48"/>
      <c r="V43" s="48"/>
      <c r="W43" s="48"/>
      <c r="X43" s="48"/>
      <c r="Y43" s="48"/>
      <c r="Z43" s="48"/>
      <c r="AA43" s="48"/>
      <c r="AB43" s="48"/>
      <c r="AC43" s="48"/>
      <c r="AD43" s="48"/>
      <c r="AE43" s="48"/>
      <c r="AF43" s="48"/>
      <c r="AG43" s="48"/>
      <c r="AH43" s="48"/>
      <c r="AI43" s="48"/>
      <c r="AJ43" s="48"/>
      <c r="AK43" s="48"/>
      <c r="AL43" s="48"/>
      <c r="AM43" s="48"/>
      <c r="AN43" s="48"/>
      <c r="AO43" s="48"/>
      <c r="AP43" s="48"/>
      <c r="AQ43" s="49"/>
      <c r="AS43" s="47" t="s">
        <v>45</v>
      </c>
      <c r="AT43" s="48"/>
      <c r="AU43" s="48"/>
      <c r="AV43" s="48"/>
      <c r="AW43" s="48"/>
      <c r="AX43" s="48"/>
      <c r="AY43" s="48"/>
      <c r="AZ43" s="48"/>
      <c r="BA43" s="48"/>
      <c r="BB43" s="48"/>
      <c r="BC43" s="48"/>
      <c r="BD43" s="48"/>
      <c r="BE43" s="48"/>
      <c r="BF43" s="48"/>
      <c r="BG43" s="48"/>
      <c r="BH43" s="48"/>
      <c r="BI43" s="48"/>
      <c r="BJ43" s="48"/>
      <c r="BK43" s="48"/>
      <c r="BL43" s="48"/>
      <c r="BM43" s="48"/>
      <c r="BN43" s="48"/>
      <c r="BO43" s="48"/>
      <c r="BP43" s="48"/>
      <c r="BQ43" s="48"/>
      <c r="BR43" s="48"/>
      <c r="BS43" s="48"/>
      <c r="BT43" s="48"/>
      <c r="BU43" s="48"/>
      <c r="BV43" s="48"/>
      <c r="BW43" s="49"/>
      <c r="BY43" s="47" t="s">
        <v>45</v>
      </c>
      <c r="BZ43" s="48"/>
      <c r="CA43" s="48"/>
      <c r="CB43" s="48"/>
      <c r="CC43" s="48"/>
      <c r="CD43" s="48"/>
      <c r="CE43" s="48"/>
      <c r="CF43" s="48"/>
      <c r="CG43" s="48"/>
      <c r="CH43" s="48"/>
      <c r="CI43" s="48"/>
      <c r="CJ43" s="48"/>
      <c r="CK43" s="48"/>
      <c r="CL43" s="48"/>
      <c r="CM43" s="48"/>
      <c r="CN43" s="48"/>
      <c r="CO43" s="48"/>
      <c r="CP43" s="48"/>
      <c r="CQ43" s="48"/>
      <c r="CR43" s="48"/>
      <c r="CS43" s="48"/>
      <c r="CT43" s="48"/>
      <c r="CU43" s="48"/>
      <c r="CV43" s="48"/>
      <c r="CW43" s="48"/>
      <c r="CX43" s="48"/>
      <c r="CY43" s="48"/>
      <c r="CZ43" s="48"/>
      <c r="DA43" s="48"/>
      <c r="DB43" s="48"/>
      <c r="DC43" s="49"/>
      <c r="DE43" s="47" t="s">
        <v>45</v>
      </c>
      <c r="DF43" s="48"/>
      <c r="DG43" s="48"/>
      <c r="DH43" s="48"/>
      <c r="DI43" s="48"/>
      <c r="DJ43" s="48"/>
      <c r="DK43" s="48"/>
      <c r="DL43" s="48"/>
      <c r="DM43" s="48"/>
      <c r="DN43" s="48"/>
      <c r="DO43" s="48"/>
      <c r="DP43" s="48"/>
      <c r="DQ43" s="48"/>
      <c r="DR43" s="48"/>
      <c r="DS43" s="48"/>
      <c r="DT43" s="48"/>
      <c r="DU43" s="48"/>
      <c r="DV43" s="48"/>
      <c r="DW43" s="48"/>
      <c r="DX43" s="48"/>
      <c r="DY43" s="48"/>
      <c r="DZ43" s="48"/>
      <c r="EA43" s="48"/>
      <c r="EB43" s="48"/>
      <c r="EC43" s="48"/>
      <c r="ED43" s="48"/>
      <c r="EE43" s="48"/>
      <c r="EF43" s="48"/>
      <c r="EG43" s="48"/>
      <c r="EH43" s="48"/>
      <c r="EI43" s="49"/>
      <c r="EJ43" s="3"/>
      <c r="EK43" s="3"/>
      <c r="EM43" s="1" t="e">
        <f>(#REF!)</f>
        <v>#REF!</v>
      </c>
      <c r="EN43" s="9" t="e">
        <f>(#REF!)</f>
        <v>#REF!</v>
      </c>
      <c r="EO43" s="9" t="e">
        <f>(#REF!)</f>
        <v>#REF!</v>
      </c>
      <c r="EP43" s="9" t="e">
        <f>(#REF!)</f>
        <v>#REF!</v>
      </c>
      <c r="EQ43" s="1"/>
      <c r="ER43" s="1"/>
      <c r="ES43" s="12" t="s">
        <v>44</v>
      </c>
      <c r="ET43" s="10">
        <f>IF($D:$D="MATOOKE KGS", 1500, IF($D:$D="SAUSAGES", 30000, IF($D:$D="TOMATOES", 3000, IF($D:$D="CHICKEN", 30000, IF($D:$D="LOCAL EGGS", 25000, IF($D:$D="IRISH", 3000, IF($D:$D="MILK", 2000, IF($D:$D="ONIONS", 6000, IF($D:$D="YELLOW YOLK EGGS", 20000, IF($D:$D="AVOCADO", 1000, IF($D:$D="BEEF", 16000, IF($D:$D="PLAIN YOGHURT", 4000, ""))))))))))))</f>
        <v>25000</v>
      </c>
      <c r="EU43" s="1"/>
      <c r="EV43" s="1"/>
      <c r="EW43" s="1"/>
      <c r="EX43" s="1"/>
      <c r="EY43" s="1"/>
    </row>
    <row r="44" spans="1:155" ht="18" customHeight="1" x14ac:dyDescent="0.3">
      <c r="A44" s="32" t="str">
        <f>(SALES!$A:$A)</f>
        <v>Wednesday, 3 January 2024</v>
      </c>
      <c r="B44" s="1">
        <f>(SALES!$C:$C)</f>
        <v>25</v>
      </c>
      <c r="C44" s="1">
        <f>(SALES!$D:$D)</f>
        <v>0.5</v>
      </c>
      <c r="D44" s="1" t="str">
        <f>(SALES!$E:$E)</f>
        <v>YELLOW YOLK EGGS</v>
      </c>
      <c r="E44" s="1">
        <f>(SALES!$F:$F)</f>
        <v>20000</v>
      </c>
      <c r="F44" s="1">
        <f>(SALES!$G:$G)</f>
        <v>10000</v>
      </c>
      <c r="H44" s="2">
        <f>(EXPENSES!$A:$A)</f>
        <v>45297</v>
      </c>
      <c r="I44" s="10">
        <f>(EXPENSES!$B:$B)</f>
        <v>4</v>
      </c>
      <c r="J44" s="10" t="str">
        <f>(EXPENSES!$C:$C)</f>
        <v>PAID DIRISA</v>
      </c>
      <c r="K44" s="10">
        <f>(EXPENSES!$D:$D)</f>
        <v>376000</v>
      </c>
      <c r="M44" s="3" t="e">
        <f>TEXT(WEEKDAY(DATE(CalendarYear,9,1),1),"aaa")</f>
        <v>#REF!</v>
      </c>
      <c r="N44" s="3" t="e">
        <f>TEXT(WEEKDAY(DATE(CalendarYear,9,2),1),"aaa")</f>
        <v>#REF!</v>
      </c>
      <c r="O44" s="3" t="e">
        <f>TEXT(WEEKDAY(DATE(CalendarYear,9,3),1),"aaa")</f>
        <v>#REF!</v>
      </c>
      <c r="P44" s="3" t="e">
        <f>TEXT(WEEKDAY(DATE(CalendarYear,9,4),1),"aaa")</f>
        <v>#REF!</v>
      </c>
      <c r="Q44" s="3" t="e">
        <f>TEXT(WEEKDAY(DATE(CalendarYear,9,5),1),"aaa")</f>
        <v>#REF!</v>
      </c>
      <c r="R44" s="3" t="e">
        <f>TEXT(WEEKDAY(DATE(CalendarYear,9,6),1),"aaa")</f>
        <v>#REF!</v>
      </c>
      <c r="S44" s="3" t="e">
        <f>TEXT(WEEKDAY(DATE(CalendarYear,9,7),1),"aaa")</f>
        <v>#REF!</v>
      </c>
      <c r="T44" s="3" t="e">
        <f>TEXT(WEEKDAY(DATE(CalendarYear,9,8),1),"aaa")</f>
        <v>#REF!</v>
      </c>
      <c r="U44" s="3" t="e">
        <f>TEXT(WEEKDAY(DATE(CalendarYear,9,9),1),"aaa")</f>
        <v>#REF!</v>
      </c>
      <c r="V44" s="3" t="e">
        <f>TEXT(WEEKDAY(DATE(CalendarYear,9,10),1),"aaa")</f>
        <v>#REF!</v>
      </c>
      <c r="W44" s="3" t="e">
        <f>TEXT(WEEKDAY(DATE(CalendarYear,9,11),1),"aaa")</f>
        <v>#REF!</v>
      </c>
      <c r="X44" s="3" t="e">
        <f>TEXT(WEEKDAY(DATE(CalendarYear,9,12),1),"aaa")</f>
        <v>#REF!</v>
      </c>
      <c r="Y44" s="3" t="e">
        <f>TEXT(WEEKDAY(DATE(CalendarYear,9,13),1),"aaa")</f>
        <v>#REF!</v>
      </c>
      <c r="Z44" s="3" t="e">
        <f>TEXT(WEEKDAY(DATE(CalendarYear,9,14),1),"aaa")</f>
        <v>#REF!</v>
      </c>
      <c r="AA44" s="3" t="e">
        <f>TEXT(WEEKDAY(DATE(CalendarYear,9,15),1),"aaa")</f>
        <v>#REF!</v>
      </c>
      <c r="AB44" s="3" t="e">
        <f>TEXT(WEEKDAY(DATE(CalendarYear,9,16),1),"aaa")</f>
        <v>#REF!</v>
      </c>
      <c r="AC44" s="3" t="e">
        <f>TEXT(WEEKDAY(DATE(CalendarYear,9,17),1),"aaa")</f>
        <v>#REF!</v>
      </c>
      <c r="AD44" s="3" t="e">
        <f>TEXT(WEEKDAY(DATE(CalendarYear,9,18),1),"aaa")</f>
        <v>#REF!</v>
      </c>
      <c r="AE44" s="3" t="e">
        <f>TEXT(WEEKDAY(DATE(CalendarYear,9,19),1),"aaa")</f>
        <v>#REF!</v>
      </c>
      <c r="AF44" s="3" t="e">
        <f>TEXT(WEEKDAY(DATE(CalendarYear,9,20),1),"aaa")</f>
        <v>#REF!</v>
      </c>
      <c r="AG44" s="3" t="e">
        <f>TEXT(WEEKDAY(DATE(CalendarYear,9,21),1),"aaa")</f>
        <v>#REF!</v>
      </c>
      <c r="AH44" s="3" t="e">
        <f>TEXT(WEEKDAY(DATE(CalendarYear,9,22),1),"aaa")</f>
        <v>#REF!</v>
      </c>
      <c r="AI44" s="3" t="e">
        <f>TEXT(WEEKDAY(DATE(CalendarYear,9,23),1),"aaa")</f>
        <v>#REF!</v>
      </c>
      <c r="AJ44" s="3" t="e">
        <f>TEXT(WEEKDAY(DATE(CalendarYear,9,24),1),"aaa")</f>
        <v>#REF!</v>
      </c>
      <c r="AK44" s="3" t="e">
        <f>TEXT(WEEKDAY(DATE(CalendarYear,9,25),1),"aaa")</f>
        <v>#REF!</v>
      </c>
      <c r="AL44" s="3" t="e">
        <f>TEXT(WEEKDAY(DATE(CalendarYear,9,26),1),"aaa")</f>
        <v>#REF!</v>
      </c>
      <c r="AM44" s="3" t="e">
        <f>TEXT(WEEKDAY(DATE(CalendarYear,9,27),1),"aaa")</f>
        <v>#REF!</v>
      </c>
      <c r="AN44" s="3" t="e">
        <f>TEXT(WEEKDAY(DATE(CalendarYear,9,28),1),"aaa")</f>
        <v>#REF!</v>
      </c>
      <c r="AO44" s="3" t="e">
        <f>TEXT(WEEKDAY(DATE(CalendarYear,9,29),1),"aaa")</f>
        <v>#REF!</v>
      </c>
      <c r="AP44" s="3" t="e">
        <f>TEXT(WEEKDAY(DATE(CalendarYear,9,30),1),"aaa")</f>
        <v>#REF!</v>
      </c>
      <c r="AQ44" s="3"/>
      <c r="AS44" s="3" t="e">
        <f>TEXT(WEEKDAY(DATE(CalendarYear,9,1),1),"aaa")</f>
        <v>#REF!</v>
      </c>
      <c r="AT44" s="3" t="e">
        <f>TEXT(WEEKDAY(DATE(CalendarYear,9,2),1),"aaa")</f>
        <v>#REF!</v>
      </c>
      <c r="AU44" s="3" t="e">
        <f>TEXT(WEEKDAY(DATE(CalendarYear,9,3),1),"aaa")</f>
        <v>#REF!</v>
      </c>
      <c r="AV44" s="3" t="e">
        <f>TEXT(WEEKDAY(DATE(CalendarYear,9,4),1),"aaa")</f>
        <v>#REF!</v>
      </c>
      <c r="AW44" s="3" t="e">
        <f>TEXT(WEEKDAY(DATE(CalendarYear,9,5),1),"aaa")</f>
        <v>#REF!</v>
      </c>
      <c r="AX44" s="3" t="e">
        <f>TEXT(WEEKDAY(DATE(CalendarYear,9,6),1),"aaa")</f>
        <v>#REF!</v>
      </c>
      <c r="AY44" s="3" t="e">
        <f>TEXT(WEEKDAY(DATE(CalendarYear,9,7),1),"aaa")</f>
        <v>#REF!</v>
      </c>
      <c r="AZ44" s="3" t="e">
        <f>TEXT(WEEKDAY(DATE(CalendarYear,9,8),1),"aaa")</f>
        <v>#REF!</v>
      </c>
      <c r="BA44" s="3" t="e">
        <f>TEXT(WEEKDAY(DATE(CalendarYear,9,9),1),"aaa")</f>
        <v>#REF!</v>
      </c>
      <c r="BB44" s="3" t="e">
        <f>TEXT(WEEKDAY(DATE(CalendarYear,9,10),1),"aaa")</f>
        <v>#REF!</v>
      </c>
      <c r="BC44" s="3" t="e">
        <f>TEXT(WEEKDAY(DATE(CalendarYear,9,11),1),"aaa")</f>
        <v>#REF!</v>
      </c>
      <c r="BD44" s="3" t="e">
        <f>TEXT(WEEKDAY(DATE(CalendarYear,9,12),1),"aaa")</f>
        <v>#REF!</v>
      </c>
      <c r="BE44" s="3" t="e">
        <f>TEXT(WEEKDAY(DATE(CalendarYear,9,13),1),"aaa")</f>
        <v>#REF!</v>
      </c>
      <c r="BF44" s="3" t="e">
        <f>TEXT(WEEKDAY(DATE(CalendarYear,9,14),1),"aaa")</f>
        <v>#REF!</v>
      </c>
      <c r="BG44" s="3" t="e">
        <f>TEXT(WEEKDAY(DATE(CalendarYear,9,15),1),"aaa")</f>
        <v>#REF!</v>
      </c>
      <c r="BH44" s="3" t="e">
        <f>TEXT(WEEKDAY(DATE(CalendarYear,9,16),1),"aaa")</f>
        <v>#REF!</v>
      </c>
      <c r="BI44" s="3" t="e">
        <f>TEXT(WEEKDAY(DATE(CalendarYear,9,17),1),"aaa")</f>
        <v>#REF!</v>
      </c>
      <c r="BJ44" s="3" t="e">
        <f>TEXT(WEEKDAY(DATE(CalendarYear,9,18),1),"aaa")</f>
        <v>#REF!</v>
      </c>
      <c r="BK44" s="3" t="e">
        <f>TEXT(WEEKDAY(DATE(CalendarYear,9,19),1),"aaa")</f>
        <v>#REF!</v>
      </c>
      <c r="BL44" s="3" t="e">
        <f>TEXT(WEEKDAY(DATE(CalendarYear,9,20),1),"aaa")</f>
        <v>#REF!</v>
      </c>
      <c r="BM44" s="3" t="e">
        <f>TEXT(WEEKDAY(DATE(CalendarYear,9,21),1),"aaa")</f>
        <v>#REF!</v>
      </c>
      <c r="BN44" s="3" t="e">
        <f>TEXT(WEEKDAY(DATE(CalendarYear,9,22),1),"aaa")</f>
        <v>#REF!</v>
      </c>
      <c r="BO44" s="3" t="e">
        <f>TEXT(WEEKDAY(DATE(CalendarYear,9,23),1),"aaa")</f>
        <v>#REF!</v>
      </c>
      <c r="BP44" s="3" t="e">
        <f>TEXT(WEEKDAY(DATE(CalendarYear,9,24),1),"aaa")</f>
        <v>#REF!</v>
      </c>
      <c r="BQ44" s="3" t="e">
        <f>TEXT(WEEKDAY(DATE(CalendarYear,9,25),1),"aaa")</f>
        <v>#REF!</v>
      </c>
      <c r="BR44" s="3" t="e">
        <f>TEXT(WEEKDAY(DATE(CalendarYear,9,26),1),"aaa")</f>
        <v>#REF!</v>
      </c>
      <c r="BS44" s="3" t="e">
        <f>TEXT(WEEKDAY(DATE(CalendarYear,9,27),1),"aaa")</f>
        <v>#REF!</v>
      </c>
      <c r="BT44" s="3" t="e">
        <f>TEXT(WEEKDAY(DATE(CalendarYear,9,28),1),"aaa")</f>
        <v>#REF!</v>
      </c>
      <c r="BU44" s="3" t="e">
        <f>TEXT(WEEKDAY(DATE(CalendarYear,9,29),1),"aaa")</f>
        <v>#REF!</v>
      </c>
      <c r="BV44" s="3" t="e">
        <f>TEXT(WEEKDAY(DATE(CalendarYear,9,30),1),"aaa")</f>
        <v>#REF!</v>
      </c>
      <c r="BW44" s="3"/>
      <c r="BY44" s="3" t="e">
        <f>TEXT(WEEKDAY(DATE(CalendarYear,9,1),1),"aaa")</f>
        <v>#REF!</v>
      </c>
      <c r="BZ44" s="3" t="e">
        <f>TEXT(WEEKDAY(DATE(CalendarYear,9,2),1),"aaa")</f>
        <v>#REF!</v>
      </c>
      <c r="CA44" s="3" t="e">
        <f>TEXT(WEEKDAY(DATE(CalendarYear,9,3),1),"aaa")</f>
        <v>#REF!</v>
      </c>
      <c r="CB44" s="3" t="e">
        <f>TEXT(WEEKDAY(DATE(CalendarYear,9,4),1),"aaa")</f>
        <v>#REF!</v>
      </c>
      <c r="CC44" s="3" t="e">
        <f>TEXT(WEEKDAY(DATE(CalendarYear,9,5),1),"aaa")</f>
        <v>#REF!</v>
      </c>
      <c r="CD44" s="3" t="e">
        <f>TEXT(WEEKDAY(DATE(CalendarYear,9,6),1),"aaa")</f>
        <v>#REF!</v>
      </c>
      <c r="CE44" s="3" t="e">
        <f>TEXT(WEEKDAY(DATE(CalendarYear,9,7),1),"aaa")</f>
        <v>#REF!</v>
      </c>
      <c r="CF44" s="3" t="e">
        <f>TEXT(WEEKDAY(DATE(CalendarYear,9,8),1),"aaa")</f>
        <v>#REF!</v>
      </c>
      <c r="CG44" s="3" t="e">
        <f>TEXT(WEEKDAY(DATE(CalendarYear,9,9),1),"aaa")</f>
        <v>#REF!</v>
      </c>
      <c r="CH44" s="3" t="e">
        <f>TEXT(WEEKDAY(DATE(CalendarYear,9,10),1),"aaa")</f>
        <v>#REF!</v>
      </c>
      <c r="CI44" s="3" t="e">
        <f>TEXT(WEEKDAY(DATE(CalendarYear,9,11),1),"aaa")</f>
        <v>#REF!</v>
      </c>
      <c r="CJ44" s="3" t="e">
        <f>TEXT(WEEKDAY(DATE(CalendarYear,9,12),1),"aaa")</f>
        <v>#REF!</v>
      </c>
      <c r="CK44" s="3" t="e">
        <f>TEXT(WEEKDAY(DATE(CalendarYear,9,13),1),"aaa")</f>
        <v>#REF!</v>
      </c>
      <c r="CL44" s="3" t="e">
        <f>TEXT(WEEKDAY(DATE(CalendarYear,9,14),1),"aaa")</f>
        <v>#REF!</v>
      </c>
      <c r="CM44" s="3" t="e">
        <f>TEXT(WEEKDAY(DATE(CalendarYear,9,15),1),"aaa")</f>
        <v>#REF!</v>
      </c>
      <c r="CN44" s="3" t="e">
        <f>TEXT(WEEKDAY(DATE(CalendarYear,9,16),1),"aaa")</f>
        <v>#REF!</v>
      </c>
      <c r="CO44" s="3" t="e">
        <f>TEXT(WEEKDAY(DATE(CalendarYear,9,17),1),"aaa")</f>
        <v>#REF!</v>
      </c>
      <c r="CP44" s="3" t="e">
        <f>TEXT(WEEKDAY(DATE(CalendarYear,9,18),1),"aaa")</f>
        <v>#REF!</v>
      </c>
      <c r="CQ44" s="3" t="e">
        <f>TEXT(WEEKDAY(DATE(CalendarYear,9,19),1),"aaa")</f>
        <v>#REF!</v>
      </c>
      <c r="CR44" s="3" t="e">
        <f>TEXT(WEEKDAY(DATE(CalendarYear,9,20),1),"aaa")</f>
        <v>#REF!</v>
      </c>
      <c r="CS44" s="3" t="e">
        <f>TEXT(WEEKDAY(DATE(CalendarYear,9,21),1),"aaa")</f>
        <v>#REF!</v>
      </c>
      <c r="CT44" s="3" t="e">
        <f>TEXT(WEEKDAY(DATE(CalendarYear,9,22),1),"aaa")</f>
        <v>#REF!</v>
      </c>
      <c r="CU44" s="3" t="e">
        <f>TEXT(WEEKDAY(DATE(CalendarYear,9,23),1),"aaa")</f>
        <v>#REF!</v>
      </c>
      <c r="CV44" s="3" t="e">
        <f>TEXT(WEEKDAY(DATE(CalendarYear,9,24),1),"aaa")</f>
        <v>#REF!</v>
      </c>
      <c r="CW44" s="3" t="e">
        <f>TEXT(WEEKDAY(DATE(CalendarYear,9,25),1),"aaa")</f>
        <v>#REF!</v>
      </c>
      <c r="CX44" s="3" t="e">
        <f>TEXT(WEEKDAY(DATE(CalendarYear,9,26),1),"aaa")</f>
        <v>#REF!</v>
      </c>
      <c r="CY44" s="3" t="e">
        <f>TEXT(WEEKDAY(DATE(CalendarYear,9,27),1),"aaa")</f>
        <v>#REF!</v>
      </c>
      <c r="CZ44" s="3" t="e">
        <f>TEXT(WEEKDAY(DATE(CalendarYear,9,28),1),"aaa")</f>
        <v>#REF!</v>
      </c>
      <c r="DA44" s="3" t="e">
        <f>TEXT(WEEKDAY(DATE(CalendarYear,9,29),1),"aaa")</f>
        <v>#REF!</v>
      </c>
      <c r="DB44" s="3" t="e">
        <f>TEXT(WEEKDAY(DATE(CalendarYear,9,30),1),"aaa")</f>
        <v>#REF!</v>
      </c>
      <c r="DC44" s="3"/>
      <c r="DE44" s="3" t="e">
        <f>TEXT(WEEKDAY(DATE(CalendarYear,9,1),1),"aaa")</f>
        <v>#REF!</v>
      </c>
      <c r="DF44" s="3" t="e">
        <f>TEXT(WEEKDAY(DATE(CalendarYear,9,2),1),"aaa")</f>
        <v>#REF!</v>
      </c>
      <c r="DG44" s="3" t="e">
        <f>TEXT(WEEKDAY(DATE(CalendarYear,9,3),1),"aaa")</f>
        <v>#REF!</v>
      </c>
      <c r="DH44" s="3" t="e">
        <f>TEXT(WEEKDAY(DATE(CalendarYear,9,4),1),"aaa")</f>
        <v>#REF!</v>
      </c>
      <c r="DI44" s="3" t="e">
        <f>TEXT(WEEKDAY(DATE(CalendarYear,9,5),1),"aaa")</f>
        <v>#REF!</v>
      </c>
      <c r="DJ44" s="3" t="e">
        <f>TEXT(WEEKDAY(DATE(CalendarYear,9,6),1),"aaa")</f>
        <v>#REF!</v>
      </c>
      <c r="DK44" s="3" t="e">
        <f>TEXT(WEEKDAY(DATE(CalendarYear,9,7),1),"aaa")</f>
        <v>#REF!</v>
      </c>
      <c r="DL44" s="3" t="e">
        <f>TEXT(WEEKDAY(DATE(CalendarYear,9,8),1),"aaa")</f>
        <v>#REF!</v>
      </c>
      <c r="DM44" s="3" t="e">
        <f>TEXT(WEEKDAY(DATE(CalendarYear,9,9),1),"aaa")</f>
        <v>#REF!</v>
      </c>
      <c r="DN44" s="3" t="e">
        <f>TEXT(WEEKDAY(DATE(CalendarYear,9,10),1),"aaa")</f>
        <v>#REF!</v>
      </c>
      <c r="DO44" s="3" t="e">
        <f>TEXT(WEEKDAY(DATE(CalendarYear,9,11),1),"aaa")</f>
        <v>#REF!</v>
      </c>
      <c r="DP44" s="3" t="e">
        <f>TEXT(WEEKDAY(DATE(CalendarYear,9,12),1),"aaa")</f>
        <v>#REF!</v>
      </c>
      <c r="DQ44" s="3" t="e">
        <f>TEXT(WEEKDAY(DATE(CalendarYear,9,13),1),"aaa")</f>
        <v>#REF!</v>
      </c>
      <c r="DR44" s="3" t="e">
        <f>TEXT(WEEKDAY(DATE(CalendarYear,9,14),1),"aaa")</f>
        <v>#REF!</v>
      </c>
      <c r="DS44" s="3" t="e">
        <f>TEXT(WEEKDAY(DATE(CalendarYear,9,15),1),"aaa")</f>
        <v>#REF!</v>
      </c>
      <c r="DT44" s="3" t="e">
        <f>TEXT(WEEKDAY(DATE(CalendarYear,9,16),1),"aaa")</f>
        <v>#REF!</v>
      </c>
      <c r="DU44" s="3" t="e">
        <f>TEXT(WEEKDAY(DATE(CalendarYear,9,17),1),"aaa")</f>
        <v>#REF!</v>
      </c>
      <c r="DV44" s="3" t="e">
        <f>TEXT(WEEKDAY(DATE(CalendarYear,9,18),1),"aaa")</f>
        <v>#REF!</v>
      </c>
      <c r="DW44" s="3" t="e">
        <f>TEXT(WEEKDAY(DATE(CalendarYear,9,19),1),"aaa")</f>
        <v>#REF!</v>
      </c>
      <c r="DX44" s="3" t="e">
        <f>TEXT(WEEKDAY(DATE(CalendarYear,9,20),1),"aaa")</f>
        <v>#REF!</v>
      </c>
      <c r="DY44" s="3" t="e">
        <f>TEXT(WEEKDAY(DATE(CalendarYear,9,21),1),"aaa")</f>
        <v>#REF!</v>
      </c>
      <c r="DZ44" s="3" t="e">
        <f>TEXT(WEEKDAY(DATE(CalendarYear,9,22),1),"aaa")</f>
        <v>#REF!</v>
      </c>
      <c r="EA44" s="3" t="e">
        <f>TEXT(WEEKDAY(DATE(CalendarYear,9,23),1),"aaa")</f>
        <v>#REF!</v>
      </c>
      <c r="EB44" s="3" t="e">
        <f>TEXT(WEEKDAY(DATE(CalendarYear,9,24),1),"aaa")</f>
        <v>#REF!</v>
      </c>
      <c r="EC44" s="3" t="e">
        <f>TEXT(WEEKDAY(DATE(CalendarYear,9,25),1),"aaa")</f>
        <v>#REF!</v>
      </c>
      <c r="ED44" s="3" t="e">
        <f>TEXT(WEEKDAY(DATE(CalendarYear,9,26),1),"aaa")</f>
        <v>#REF!</v>
      </c>
      <c r="EE44" s="3" t="e">
        <f>TEXT(WEEKDAY(DATE(CalendarYear,9,27),1),"aaa")</f>
        <v>#REF!</v>
      </c>
      <c r="EF44" s="3" t="e">
        <f>TEXT(WEEKDAY(DATE(CalendarYear,9,28),1),"aaa")</f>
        <v>#REF!</v>
      </c>
      <c r="EG44" s="3" t="e">
        <f>TEXT(WEEKDAY(DATE(CalendarYear,9,29),1),"aaa")</f>
        <v>#REF!</v>
      </c>
      <c r="EH44" s="3" t="e">
        <f>TEXT(WEEKDAY(DATE(CalendarYear,9,30),1),"aaa")</f>
        <v>#REF!</v>
      </c>
      <c r="EI44" s="3"/>
      <c r="EJ44" s="2"/>
      <c r="EK44" s="2"/>
      <c r="EM44" s="1" t="e">
        <f>(#REF!)</f>
        <v>#REF!</v>
      </c>
      <c r="EN44" s="9" t="e">
        <f>(#REF!)</f>
        <v>#REF!</v>
      </c>
      <c r="EO44" s="9" t="e">
        <f>(#REF!)</f>
        <v>#REF!</v>
      </c>
      <c r="EP44" s="9" t="e">
        <f>(#REF!)</f>
        <v>#REF!</v>
      </c>
      <c r="EQ44" s="1"/>
      <c r="ER44" s="1"/>
      <c r="ES44" s="12" t="s">
        <v>46</v>
      </c>
      <c r="ET44" s="12">
        <v>25000</v>
      </c>
      <c r="EU44" s="1"/>
      <c r="EV44" s="1"/>
      <c r="EW44" s="1"/>
      <c r="EX44" s="1"/>
      <c r="EY44" s="1"/>
    </row>
    <row r="45" spans="1:155" ht="18" customHeight="1" x14ac:dyDescent="0.3">
      <c r="A45" s="32" t="str">
        <f>(SALES!$A:$A)</f>
        <v>Wednesday, 3 January 2024</v>
      </c>
      <c r="B45" s="1">
        <f>(SALES!$C:$C)</f>
        <v>26</v>
      </c>
      <c r="C45" s="1">
        <f>(SALES!$D:$D)</f>
        <v>1</v>
      </c>
      <c r="D45" s="1" t="str">
        <f>(SALES!$E:$E)</f>
        <v>BEEF</v>
      </c>
      <c r="E45" s="1">
        <f>(SALES!$F:$F)</f>
        <v>16000</v>
      </c>
      <c r="F45" s="1">
        <f>(SALES!$G:$G)</f>
        <v>16000</v>
      </c>
      <c r="H45" s="2">
        <f>(EXPENSES!$A:$A)</f>
        <v>45298</v>
      </c>
      <c r="I45" s="10">
        <f>(EXPENSES!$B:$B)</f>
        <v>1</v>
      </c>
      <c r="J45" s="10" t="str">
        <f>(EXPENSES!$C:$C)</f>
        <v>WELDING</v>
      </c>
      <c r="K45" s="10">
        <f>(EXPENSES!$D:$D)</f>
        <v>10000</v>
      </c>
      <c r="M45" s="2">
        <v>45536</v>
      </c>
      <c r="N45" s="2">
        <v>45537</v>
      </c>
      <c r="O45" s="2">
        <v>45538</v>
      </c>
      <c r="P45" s="2">
        <v>45539</v>
      </c>
      <c r="Q45" s="2">
        <v>45540</v>
      </c>
      <c r="R45" s="2">
        <v>45541</v>
      </c>
      <c r="S45" s="2">
        <v>45542</v>
      </c>
      <c r="T45" s="2">
        <v>45543</v>
      </c>
      <c r="U45" s="2">
        <v>45544</v>
      </c>
      <c r="V45" s="2">
        <v>45545</v>
      </c>
      <c r="W45" s="2">
        <v>45546</v>
      </c>
      <c r="X45" s="2">
        <v>45547</v>
      </c>
      <c r="Y45" s="2">
        <v>45548</v>
      </c>
      <c r="Z45" s="2">
        <v>45549</v>
      </c>
      <c r="AA45" s="2">
        <v>45550</v>
      </c>
      <c r="AB45" s="2">
        <v>45551</v>
      </c>
      <c r="AC45" s="2">
        <v>45552</v>
      </c>
      <c r="AD45" s="2">
        <v>45553</v>
      </c>
      <c r="AE45" s="2">
        <v>45554</v>
      </c>
      <c r="AF45" s="2">
        <v>45555</v>
      </c>
      <c r="AG45" s="2">
        <v>45556</v>
      </c>
      <c r="AH45" s="2">
        <v>45557</v>
      </c>
      <c r="AI45" s="2">
        <v>45558</v>
      </c>
      <c r="AJ45" s="2">
        <v>45559</v>
      </c>
      <c r="AK45" s="2">
        <v>45560</v>
      </c>
      <c r="AL45" s="2">
        <v>45561</v>
      </c>
      <c r="AM45" s="2">
        <v>45562</v>
      </c>
      <c r="AN45" s="2">
        <v>45563</v>
      </c>
      <c r="AO45" s="2">
        <v>45564</v>
      </c>
      <c r="AP45" s="2">
        <v>45565</v>
      </c>
      <c r="AQ45" s="2"/>
      <c r="AS45" s="2">
        <v>45536</v>
      </c>
      <c r="AT45" s="2">
        <v>45537</v>
      </c>
      <c r="AU45" s="2">
        <v>45538</v>
      </c>
      <c r="AV45" s="2">
        <v>45539</v>
      </c>
      <c r="AW45" s="2">
        <v>45540</v>
      </c>
      <c r="AX45" s="2">
        <v>45541</v>
      </c>
      <c r="AY45" s="2">
        <v>45542</v>
      </c>
      <c r="AZ45" s="2">
        <v>45543</v>
      </c>
      <c r="BA45" s="2">
        <v>45544</v>
      </c>
      <c r="BB45" s="2">
        <v>45545</v>
      </c>
      <c r="BC45" s="2">
        <v>45546</v>
      </c>
      <c r="BD45" s="2">
        <v>45547</v>
      </c>
      <c r="BE45" s="2">
        <v>45548</v>
      </c>
      <c r="BF45" s="2">
        <v>45549</v>
      </c>
      <c r="BG45" s="2">
        <v>45550</v>
      </c>
      <c r="BH45" s="2">
        <v>45551</v>
      </c>
      <c r="BI45" s="2">
        <v>45552</v>
      </c>
      <c r="BJ45" s="2">
        <v>45553</v>
      </c>
      <c r="BK45" s="2">
        <v>45554</v>
      </c>
      <c r="BL45" s="2">
        <v>45555</v>
      </c>
      <c r="BM45" s="2">
        <v>45556</v>
      </c>
      <c r="BN45" s="2">
        <v>45557</v>
      </c>
      <c r="BO45" s="2">
        <v>45558</v>
      </c>
      <c r="BP45" s="2">
        <v>45559</v>
      </c>
      <c r="BQ45" s="2">
        <v>45560</v>
      </c>
      <c r="BR45" s="2">
        <v>45561</v>
      </c>
      <c r="BS45" s="2">
        <v>45562</v>
      </c>
      <c r="BT45" s="2">
        <v>45563</v>
      </c>
      <c r="BU45" s="2">
        <v>45564</v>
      </c>
      <c r="BV45" s="2">
        <v>45565</v>
      </c>
      <c r="BW45" s="2"/>
      <c r="BY45" s="2">
        <v>45536</v>
      </c>
      <c r="BZ45" s="2">
        <v>45537</v>
      </c>
      <c r="CA45" s="2">
        <v>45538</v>
      </c>
      <c r="CB45" s="2">
        <v>45539</v>
      </c>
      <c r="CC45" s="2">
        <v>45540</v>
      </c>
      <c r="CD45" s="2">
        <v>45541</v>
      </c>
      <c r="CE45" s="2">
        <v>45542</v>
      </c>
      <c r="CF45" s="2">
        <v>45543</v>
      </c>
      <c r="CG45" s="2">
        <v>45544</v>
      </c>
      <c r="CH45" s="2">
        <v>45545</v>
      </c>
      <c r="CI45" s="2">
        <v>45546</v>
      </c>
      <c r="CJ45" s="2">
        <v>45547</v>
      </c>
      <c r="CK45" s="2">
        <v>45548</v>
      </c>
      <c r="CL45" s="2">
        <v>45549</v>
      </c>
      <c r="CM45" s="2">
        <v>45550</v>
      </c>
      <c r="CN45" s="2">
        <v>45551</v>
      </c>
      <c r="CO45" s="2">
        <v>45552</v>
      </c>
      <c r="CP45" s="2">
        <v>45553</v>
      </c>
      <c r="CQ45" s="2">
        <v>45554</v>
      </c>
      <c r="CR45" s="2">
        <v>45555</v>
      </c>
      <c r="CS45" s="2">
        <v>45556</v>
      </c>
      <c r="CT45" s="2">
        <v>45557</v>
      </c>
      <c r="CU45" s="2">
        <v>45558</v>
      </c>
      <c r="CV45" s="2">
        <v>45559</v>
      </c>
      <c r="CW45" s="2">
        <v>45560</v>
      </c>
      <c r="CX45" s="2">
        <v>45561</v>
      </c>
      <c r="CY45" s="2">
        <v>45562</v>
      </c>
      <c r="CZ45" s="2">
        <v>45563</v>
      </c>
      <c r="DA45" s="2">
        <v>45564</v>
      </c>
      <c r="DB45" s="2">
        <v>45565</v>
      </c>
      <c r="DC45" s="2"/>
      <c r="DE45" s="2">
        <v>45536</v>
      </c>
      <c r="DF45" s="2">
        <v>45537</v>
      </c>
      <c r="DG45" s="2">
        <v>45538</v>
      </c>
      <c r="DH45" s="2">
        <v>45539</v>
      </c>
      <c r="DI45" s="2">
        <v>45540</v>
      </c>
      <c r="DJ45" s="2">
        <v>45541</v>
      </c>
      <c r="DK45" s="2">
        <v>45542</v>
      </c>
      <c r="DL45" s="2">
        <v>45543</v>
      </c>
      <c r="DM45" s="2">
        <v>45544</v>
      </c>
      <c r="DN45" s="2">
        <v>45545</v>
      </c>
      <c r="DO45" s="2">
        <v>45546</v>
      </c>
      <c r="DP45" s="2">
        <v>45547</v>
      </c>
      <c r="DQ45" s="2">
        <v>45548</v>
      </c>
      <c r="DR45" s="2">
        <v>45549</v>
      </c>
      <c r="DS45" s="2">
        <v>45550</v>
      </c>
      <c r="DT45" s="2">
        <v>45551</v>
      </c>
      <c r="DU45" s="2">
        <v>45552</v>
      </c>
      <c r="DV45" s="2">
        <v>45553</v>
      </c>
      <c r="DW45" s="2">
        <v>45554</v>
      </c>
      <c r="DX45" s="2">
        <v>45555</v>
      </c>
      <c r="DY45" s="2">
        <v>45556</v>
      </c>
      <c r="DZ45" s="2">
        <v>45557</v>
      </c>
      <c r="EA45" s="2">
        <v>45558</v>
      </c>
      <c r="EB45" s="2">
        <v>45559</v>
      </c>
      <c r="EC45" s="2">
        <v>45560</v>
      </c>
      <c r="ED45" s="2">
        <v>45561</v>
      </c>
      <c r="EE45" s="2">
        <v>45562</v>
      </c>
      <c r="EF45" s="2">
        <v>45563</v>
      </c>
      <c r="EG45" s="2">
        <v>45564</v>
      </c>
      <c r="EH45" s="2">
        <v>45565</v>
      </c>
      <c r="EI45" s="2"/>
      <c r="EJ45" s="3"/>
      <c r="EK45" s="3"/>
      <c r="EM45" s="1" t="e">
        <f>(#REF!)</f>
        <v>#REF!</v>
      </c>
      <c r="EN45" s="9" t="e">
        <f>(#REF!)</f>
        <v>#REF!</v>
      </c>
      <c r="EO45" s="9" t="e">
        <f>(#REF!)</f>
        <v>#REF!</v>
      </c>
      <c r="EP45" s="9" t="e">
        <f>(#REF!)</f>
        <v>#REF!</v>
      </c>
      <c r="EQ45" s="1"/>
      <c r="ER45" s="1"/>
      <c r="ES45" s="10" t="s">
        <v>47</v>
      </c>
      <c r="ET45" s="10">
        <v>900</v>
      </c>
      <c r="EU45" s="1"/>
      <c r="EV45" s="1"/>
      <c r="EW45" s="1"/>
      <c r="EX45" s="1"/>
      <c r="EY45" s="1"/>
    </row>
    <row r="46" spans="1:155" ht="18" customHeight="1" x14ac:dyDescent="0.3">
      <c r="A46" s="32" t="str">
        <f>(SALES!$A:$A)</f>
        <v>Wednesday, 3 January 2024</v>
      </c>
      <c r="B46" s="1">
        <f>(SALES!$C:$C)</f>
        <v>27</v>
      </c>
      <c r="C46" s="1">
        <f>(SALES!$D:$D)</f>
        <v>3</v>
      </c>
      <c r="D46" s="1" t="str">
        <f>(SALES!$E:$E)</f>
        <v>AVOCADO</v>
      </c>
      <c r="E46" s="1">
        <f>(SALES!$F:$F)</f>
        <v>1000</v>
      </c>
      <c r="F46" s="1">
        <f>(SALES!$G:$G)</f>
        <v>3000</v>
      </c>
      <c r="H46" s="2">
        <f>(EXPENSES!$A:$A)</f>
        <v>45298</v>
      </c>
      <c r="I46" s="10">
        <f>(EXPENSES!$B:$B)</f>
        <v>3</v>
      </c>
      <c r="J46" s="10" t="str">
        <f>(EXPENSES!$C:$C)</f>
        <v xml:space="preserve">PAID ASHIRAF </v>
      </c>
      <c r="K46" s="10">
        <f>(EXPENSES!$D:$D)</f>
        <v>70000</v>
      </c>
      <c r="M46" s="3">
        <f t="shared" ref="M46:AQ46" si="32">SUMIF($A:$A, "01/01/2024",$F:$F )</f>
        <v>0</v>
      </c>
      <c r="N46" s="3">
        <f t="shared" si="32"/>
        <v>0</v>
      </c>
      <c r="O46" s="3">
        <f t="shared" si="32"/>
        <v>0</v>
      </c>
      <c r="P46" s="3">
        <f t="shared" si="32"/>
        <v>0</v>
      </c>
      <c r="Q46" s="3">
        <f t="shared" si="32"/>
        <v>0</v>
      </c>
      <c r="R46" s="3">
        <f t="shared" si="32"/>
        <v>0</v>
      </c>
      <c r="S46" s="3">
        <f t="shared" si="32"/>
        <v>0</v>
      </c>
      <c r="T46" s="3">
        <f t="shared" si="32"/>
        <v>0</v>
      </c>
      <c r="U46" s="3">
        <f t="shared" si="32"/>
        <v>0</v>
      </c>
      <c r="V46" s="3">
        <f t="shared" si="32"/>
        <v>0</v>
      </c>
      <c r="W46" s="3">
        <f t="shared" si="32"/>
        <v>0</v>
      </c>
      <c r="X46" s="3">
        <f t="shared" si="32"/>
        <v>0</v>
      </c>
      <c r="Y46" s="3">
        <f t="shared" si="32"/>
        <v>0</v>
      </c>
      <c r="Z46" s="3">
        <f t="shared" si="32"/>
        <v>0</v>
      </c>
      <c r="AA46" s="3">
        <f t="shared" si="32"/>
        <v>0</v>
      </c>
      <c r="AB46" s="3">
        <f t="shared" si="32"/>
        <v>0</v>
      </c>
      <c r="AC46" s="3">
        <f t="shared" si="32"/>
        <v>0</v>
      </c>
      <c r="AD46" s="3">
        <f t="shared" si="32"/>
        <v>0</v>
      </c>
      <c r="AE46" s="3">
        <f t="shared" si="32"/>
        <v>0</v>
      </c>
      <c r="AF46" s="3">
        <f t="shared" si="32"/>
        <v>0</v>
      </c>
      <c r="AG46" s="3">
        <f t="shared" si="32"/>
        <v>0</v>
      </c>
      <c r="AH46" s="3">
        <f t="shared" si="32"/>
        <v>0</v>
      </c>
      <c r="AI46" s="3">
        <f t="shared" si="32"/>
        <v>0</v>
      </c>
      <c r="AJ46" s="3">
        <f t="shared" si="32"/>
        <v>0</v>
      </c>
      <c r="AK46" s="3">
        <f t="shared" si="32"/>
        <v>0</v>
      </c>
      <c r="AL46" s="3">
        <f t="shared" si="32"/>
        <v>0</v>
      </c>
      <c r="AM46" s="3">
        <f t="shared" si="32"/>
        <v>0</v>
      </c>
      <c r="AN46" s="3">
        <f t="shared" si="32"/>
        <v>0</v>
      </c>
      <c r="AO46" s="3">
        <f t="shared" si="32"/>
        <v>0</v>
      </c>
      <c r="AP46" s="3">
        <f t="shared" si="32"/>
        <v>0</v>
      </c>
      <c r="AQ46" s="3">
        <f t="shared" si="32"/>
        <v>0</v>
      </c>
      <c r="AS46" s="3">
        <f t="shared" ref="AS46:BW46" si="33">SUMIF($A:$A, "01/01/2024",$F:$F )</f>
        <v>0</v>
      </c>
      <c r="AT46" s="3">
        <f t="shared" si="33"/>
        <v>0</v>
      </c>
      <c r="AU46" s="3">
        <f t="shared" si="33"/>
        <v>0</v>
      </c>
      <c r="AV46" s="3">
        <f t="shared" si="33"/>
        <v>0</v>
      </c>
      <c r="AW46" s="3">
        <f t="shared" si="33"/>
        <v>0</v>
      </c>
      <c r="AX46" s="3">
        <f t="shared" si="33"/>
        <v>0</v>
      </c>
      <c r="AY46" s="3">
        <f t="shared" si="33"/>
        <v>0</v>
      </c>
      <c r="AZ46" s="3">
        <f t="shared" si="33"/>
        <v>0</v>
      </c>
      <c r="BA46" s="3">
        <f t="shared" si="33"/>
        <v>0</v>
      </c>
      <c r="BB46" s="3">
        <f t="shared" si="33"/>
        <v>0</v>
      </c>
      <c r="BC46" s="3">
        <f t="shared" si="33"/>
        <v>0</v>
      </c>
      <c r="BD46" s="3">
        <f t="shared" si="33"/>
        <v>0</v>
      </c>
      <c r="BE46" s="3">
        <f t="shared" si="33"/>
        <v>0</v>
      </c>
      <c r="BF46" s="3">
        <f t="shared" si="33"/>
        <v>0</v>
      </c>
      <c r="BG46" s="3">
        <f t="shared" si="33"/>
        <v>0</v>
      </c>
      <c r="BH46" s="3">
        <f t="shared" si="33"/>
        <v>0</v>
      </c>
      <c r="BI46" s="3">
        <f t="shared" si="33"/>
        <v>0</v>
      </c>
      <c r="BJ46" s="3">
        <f t="shared" si="33"/>
        <v>0</v>
      </c>
      <c r="BK46" s="3">
        <f t="shared" si="33"/>
        <v>0</v>
      </c>
      <c r="BL46" s="3">
        <f t="shared" si="33"/>
        <v>0</v>
      </c>
      <c r="BM46" s="3">
        <f t="shared" si="33"/>
        <v>0</v>
      </c>
      <c r="BN46" s="3">
        <f t="shared" si="33"/>
        <v>0</v>
      </c>
      <c r="BO46" s="3">
        <f t="shared" si="33"/>
        <v>0</v>
      </c>
      <c r="BP46" s="3">
        <f t="shared" si="33"/>
        <v>0</v>
      </c>
      <c r="BQ46" s="3">
        <f t="shared" si="33"/>
        <v>0</v>
      </c>
      <c r="BR46" s="3">
        <f t="shared" si="33"/>
        <v>0</v>
      </c>
      <c r="BS46" s="3">
        <f t="shared" si="33"/>
        <v>0</v>
      </c>
      <c r="BT46" s="3">
        <f t="shared" si="33"/>
        <v>0</v>
      </c>
      <c r="BU46" s="3">
        <f t="shared" si="33"/>
        <v>0</v>
      </c>
      <c r="BV46" s="3">
        <f t="shared" si="33"/>
        <v>0</v>
      </c>
      <c r="BW46" s="3">
        <f t="shared" si="33"/>
        <v>0</v>
      </c>
      <c r="BY46" s="3">
        <f>(M46-AS46)</f>
        <v>0</v>
      </c>
      <c r="BZ46" s="3">
        <f t="shared" ref="BZ46:DC46" si="34">SUMIF($A:$A, "01/01/2024",$F:$F )</f>
        <v>0</v>
      </c>
      <c r="CA46" s="3">
        <f t="shared" si="34"/>
        <v>0</v>
      </c>
      <c r="CB46" s="3">
        <f t="shared" si="34"/>
        <v>0</v>
      </c>
      <c r="CC46" s="3">
        <f t="shared" si="34"/>
        <v>0</v>
      </c>
      <c r="CD46" s="3">
        <f t="shared" si="34"/>
        <v>0</v>
      </c>
      <c r="CE46" s="3">
        <f t="shared" si="34"/>
        <v>0</v>
      </c>
      <c r="CF46" s="3">
        <f t="shared" si="34"/>
        <v>0</v>
      </c>
      <c r="CG46" s="3">
        <f t="shared" si="34"/>
        <v>0</v>
      </c>
      <c r="CH46" s="3">
        <f t="shared" si="34"/>
        <v>0</v>
      </c>
      <c r="CI46" s="3">
        <f t="shared" si="34"/>
        <v>0</v>
      </c>
      <c r="CJ46" s="3">
        <f t="shared" si="34"/>
        <v>0</v>
      </c>
      <c r="CK46" s="3">
        <f t="shared" si="34"/>
        <v>0</v>
      </c>
      <c r="CL46" s="3">
        <f t="shared" si="34"/>
        <v>0</v>
      </c>
      <c r="CM46" s="3">
        <f t="shared" si="34"/>
        <v>0</v>
      </c>
      <c r="CN46" s="3">
        <f t="shared" si="34"/>
        <v>0</v>
      </c>
      <c r="CO46" s="3">
        <f t="shared" si="34"/>
        <v>0</v>
      </c>
      <c r="CP46" s="3">
        <f t="shared" si="34"/>
        <v>0</v>
      </c>
      <c r="CQ46" s="3">
        <f t="shared" si="34"/>
        <v>0</v>
      </c>
      <c r="CR46" s="3">
        <f t="shared" si="34"/>
        <v>0</v>
      </c>
      <c r="CS46" s="3">
        <f t="shared" si="34"/>
        <v>0</v>
      </c>
      <c r="CT46" s="3">
        <f t="shared" si="34"/>
        <v>0</v>
      </c>
      <c r="CU46" s="3">
        <f t="shared" si="34"/>
        <v>0</v>
      </c>
      <c r="CV46" s="3">
        <f t="shared" si="34"/>
        <v>0</v>
      </c>
      <c r="CW46" s="3">
        <f t="shared" si="34"/>
        <v>0</v>
      </c>
      <c r="CX46" s="3">
        <f t="shared" si="34"/>
        <v>0</v>
      </c>
      <c r="CY46" s="3">
        <f t="shared" si="34"/>
        <v>0</v>
      </c>
      <c r="CZ46" s="3">
        <f t="shared" si="34"/>
        <v>0</v>
      </c>
      <c r="DA46" s="3">
        <f t="shared" si="34"/>
        <v>0</v>
      </c>
      <c r="DB46" s="3">
        <f t="shared" si="34"/>
        <v>0</v>
      </c>
      <c r="DC46" s="3">
        <f t="shared" si="34"/>
        <v>0</v>
      </c>
      <c r="DE46" s="3">
        <f t="shared" ref="DE46:EI46" si="35">SUMIF($A:$A, "01/01/2024",$F:$F )</f>
        <v>0</v>
      </c>
      <c r="DF46" s="3">
        <f t="shared" si="35"/>
        <v>0</v>
      </c>
      <c r="DG46" s="3">
        <f t="shared" si="35"/>
        <v>0</v>
      </c>
      <c r="DH46" s="3">
        <f t="shared" si="35"/>
        <v>0</v>
      </c>
      <c r="DI46" s="3">
        <f t="shared" si="35"/>
        <v>0</v>
      </c>
      <c r="DJ46" s="3">
        <f t="shared" si="35"/>
        <v>0</v>
      </c>
      <c r="DK46" s="3">
        <f t="shared" si="35"/>
        <v>0</v>
      </c>
      <c r="DL46" s="3">
        <f t="shared" si="35"/>
        <v>0</v>
      </c>
      <c r="DM46" s="3">
        <f t="shared" si="35"/>
        <v>0</v>
      </c>
      <c r="DN46" s="3">
        <f t="shared" si="35"/>
        <v>0</v>
      </c>
      <c r="DO46" s="3">
        <f t="shared" si="35"/>
        <v>0</v>
      </c>
      <c r="DP46" s="3">
        <f t="shared" si="35"/>
        <v>0</v>
      </c>
      <c r="DQ46" s="3">
        <f t="shared" si="35"/>
        <v>0</v>
      </c>
      <c r="DR46" s="3">
        <f t="shared" si="35"/>
        <v>0</v>
      </c>
      <c r="DS46" s="3">
        <f t="shared" si="35"/>
        <v>0</v>
      </c>
      <c r="DT46" s="3">
        <f t="shared" si="35"/>
        <v>0</v>
      </c>
      <c r="DU46" s="3">
        <f t="shared" si="35"/>
        <v>0</v>
      </c>
      <c r="DV46" s="3">
        <f t="shared" si="35"/>
        <v>0</v>
      </c>
      <c r="DW46" s="3">
        <f t="shared" si="35"/>
        <v>0</v>
      </c>
      <c r="DX46" s="3">
        <f t="shared" si="35"/>
        <v>0</v>
      </c>
      <c r="DY46" s="3">
        <f t="shared" si="35"/>
        <v>0</v>
      </c>
      <c r="DZ46" s="3">
        <f t="shared" si="35"/>
        <v>0</v>
      </c>
      <c r="EA46" s="3">
        <f t="shared" si="35"/>
        <v>0</v>
      </c>
      <c r="EB46" s="3">
        <f t="shared" si="35"/>
        <v>0</v>
      </c>
      <c r="EC46" s="3">
        <f t="shared" si="35"/>
        <v>0</v>
      </c>
      <c r="ED46" s="3">
        <f t="shared" si="35"/>
        <v>0</v>
      </c>
      <c r="EE46" s="3">
        <f t="shared" si="35"/>
        <v>0</v>
      </c>
      <c r="EF46" s="3">
        <f t="shared" si="35"/>
        <v>0</v>
      </c>
      <c r="EG46" s="3">
        <f t="shared" si="35"/>
        <v>0</v>
      </c>
      <c r="EH46" s="3">
        <f t="shared" si="35"/>
        <v>0</v>
      </c>
      <c r="EI46" s="3">
        <f t="shared" si="35"/>
        <v>0</v>
      </c>
      <c r="EM46" s="1" t="e">
        <f>(#REF!)</f>
        <v>#REF!</v>
      </c>
      <c r="EN46" s="9" t="e">
        <f>(#REF!)</f>
        <v>#REF!</v>
      </c>
      <c r="EO46" s="9" t="e">
        <f>(#REF!)</f>
        <v>#REF!</v>
      </c>
      <c r="EP46" s="9" t="e">
        <f>(#REF!)</f>
        <v>#REF!</v>
      </c>
      <c r="EQ46" s="1"/>
      <c r="ER46" s="1"/>
      <c r="ES46" s="10" t="s">
        <v>48</v>
      </c>
      <c r="ET46" s="10">
        <v>50000</v>
      </c>
      <c r="EU46" s="1"/>
      <c r="EV46" s="1"/>
      <c r="EW46" s="1"/>
      <c r="EX46" s="1"/>
      <c r="EY46" s="1"/>
    </row>
    <row r="47" spans="1:155" ht="18" customHeight="1" x14ac:dyDescent="0.3">
      <c r="A47" s="32" t="str">
        <f>(SALES!$A:$A)</f>
        <v>Wednesday, 3 January 2024</v>
      </c>
      <c r="B47" s="1">
        <f>(SALES!$C:$C)</f>
        <v>28</v>
      </c>
      <c r="C47" s="1">
        <f>(SALES!$D:$D)</f>
        <v>2</v>
      </c>
      <c r="D47" s="1" t="str">
        <f>(SALES!$E:$E)</f>
        <v>PLAIN YOGHURT</v>
      </c>
      <c r="E47" s="1">
        <f>(SALES!$F:$F)</f>
        <v>4000</v>
      </c>
      <c r="F47" s="1">
        <f>(SALES!$G:$G)</f>
        <v>8000</v>
      </c>
      <c r="H47" s="2">
        <f>(EXPENSES!$A:$A)</f>
        <v>45298</v>
      </c>
      <c r="I47" s="10">
        <f>(EXPENSES!$B:$B)</f>
        <v>2</v>
      </c>
      <c r="J47" s="10" t="str">
        <f>(EXPENSES!$C:$C)</f>
        <v xml:space="preserve">PAID ASHIRAF </v>
      </c>
      <c r="K47" s="10">
        <f>(EXPENSES!$D:$D)</f>
        <v>100000</v>
      </c>
      <c r="EJ47" s="12"/>
      <c r="EK47" s="12"/>
      <c r="EM47" s="1" t="e">
        <f>(#REF!)</f>
        <v>#REF!</v>
      </c>
      <c r="EN47" s="9" t="e">
        <f>(#REF!)</f>
        <v>#REF!</v>
      </c>
      <c r="EO47" s="9" t="e">
        <f>(#REF!)</f>
        <v>#REF!</v>
      </c>
      <c r="EP47" s="9" t="e">
        <f>(#REF!)</f>
        <v>#REF!</v>
      </c>
      <c r="ES47" s="20" t="s">
        <v>49</v>
      </c>
      <c r="ET47" s="10">
        <f>IF($D:$D="MATOOKE KGS", 1500, IF($D:$D="SAUSAGES", 30000, IF($D:$D="MARINATED CHICKEN", 25000, IF($D:$D="MARINATED GOAT LEG", 28000, IF($D:$D="TOMATOES", 3000,  IF($D:$D="CHICKEN", 30000, IF($D:$D="LOCAL EGGS", 25000,  IF($D:$D="IRISH", 3000, IF($D:$D="MILK", 2000, IF($D:$D="ONIONS", 6000, IF($D:$D="YELLOW YOLK EGGS", 20000, IF($D:$D="AVOCADO", 1000, IF($D:$D="BEEF", 16000, IF($D:$D="PLAIN YOGHURT", 4000, IF($D:$D="DOG MEAT", 4000, IF($D:$D="GOAT", 19000, ""))))))))))))))))</f>
        <v>4000</v>
      </c>
    </row>
    <row r="48" spans="1:155" ht="18" customHeight="1" x14ac:dyDescent="0.3">
      <c r="A48" s="32" t="str">
        <f>(SALES!$A:$A)</f>
        <v>Wednesday, 3 January 2024</v>
      </c>
      <c r="B48" s="1">
        <f>(SALES!$C:$C)</f>
        <v>29</v>
      </c>
      <c r="C48" s="1">
        <f>(SALES!$D:$D)</f>
        <v>1</v>
      </c>
      <c r="D48" s="1" t="str">
        <f>(SALES!$E:$E)</f>
        <v>GOAT LEG</v>
      </c>
      <c r="E48" s="1">
        <f>(SALES!$F:$F)</f>
        <v>22000</v>
      </c>
      <c r="F48" s="1">
        <f>(SALES!$G:$G)</f>
        <v>22000</v>
      </c>
      <c r="H48" s="2">
        <f>(EXPENSES!$A:$A)</f>
        <v>45299</v>
      </c>
      <c r="I48" s="10">
        <f>(EXPENSES!$B:$B)</f>
        <v>4</v>
      </c>
      <c r="J48" s="10" t="str">
        <f>(EXPENSES!$C:$C)</f>
        <v>BOUGHT SALT</v>
      </c>
      <c r="K48" s="10">
        <f>(EXPENSES!$D:$D)</f>
        <v>1000</v>
      </c>
      <c r="M48" s="47" t="s">
        <v>50</v>
      </c>
      <c r="N48" s="48"/>
      <c r="O48" s="48"/>
      <c r="P48" s="48"/>
      <c r="Q48" s="48"/>
      <c r="R48" s="48"/>
      <c r="S48" s="48"/>
      <c r="T48" s="48"/>
      <c r="U48" s="48"/>
      <c r="V48" s="48"/>
      <c r="W48" s="48"/>
      <c r="X48" s="48"/>
      <c r="Y48" s="48"/>
      <c r="Z48" s="48"/>
      <c r="AA48" s="48"/>
      <c r="AB48" s="48"/>
      <c r="AC48" s="48"/>
      <c r="AD48" s="48"/>
      <c r="AE48" s="48"/>
      <c r="AF48" s="48"/>
      <c r="AG48" s="48"/>
      <c r="AH48" s="48"/>
      <c r="AI48" s="48"/>
      <c r="AJ48" s="48"/>
      <c r="AK48" s="48"/>
      <c r="AL48" s="48"/>
      <c r="AM48" s="48"/>
      <c r="AN48" s="48"/>
      <c r="AO48" s="48"/>
      <c r="AP48" s="48"/>
      <c r="AQ48" s="49"/>
      <c r="AS48" s="47" t="s">
        <v>50</v>
      </c>
      <c r="AT48" s="48"/>
      <c r="AU48" s="48"/>
      <c r="AV48" s="48"/>
      <c r="AW48" s="48"/>
      <c r="AX48" s="48"/>
      <c r="AY48" s="48"/>
      <c r="AZ48" s="48"/>
      <c r="BA48" s="48"/>
      <c r="BB48" s="48"/>
      <c r="BC48" s="48"/>
      <c r="BD48" s="48"/>
      <c r="BE48" s="48"/>
      <c r="BF48" s="48"/>
      <c r="BG48" s="48"/>
      <c r="BH48" s="48"/>
      <c r="BI48" s="48"/>
      <c r="BJ48" s="48"/>
      <c r="BK48" s="48"/>
      <c r="BL48" s="48"/>
      <c r="BM48" s="48"/>
      <c r="BN48" s="48"/>
      <c r="BO48" s="48"/>
      <c r="BP48" s="48"/>
      <c r="BQ48" s="48"/>
      <c r="BR48" s="48"/>
      <c r="BS48" s="48"/>
      <c r="BT48" s="48"/>
      <c r="BU48" s="48"/>
      <c r="BV48" s="48"/>
      <c r="BW48" s="49"/>
      <c r="BY48" s="47" t="s">
        <v>50</v>
      </c>
      <c r="BZ48" s="48"/>
      <c r="CA48" s="48"/>
      <c r="CB48" s="48"/>
      <c r="CC48" s="48"/>
      <c r="CD48" s="48"/>
      <c r="CE48" s="48"/>
      <c r="CF48" s="48"/>
      <c r="CG48" s="48"/>
      <c r="CH48" s="48"/>
      <c r="CI48" s="48"/>
      <c r="CJ48" s="48"/>
      <c r="CK48" s="48"/>
      <c r="CL48" s="48"/>
      <c r="CM48" s="48"/>
      <c r="CN48" s="48"/>
      <c r="CO48" s="48"/>
      <c r="CP48" s="48"/>
      <c r="CQ48" s="48"/>
      <c r="CR48" s="48"/>
      <c r="CS48" s="48"/>
      <c r="CT48" s="48"/>
      <c r="CU48" s="48"/>
      <c r="CV48" s="48"/>
      <c r="CW48" s="48"/>
      <c r="CX48" s="48"/>
      <c r="CY48" s="48"/>
      <c r="CZ48" s="48"/>
      <c r="DA48" s="48"/>
      <c r="DB48" s="48"/>
      <c r="DC48" s="49"/>
      <c r="DE48" s="47" t="s">
        <v>50</v>
      </c>
      <c r="DF48" s="48"/>
      <c r="DG48" s="48"/>
      <c r="DH48" s="48"/>
      <c r="DI48" s="48"/>
      <c r="DJ48" s="48"/>
      <c r="DK48" s="48"/>
      <c r="DL48" s="48"/>
      <c r="DM48" s="48"/>
      <c r="DN48" s="48"/>
      <c r="DO48" s="48"/>
      <c r="DP48" s="48"/>
      <c r="DQ48" s="48"/>
      <c r="DR48" s="48"/>
      <c r="DS48" s="48"/>
      <c r="DT48" s="48"/>
      <c r="DU48" s="48"/>
      <c r="DV48" s="48"/>
      <c r="DW48" s="48"/>
      <c r="DX48" s="48"/>
      <c r="DY48" s="48"/>
      <c r="DZ48" s="48"/>
      <c r="EA48" s="48"/>
      <c r="EB48" s="48"/>
      <c r="EC48" s="48"/>
      <c r="ED48" s="48"/>
      <c r="EE48" s="48"/>
      <c r="EF48" s="48"/>
      <c r="EG48" s="48"/>
      <c r="EH48" s="48"/>
      <c r="EI48" s="49"/>
      <c r="EJ48" s="3"/>
      <c r="EK48" s="3"/>
      <c r="EM48" s="1" t="e">
        <f>(#REF!)</f>
        <v>#REF!</v>
      </c>
      <c r="EN48" s="9" t="e">
        <f>(#REF!)</f>
        <v>#REF!</v>
      </c>
      <c r="EO48" s="9" t="e">
        <f>(#REF!)</f>
        <v>#REF!</v>
      </c>
      <c r="EP48" s="9" t="e">
        <f>(#REF!)</f>
        <v>#REF!</v>
      </c>
      <c r="ES48" s="12" t="s">
        <v>51</v>
      </c>
      <c r="ET48" s="12">
        <v>28000</v>
      </c>
    </row>
    <row r="49" spans="1:150" ht="18" customHeight="1" x14ac:dyDescent="0.3">
      <c r="A49" s="32" t="str">
        <f>(SALES!$A:$A)</f>
        <v>Wednesday, 3 January 2024</v>
      </c>
      <c r="B49" s="1">
        <f>(SALES!$C:$C)</f>
        <v>1</v>
      </c>
      <c r="C49" s="1">
        <f>(SALES!$D:$D)</f>
        <v>4</v>
      </c>
      <c r="D49" s="1" t="str">
        <f>(SALES!$E:$E)</f>
        <v>MATOOKE</v>
      </c>
      <c r="E49" s="1">
        <f>(SALES!$F:$F)</f>
        <v>10000</v>
      </c>
      <c r="F49" s="1">
        <f>(SALES!$G:$G)</f>
        <v>40000</v>
      </c>
      <c r="H49" s="2">
        <f>(EXPENSES!$A:$A)</f>
        <v>45299</v>
      </c>
      <c r="I49" s="10">
        <f>(EXPENSES!$B:$B)</f>
        <v>3</v>
      </c>
      <c r="J49" s="10" t="str">
        <f>(EXPENSES!$C:$C)</f>
        <v xml:space="preserve">BOUGHT ONIONS </v>
      </c>
      <c r="K49" s="10">
        <f>(EXPENSES!$D:$D)</f>
        <v>3000</v>
      </c>
      <c r="M49" s="3" t="e">
        <f>TEXT(WEEKDAY(DATE(CalendarYear,10,1),1),"aaa")</f>
        <v>#REF!</v>
      </c>
      <c r="N49" s="3" t="e">
        <f>TEXT(WEEKDAY(DATE(CalendarYear,10,2),1),"aaa")</f>
        <v>#REF!</v>
      </c>
      <c r="O49" s="3" t="e">
        <f>TEXT(WEEKDAY(DATE(CalendarYear,10,3),1),"aaa")</f>
        <v>#REF!</v>
      </c>
      <c r="P49" s="3" t="e">
        <f>TEXT(WEEKDAY(DATE(CalendarYear,10,4),1),"aaa")</f>
        <v>#REF!</v>
      </c>
      <c r="Q49" s="3" t="e">
        <f>TEXT(WEEKDAY(DATE(CalendarYear,10,5),1),"aaa")</f>
        <v>#REF!</v>
      </c>
      <c r="R49" s="3" t="e">
        <f>TEXT(WEEKDAY(DATE(CalendarYear,10,6),1),"aaa")</f>
        <v>#REF!</v>
      </c>
      <c r="S49" s="3" t="e">
        <f>TEXT(WEEKDAY(DATE(CalendarYear,10,7),1),"aaa")</f>
        <v>#REF!</v>
      </c>
      <c r="T49" s="3" t="e">
        <f>TEXT(WEEKDAY(DATE(CalendarYear,10,8),1),"aaa")</f>
        <v>#REF!</v>
      </c>
      <c r="U49" s="3" t="e">
        <f>TEXT(WEEKDAY(DATE(CalendarYear,10,9),1),"aaa")</f>
        <v>#REF!</v>
      </c>
      <c r="V49" s="3" t="e">
        <f>TEXT(WEEKDAY(DATE(CalendarYear,10,10),1),"aaa")</f>
        <v>#REF!</v>
      </c>
      <c r="W49" s="3" t="e">
        <f>TEXT(WEEKDAY(DATE(CalendarYear,10,11),1),"aaa")</f>
        <v>#REF!</v>
      </c>
      <c r="X49" s="3" t="e">
        <f>TEXT(WEEKDAY(DATE(CalendarYear,10,12),1),"aaa")</f>
        <v>#REF!</v>
      </c>
      <c r="Y49" s="3" t="e">
        <f>TEXT(WEEKDAY(DATE(CalendarYear,10,13),1),"aaa")</f>
        <v>#REF!</v>
      </c>
      <c r="Z49" s="3" t="e">
        <f>TEXT(WEEKDAY(DATE(CalendarYear,10,14),1),"aaa")</f>
        <v>#REF!</v>
      </c>
      <c r="AA49" s="3" t="e">
        <f>TEXT(WEEKDAY(DATE(CalendarYear,10,15),1),"aaa")</f>
        <v>#REF!</v>
      </c>
      <c r="AB49" s="3" t="e">
        <f>TEXT(WEEKDAY(DATE(CalendarYear,10,16),1),"aaa")</f>
        <v>#REF!</v>
      </c>
      <c r="AC49" s="3" t="e">
        <f>TEXT(WEEKDAY(DATE(CalendarYear,10,17),1),"aaa")</f>
        <v>#REF!</v>
      </c>
      <c r="AD49" s="3" t="e">
        <f>TEXT(WEEKDAY(DATE(CalendarYear,10,18),1),"aaa")</f>
        <v>#REF!</v>
      </c>
      <c r="AE49" s="3" t="e">
        <f>TEXT(WEEKDAY(DATE(CalendarYear,10,19),1),"aaa")</f>
        <v>#REF!</v>
      </c>
      <c r="AF49" s="3" t="e">
        <f>TEXT(WEEKDAY(DATE(CalendarYear,10,20),1),"aaa")</f>
        <v>#REF!</v>
      </c>
      <c r="AG49" s="3" t="e">
        <f>TEXT(WEEKDAY(DATE(CalendarYear,10,21),1),"aaa")</f>
        <v>#REF!</v>
      </c>
      <c r="AH49" s="3" t="e">
        <f>TEXT(WEEKDAY(DATE(CalendarYear,10,22),1),"aaa")</f>
        <v>#REF!</v>
      </c>
      <c r="AI49" s="3" t="e">
        <f>TEXT(WEEKDAY(DATE(CalendarYear,10,23),1),"aaa")</f>
        <v>#REF!</v>
      </c>
      <c r="AJ49" s="3" t="e">
        <f>TEXT(WEEKDAY(DATE(CalendarYear,10,24),1),"aaa")</f>
        <v>#REF!</v>
      </c>
      <c r="AK49" s="3" t="e">
        <f>TEXT(WEEKDAY(DATE(CalendarYear,10,25),1),"aaa")</f>
        <v>#REF!</v>
      </c>
      <c r="AL49" s="3" t="e">
        <f>TEXT(WEEKDAY(DATE(CalendarYear,10,26),1),"aaa")</f>
        <v>#REF!</v>
      </c>
      <c r="AM49" s="3" t="e">
        <f>TEXT(WEEKDAY(DATE(CalendarYear,10,27),1),"aaa")</f>
        <v>#REF!</v>
      </c>
      <c r="AN49" s="3" t="e">
        <f>TEXT(WEEKDAY(DATE(CalendarYear,10,28),1),"aaa")</f>
        <v>#REF!</v>
      </c>
      <c r="AO49" s="3" t="e">
        <f>TEXT(WEEKDAY(DATE(CalendarYear,10,29),1),"aaa")</f>
        <v>#REF!</v>
      </c>
      <c r="AP49" s="3" t="e">
        <f>TEXT(WEEKDAY(DATE(CalendarYear,10,30),1),"aaa")</f>
        <v>#REF!</v>
      </c>
      <c r="AQ49" s="3" t="e">
        <f>TEXT(WEEKDAY(DATE(CalendarYear,10,31),1),"aaa")</f>
        <v>#REF!</v>
      </c>
      <c r="AS49" s="3" t="e">
        <f>TEXT(WEEKDAY(DATE(CalendarYear,10,1),1),"aaa")</f>
        <v>#REF!</v>
      </c>
      <c r="AT49" s="3" t="e">
        <f>TEXT(WEEKDAY(DATE(CalendarYear,10,2),1),"aaa")</f>
        <v>#REF!</v>
      </c>
      <c r="AU49" s="3" t="e">
        <f>TEXT(WEEKDAY(DATE(CalendarYear,10,3),1),"aaa")</f>
        <v>#REF!</v>
      </c>
      <c r="AV49" s="3" t="e">
        <f>TEXT(WEEKDAY(DATE(CalendarYear,10,4),1),"aaa")</f>
        <v>#REF!</v>
      </c>
      <c r="AW49" s="3" t="e">
        <f>TEXT(WEEKDAY(DATE(CalendarYear,10,5),1),"aaa")</f>
        <v>#REF!</v>
      </c>
      <c r="AX49" s="3" t="e">
        <f>TEXT(WEEKDAY(DATE(CalendarYear,10,6),1),"aaa")</f>
        <v>#REF!</v>
      </c>
      <c r="AY49" s="3" t="e">
        <f>TEXT(WEEKDAY(DATE(CalendarYear,10,7),1),"aaa")</f>
        <v>#REF!</v>
      </c>
      <c r="AZ49" s="3" t="e">
        <f>TEXT(WEEKDAY(DATE(CalendarYear,10,8),1),"aaa")</f>
        <v>#REF!</v>
      </c>
      <c r="BA49" s="3" t="e">
        <f>TEXT(WEEKDAY(DATE(CalendarYear,10,9),1),"aaa")</f>
        <v>#REF!</v>
      </c>
      <c r="BB49" s="3" t="e">
        <f>TEXT(WEEKDAY(DATE(CalendarYear,10,10),1),"aaa")</f>
        <v>#REF!</v>
      </c>
      <c r="BC49" s="3" t="e">
        <f>TEXT(WEEKDAY(DATE(CalendarYear,10,11),1),"aaa")</f>
        <v>#REF!</v>
      </c>
      <c r="BD49" s="3" t="e">
        <f>TEXT(WEEKDAY(DATE(CalendarYear,10,12),1),"aaa")</f>
        <v>#REF!</v>
      </c>
      <c r="BE49" s="3" t="e">
        <f>TEXT(WEEKDAY(DATE(CalendarYear,10,13),1),"aaa")</f>
        <v>#REF!</v>
      </c>
      <c r="BF49" s="3" t="e">
        <f>TEXT(WEEKDAY(DATE(CalendarYear,10,14),1),"aaa")</f>
        <v>#REF!</v>
      </c>
      <c r="BG49" s="3" t="e">
        <f>TEXT(WEEKDAY(DATE(CalendarYear,10,15),1),"aaa")</f>
        <v>#REF!</v>
      </c>
      <c r="BH49" s="3" t="e">
        <f>TEXT(WEEKDAY(DATE(CalendarYear,10,16),1),"aaa")</f>
        <v>#REF!</v>
      </c>
      <c r="BI49" s="3" t="e">
        <f>TEXT(WEEKDAY(DATE(CalendarYear,10,17),1),"aaa")</f>
        <v>#REF!</v>
      </c>
      <c r="BJ49" s="3" t="e">
        <f>TEXT(WEEKDAY(DATE(CalendarYear,10,18),1),"aaa")</f>
        <v>#REF!</v>
      </c>
      <c r="BK49" s="3" t="e">
        <f>TEXT(WEEKDAY(DATE(CalendarYear,10,19),1),"aaa")</f>
        <v>#REF!</v>
      </c>
      <c r="BL49" s="3" t="e">
        <f>TEXT(WEEKDAY(DATE(CalendarYear,10,20),1),"aaa")</f>
        <v>#REF!</v>
      </c>
      <c r="BM49" s="3" t="e">
        <f>TEXT(WEEKDAY(DATE(CalendarYear,10,21),1),"aaa")</f>
        <v>#REF!</v>
      </c>
      <c r="BN49" s="3" t="e">
        <f>TEXT(WEEKDAY(DATE(CalendarYear,10,22),1),"aaa")</f>
        <v>#REF!</v>
      </c>
      <c r="BO49" s="3" t="e">
        <f>TEXT(WEEKDAY(DATE(CalendarYear,10,23),1),"aaa")</f>
        <v>#REF!</v>
      </c>
      <c r="BP49" s="3" t="e">
        <f>TEXT(WEEKDAY(DATE(CalendarYear,10,24),1),"aaa")</f>
        <v>#REF!</v>
      </c>
      <c r="BQ49" s="3" t="e">
        <f>TEXT(WEEKDAY(DATE(CalendarYear,10,25),1),"aaa")</f>
        <v>#REF!</v>
      </c>
      <c r="BR49" s="3" t="e">
        <f>TEXT(WEEKDAY(DATE(CalendarYear,10,26),1),"aaa")</f>
        <v>#REF!</v>
      </c>
      <c r="BS49" s="3" t="e">
        <f>TEXT(WEEKDAY(DATE(CalendarYear,10,27),1),"aaa")</f>
        <v>#REF!</v>
      </c>
      <c r="BT49" s="3" t="e">
        <f>TEXT(WEEKDAY(DATE(CalendarYear,10,28),1),"aaa")</f>
        <v>#REF!</v>
      </c>
      <c r="BU49" s="3" t="e">
        <f>TEXT(WEEKDAY(DATE(CalendarYear,10,29),1),"aaa")</f>
        <v>#REF!</v>
      </c>
      <c r="BV49" s="3" t="e">
        <f>TEXT(WEEKDAY(DATE(CalendarYear,10,30),1),"aaa")</f>
        <v>#REF!</v>
      </c>
      <c r="BW49" s="3" t="e">
        <f>TEXT(WEEKDAY(DATE(CalendarYear,10,31),1),"aaa")</f>
        <v>#REF!</v>
      </c>
      <c r="BY49" s="3" t="e">
        <f>TEXT(WEEKDAY(DATE(CalendarYear,10,1),1),"aaa")</f>
        <v>#REF!</v>
      </c>
      <c r="BZ49" s="3" t="e">
        <f>TEXT(WEEKDAY(DATE(CalendarYear,10,2),1),"aaa")</f>
        <v>#REF!</v>
      </c>
      <c r="CA49" s="3" t="e">
        <f>TEXT(WEEKDAY(DATE(CalendarYear,10,3),1),"aaa")</f>
        <v>#REF!</v>
      </c>
      <c r="CB49" s="3" t="e">
        <f>TEXT(WEEKDAY(DATE(CalendarYear,10,4),1),"aaa")</f>
        <v>#REF!</v>
      </c>
      <c r="CC49" s="3" t="e">
        <f>TEXT(WEEKDAY(DATE(CalendarYear,10,5),1),"aaa")</f>
        <v>#REF!</v>
      </c>
      <c r="CD49" s="3" t="e">
        <f>TEXT(WEEKDAY(DATE(CalendarYear,10,6),1),"aaa")</f>
        <v>#REF!</v>
      </c>
      <c r="CE49" s="3" t="e">
        <f>TEXT(WEEKDAY(DATE(CalendarYear,10,7),1),"aaa")</f>
        <v>#REF!</v>
      </c>
      <c r="CF49" s="3" t="e">
        <f>TEXT(WEEKDAY(DATE(CalendarYear,10,8),1),"aaa")</f>
        <v>#REF!</v>
      </c>
      <c r="CG49" s="3" t="e">
        <f>TEXT(WEEKDAY(DATE(CalendarYear,10,9),1),"aaa")</f>
        <v>#REF!</v>
      </c>
      <c r="CH49" s="3" t="e">
        <f>TEXT(WEEKDAY(DATE(CalendarYear,10,10),1),"aaa")</f>
        <v>#REF!</v>
      </c>
      <c r="CI49" s="3" t="e">
        <f>TEXT(WEEKDAY(DATE(CalendarYear,10,11),1),"aaa")</f>
        <v>#REF!</v>
      </c>
      <c r="CJ49" s="3" t="e">
        <f>TEXT(WEEKDAY(DATE(CalendarYear,10,12),1),"aaa")</f>
        <v>#REF!</v>
      </c>
      <c r="CK49" s="3" t="e">
        <f>TEXT(WEEKDAY(DATE(CalendarYear,10,13),1),"aaa")</f>
        <v>#REF!</v>
      </c>
      <c r="CL49" s="3" t="e">
        <f>TEXT(WEEKDAY(DATE(CalendarYear,10,14),1),"aaa")</f>
        <v>#REF!</v>
      </c>
      <c r="CM49" s="3" t="e">
        <f>TEXT(WEEKDAY(DATE(CalendarYear,10,15),1),"aaa")</f>
        <v>#REF!</v>
      </c>
      <c r="CN49" s="3" t="e">
        <f>TEXT(WEEKDAY(DATE(CalendarYear,10,16),1),"aaa")</f>
        <v>#REF!</v>
      </c>
      <c r="CO49" s="3" t="e">
        <f>TEXT(WEEKDAY(DATE(CalendarYear,10,17),1),"aaa")</f>
        <v>#REF!</v>
      </c>
      <c r="CP49" s="3" t="e">
        <f>TEXT(WEEKDAY(DATE(CalendarYear,10,18),1),"aaa")</f>
        <v>#REF!</v>
      </c>
      <c r="CQ49" s="3" t="e">
        <f>TEXT(WEEKDAY(DATE(CalendarYear,10,19),1),"aaa")</f>
        <v>#REF!</v>
      </c>
      <c r="CR49" s="3" t="e">
        <f>TEXT(WEEKDAY(DATE(CalendarYear,10,20),1),"aaa")</f>
        <v>#REF!</v>
      </c>
      <c r="CS49" s="3" t="e">
        <f>TEXT(WEEKDAY(DATE(CalendarYear,10,21),1),"aaa")</f>
        <v>#REF!</v>
      </c>
      <c r="CT49" s="3" t="e">
        <f>TEXT(WEEKDAY(DATE(CalendarYear,10,22),1),"aaa")</f>
        <v>#REF!</v>
      </c>
      <c r="CU49" s="3" t="e">
        <f>TEXT(WEEKDAY(DATE(CalendarYear,10,23),1),"aaa")</f>
        <v>#REF!</v>
      </c>
      <c r="CV49" s="3" t="e">
        <f>TEXT(WEEKDAY(DATE(CalendarYear,10,24),1),"aaa")</f>
        <v>#REF!</v>
      </c>
      <c r="CW49" s="3" t="e">
        <f>TEXT(WEEKDAY(DATE(CalendarYear,10,25),1),"aaa")</f>
        <v>#REF!</v>
      </c>
      <c r="CX49" s="3" t="e">
        <f>TEXT(WEEKDAY(DATE(CalendarYear,10,26),1),"aaa")</f>
        <v>#REF!</v>
      </c>
      <c r="CY49" s="3" t="e">
        <f>TEXT(WEEKDAY(DATE(CalendarYear,10,27),1),"aaa")</f>
        <v>#REF!</v>
      </c>
      <c r="CZ49" s="3" t="e">
        <f>TEXT(WEEKDAY(DATE(CalendarYear,10,28),1),"aaa")</f>
        <v>#REF!</v>
      </c>
      <c r="DA49" s="3" t="e">
        <f>TEXT(WEEKDAY(DATE(CalendarYear,10,29),1),"aaa")</f>
        <v>#REF!</v>
      </c>
      <c r="DB49" s="3" t="e">
        <f>TEXT(WEEKDAY(DATE(CalendarYear,10,30),1),"aaa")</f>
        <v>#REF!</v>
      </c>
      <c r="DC49" s="3" t="e">
        <f>TEXT(WEEKDAY(DATE(CalendarYear,10,31),1),"aaa")</f>
        <v>#REF!</v>
      </c>
      <c r="DE49" s="3" t="e">
        <f>TEXT(WEEKDAY(DATE(CalendarYear,10,1),1),"aaa")</f>
        <v>#REF!</v>
      </c>
      <c r="DF49" s="3" t="e">
        <f>TEXT(WEEKDAY(DATE(CalendarYear,10,2),1),"aaa")</f>
        <v>#REF!</v>
      </c>
      <c r="DG49" s="3" t="e">
        <f>TEXT(WEEKDAY(DATE(CalendarYear,10,3),1),"aaa")</f>
        <v>#REF!</v>
      </c>
      <c r="DH49" s="3" t="e">
        <f>TEXT(WEEKDAY(DATE(CalendarYear,10,4),1),"aaa")</f>
        <v>#REF!</v>
      </c>
      <c r="DI49" s="3" t="e">
        <f>TEXT(WEEKDAY(DATE(CalendarYear,10,5),1),"aaa")</f>
        <v>#REF!</v>
      </c>
      <c r="DJ49" s="3" t="e">
        <f>TEXT(WEEKDAY(DATE(CalendarYear,10,6),1),"aaa")</f>
        <v>#REF!</v>
      </c>
      <c r="DK49" s="3" t="e">
        <f>TEXT(WEEKDAY(DATE(CalendarYear,10,7),1),"aaa")</f>
        <v>#REF!</v>
      </c>
      <c r="DL49" s="3" t="e">
        <f>TEXT(WEEKDAY(DATE(CalendarYear,10,8),1),"aaa")</f>
        <v>#REF!</v>
      </c>
      <c r="DM49" s="3" t="e">
        <f>TEXT(WEEKDAY(DATE(CalendarYear,10,9),1),"aaa")</f>
        <v>#REF!</v>
      </c>
      <c r="DN49" s="3" t="e">
        <f>TEXT(WEEKDAY(DATE(CalendarYear,10,10),1),"aaa")</f>
        <v>#REF!</v>
      </c>
      <c r="DO49" s="3" t="e">
        <f>TEXT(WEEKDAY(DATE(CalendarYear,10,11),1),"aaa")</f>
        <v>#REF!</v>
      </c>
      <c r="DP49" s="3" t="e">
        <f>TEXT(WEEKDAY(DATE(CalendarYear,10,12),1),"aaa")</f>
        <v>#REF!</v>
      </c>
      <c r="DQ49" s="3" t="e">
        <f>TEXT(WEEKDAY(DATE(CalendarYear,10,13),1),"aaa")</f>
        <v>#REF!</v>
      </c>
      <c r="DR49" s="3" t="e">
        <f>TEXT(WEEKDAY(DATE(CalendarYear,10,14),1),"aaa")</f>
        <v>#REF!</v>
      </c>
      <c r="DS49" s="3" t="e">
        <f>TEXT(WEEKDAY(DATE(CalendarYear,10,15),1),"aaa")</f>
        <v>#REF!</v>
      </c>
      <c r="DT49" s="3" t="e">
        <f>TEXT(WEEKDAY(DATE(CalendarYear,10,16),1),"aaa")</f>
        <v>#REF!</v>
      </c>
      <c r="DU49" s="3" t="e">
        <f>TEXT(WEEKDAY(DATE(CalendarYear,10,17),1),"aaa")</f>
        <v>#REF!</v>
      </c>
      <c r="DV49" s="3" t="e">
        <f>TEXT(WEEKDAY(DATE(CalendarYear,10,18),1),"aaa")</f>
        <v>#REF!</v>
      </c>
      <c r="DW49" s="3" t="e">
        <f>TEXT(WEEKDAY(DATE(CalendarYear,10,19),1),"aaa")</f>
        <v>#REF!</v>
      </c>
      <c r="DX49" s="3" t="e">
        <f>TEXT(WEEKDAY(DATE(CalendarYear,10,20),1),"aaa")</f>
        <v>#REF!</v>
      </c>
      <c r="DY49" s="3" t="e">
        <f>TEXT(WEEKDAY(DATE(CalendarYear,10,21),1),"aaa")</f>
        <v>#REF!</v>
      </c>
      <c r="DZ49" s="3" t="e">
        <f>TEXT(WEEKDAY(DATE(CalendarYear,10,22),1),"aaa")</f>
        <v>#REF!</v>
      </c>
      <c r="EA49" s="3" t="e">
        <f>TEXT(WEEKDAY(DATE(CalendarYear,10,23),1),"aaa")</f>
        <v>#REF!</v>
      </c>
      <c r="EB49" s="3" t="e">
        <f>TEXT(WEEKDAY(DATE(CalendarYear,10,24),1),"aaa")</f>
        <v>#REF!</v>
      </c>
      <c r="EC49" s="3" t="e">
        <f>TEXT(WEEKDAY(DATE(CalendarYear,10,25),1),"aaa")</f>
        <v>#REF!</v>
      </c>
      <c r="ED49" s="3" t="e">
        <f>TEXT(WEEKDAY(DATE(CalendarYear,10,26),1),"aaa")</f>
        <v>#REF!</v>
      </c>
      <c r="EE49" s="3" t="e">
        <f>TEXT(WEEKDAY(DATE(CalendarYear,10,27),1),"aaa")</f>
        <v>#REF!</v>
      </c>
      <c r="EF49" s="3" t="e">
        <f>TEXT(WEEKDAY(DATE(CalendarYear,10,28),1),"aaa")</f>
        <v>#REF!</v>
      </c>
      <c r="EG49" s="3" t="e">
        <f>TEXT(WEEKDAY(DATE(CalendarYear,10,29),1),"aaa")</f>
        <v>#REF!</v>
      </c>
      <c r="EH49" s="3" t="e">
        <f>TEXT(WEEKDAY(DATE(CalendarYear,10,30),1),"aaa")</f>
        <v>#REF!</v>
      </c>
      <c r="EI49" s="3" t="e">
        <f>TEXT(WEEKDAY(DATE(CalendarYear,10,31),1),"aaa")</f>
        <v>#REF!</v>
      </c>
      <c r="EJ49" s="2"/>
      <c r="EK49" s="2"/>
      <c r="EM49" s="1" t="e">
        <f>(#REF!)</f>
        <v>#REF!</v>
      </c>
      <c r="EN49" s="9" t="e">
        <f>(#REF!)</f>
        <v>#REF!</v>
      </c>
      <c r="EO49" s="9" t="e">
        <f>(#REF!)</f>
        <v>#REF!</v>
      </c>
      <c r="EP49" s="9" t="e">
        <f>(#REF!)</f>
        <v>#REF!</v>
      </c>
      <c r="ES49" s="20" t="s">
        <v>51</v>
      </c>
      <c r="ET49" s="10" t="str">
        <f>IF($D:$D="MATOOKE KGS", 1500, IF($D:$D="SAUSAGES", 30000, IF($D:$D="MARINATED CHICKEN", 25000, IF($D:$D="MARINATED GOAT LEG", 28000, IF($D:$D="TOMATOES", 3000,  IF($D:$D="CHICKEN", 30000, IF($D:$D="LOCAL EGGS", 25000,  IF($D:$D="IRISH", 3000, IF($D:$D="MILK", 2000, IF($D:$D="ONIONS", 6000, IF($D:$D="YELLOW YOLK EGGS", 20000, IF($D:$D="AVOCADO", 1000, IF($D:$D="BEEF", 16000, IF($D:$D="PLAIN YOGHURT", 4000, IF($D:$D="DOG MEAT", 4000, IF($D:$D="GOAT", 19000, ""))))))))))))))))</f>
        <v/>
      </c>
    </row>
    <row r="50" spans="1:150" ht="18" customHeight="1" x14ac:dyDescent="0.3">
      <c r="A50" s="32" t="str">
        <f>(SALES!$A:$A)</f>
        <v>Thursday, 4 January 2024</v>
      </c>
      <c r="B50" s="1">
        <f>(SALES!$C:$C)</f>
        <v>2</v>
      </c>
      <c r="C50" s="1">
        <f>(SALES!$D:$D)</f>
        <v>2</v>
      </c>
      <c r="D50" s="1" t="str">
        <f>(SALES!$E:$E)</f>
        <v>AVOCADO</v>
      </c>
      <c r="E50" s="1">
        <f>(SALES!$F:$F)</f>
        <v>1000</v>
      </c>
      <c r="F50" s="1">
        <f>(SALES!$G:$G)</f>
        <v>2000</v>
      </c>
      <c r="H50" s="2">
        <f>(EXPENSES!$A:$A)</f>
        <v>45299</v>
      </c>
      <c r="I50" s="10">
        <f>(EXPENSES!$B:$B)</f>
        <v>2</v>
      </c>
      <c r="J50" s="10" t="str">
        <f>(EXPENSES!$C:$C)</f>
        <v xml:space="preserve">BOUGHT LIVER </v>
      </c>
      <c r="K50" s="10">
        <f>(EXPENSES!$D:$D)</f>
        <v>20000</v>
      </c>
      <c r="M50" s="2">
        <v>45566</v>
      </c>
      <c r="N50" s="2">
        <v>45567</v>
      </c>
      <c r="O50" s="2">
        <v>45568</v>
      </c>
      <c r="P50" s="2">
        <v>45569</v>
      </c>
      <c r="Q50" s="2">
        <v>45570</v>
      </c>
      <c r="R50" s="2">
        <v>45571</v>
      </c>
      <c r="S50" s="2">
        <v>45572</v>
      </c>
      <c r="T50" s="2">
        <v>45573</v>
      </c>
      <c r="U50" s="2">
        <v>45574</v>
      </c>
      <c r="V50" s="2">
        <v>45575</v>
      </c>
      <c r="W50" s="2">
        <v>45576</v>
      </c>
      <c r="X50" s="2">
        <v>45577</v>
      </c>
      <c r="Y50" s="2">
        <v>45578</v>
      </c>
      <c r="Z50" s="2">
        <v>45579</v>
      </c>
      <c r="AA50" s="2">
        <v>45580</v>
      </c>
      <c r="AB50" s="2">
        <v>45581</v>
      </c>
      <c r="AC50" s="2">
        <v>45582</v>
      </c>
      <c r="AD50" s="2">
        <v>45583</v>
      </c>
      <c r="AE50" s="2">
        <v>45584</v>
      </c>
      <c r="AF50" s="2">
        <v>45585</v>
      </c>
      <c r="AG50" s="2">
        <v>45586</v>
      </c>
      <c r="AH50" s="2">
        <v>45587</v>
      </c>
      <c r="AI50" s="2">
        <v>45588</v>
      </c>
      <c r="AJ50" s="2">
        <v>45589</v>
      </c>
      <c r="AK50" s="2">
        <v>45590</v>
      </c>
      <c r="AL50" s="2">
        <v>45591</v>
      </c>
      <c r="AM50" s="2">
        <v>45592</v>
      </c>
      <c r="AN50" s="2">
        <v>45593</v>
      </c>
      <c r="AO50" s="2">
        <v>45594</v>
      </c>
      <c r="AP50" s="2">
        <v>45595</v>
      </c>
      <c r="AQ50" s="2">
        <v>45596</v>
      </c>
      <c r="AS50" s="2">
        <v>45566</v>
      </c>
      <c r="AT50" s="2">
        <v>45567</v>
      </c>
      <c r="AU50" s="2">
        <v>45568</v>
      </c>
      <c r="AV50" s="2">
        <v>45569</v>
      </c>
      <c r="AW50" s="2">
        <v>45570</v>
      </c>
      <c r="AX50" s="2">
        <v>45571</v>
      </c>
      <c r="AY50" s="2">
        <v>45572</v>
      </c>
      <c r="AZ50" s="2">
        <v>45573</v>
      </c>
      <c r="BA50" s="2">
        <v>45574</v>
      </c>
      <c r="BB50" s="2">
        <v>45575</v>
      </c>
      <c r="BC50" s="2">
        <v>45576</v>
      </c>
      <c r="BD50" s="2">
        <v>45577</v>
      </c>
      <c r="BE50" s="2">
        <v>45578</v>
      </c>
      <c r="BF50" s="2">
        <v>45579</v>
      </c>
      <c r="BG50" s="2">
        <v>45580</v>
      </c>
      <c r="BH50" s="2">
        <v>45581</v>
      </c>
      <c r="BI50" s="2">
        <v>45582</v>
      </c>
      <c r="BJ50" s="2">
        <v>45583</v>
      </c>
      <c r="BK50" s="2">
        <v>45584</v>
      </c>
      <c r="BL50" s="2">
        <v>45585</v>
      </c>
      <c r="BM50" s="2">
        <v>45586</v>
      </c>
      <c r="BN50" s="2">
        <v>45587</v>
      </c>
      <c r="BO50" s="2">
        <v>45588</v>
      </c>
      <c r="BP50" s="2">
        <v>45589</v>
      </c>
      <c r="BQ50" s="2">
        <v>45590</v>
      </c>
      <c r="BR50" s="2">
        <v>45591</v>
      </c>
      <c r="BS50" s="2">
        <v>45592</v>
      </c>
      <c r="BT50" s="2">
        <v>45593</v>
      </c>
      <c r="BU50" s="2">
        <v>45594</v>
      </c>
      <c r="BV50" s="2">
        <v>45595</v>
      </c>
      <c r="BW50" s="2">
        <v>45596</v>
      </c>
      <c r="BY50" s="2">
        <v>45566</v>
      </c>
      <c r="BZ50" s="2">
        <v>45567</v>
      </c>
      <c r="CA50" s="2">
        <v>45568</v>
      </c>
      <c r="CB50" s="2">
        <v>45569</v>
      </c>
      <c r="CC50" s="2">
        <v>45570</v>
      </c>
      <c r="CD50" s="2">
        <v>45571</v>
      </c>
      <c r="CE50" s="2">
        <v>45572</v>
      </c>
      <c r="CF50" s="2">
        <v>45573</v>
      </c>
      <c r="CG50" s="2">
        <v>45574</v>
      </c>
      <c r="CH50" s="2">
        <v>45575</v>
      </c>
      <c r="CI50" s="2">
        <v>45576</v>
      </c>
      <c r="CJ50" s="2">
        <v>45577</v>
      </c>
      <c r="CK50" s="2">
        <v>45578</v>
      </c>
      <c r="CL50" s="2">
        <v>45579</v>
      </c>
      <c r="CM50" s="2">
        <v>45580</v>
      </c>
      <c r="CN50" s="2">
        <v>45581</v>
      </c>
      <c r="CO50" s="2">
        <v>45582</v>
      </c>
      <c r="CP50" s="2">
        <v>45583</v>
      </c>
      <c r="CQ50" s="2">
        <v>45584</v>
      </c>
      <c r="CR50" s="2">
        <v>45585</v>
      </c>
      <c r="CS50" s="2">
        <v>45586</v>
      </c>
      <c r="CT50" s="2">
        <v>45587</v>
      </c>
      <c r="CU50" s="2">
        <v>45588</v>
      </c>
      <c r="CV50" s="2">
        <v>45589</v>
      </c>
      <c r="CW50" s="2">
        <v>45590</v>
      </c>
      <c r="CX50" s="2">
        <v>45591</v>
      </c>
      <c r="CY50" s="2">
        <v>45592</v>
      </c>
      <c r="CZ50" s="2">
        <v>45593</v>
      </c>
      <c r="DA50" s="2">
        <v>45594</v>
      </c>
      <c r="DB50" s="2">
        <v>45595</v>
      </c>
      <c r="DC50" s="2">
        <v>45596</v>
      </c>
      <c r="DE50" s="2">
        <v>45566</v>
      </c>
      <c r="DF50" s="2">
        <v>45567</v>
      </c>
      <c r="DG50" s="2">
        <v>45568</v>
      </c>
      <c r="DH50" s="2">
        <v>45569</v>
      </c>
      <c r="DI50" s="2">
        <v>45570</v>
      </c>
      <c r="DJ50" s="2">
        <v>45571</v>
      </c>
      <c r="DK50" s="2">
        <v>45572</v>
      </c>
      <c r="DL50" s="2">
        <v>45573</v>
      </c>
      <c r="DM50" s="2">
        <v>45574</v>
      </c>
      <c r="DN50" s="2">
        <v>45575</v>
      </c>
      <c r="DO50" s="2">
        <v>45576</v>
      </c>
      <c r="DP50" s="2">
        <v>45577</v>
      </c>
      <c r="DQ50" s="2">
        <v>45578</v>
      </c>
      <c r="DR50" s="2">
        <v>45579</v>
      </c>
      <c r="DS50" s="2">
        <v>45580</v>
      </c>
      <c r="DT50" s="2">
        <v>45581</v>
      </c>
      <c r="DU50" s="2">
        <v>45582</v>
      </c>
      <c r="DV50" s="2">
        <v>45583</v>
      </c>
      <c r="DW50" s="2">
        <v>45584</v>
      </c>
      <c r="DX50" s="2">
        <v>45585</v>
      </c>
      <c r="DY50" s="2">
        <v>45586</v>
      </c>
      <c r="DZ50" s="2">
        <v>45587</v>
      </c>
      <c r="EA50" s="2">
        <v>45588</v>
      </c>
      <c r="EB50" s="2">
        <v>45589</v>
      </c>
      <c r="EC50" s="2">
        <v>45590</v>
      </c>
      <c r="ED50" s="2">
        <v>45591</v>
      </c>
      <c r="EE50" s="2">
        <v>45592</v>
      </c>
      <c r="EF50" s="2">
        <v>45593</v>
      </c>
      <c r="EG50" s="2">
        <v>45594</v>
      </c>
      <c r="EH50" s="2">
        <v>45595</v>
      </c>
      <c r="EI50" s="2">
        <v>45596</v>
      </c>
      <c r="EJ50" s="3"/>
      <c r="EK50" s="3"/>
      <c r="EM50" s="1" t="e">
        <f>(#REF!)</f>
        <v>#REF!</v>
      </c>
      <c r="EN50" s="9" t="e">
        <f>(#REF!)</f>
        <v>#REF!</v>
      </c>
      <c r="EO50" s="9" t="e">
        <f>(#REF!)</f>
        <v>#REF!</v>
      </c>
      <c r="EP50" s="9" t="e">
        <f>(#REF!)</f>
        <v>#REF!</v>
      </c>
      <c r="ES50" s="12" t="s">
        <v>52</v>
      </c>
      <c r="ET50" s="12">
        <v>4000</v>
      </c>
    </row>
    <row r="51" spans="1:150" ht="18" customHeight="1" x14ac:dyDescent="0.3">
      <c r="A51" s="32" t="str">
        <f>(SALES!$A:$A)</f>
        <v>Thursday, 4 January 2024</v>
      </c>
      <c r="B51" s="1">
        <f>(SALES!$C:$C)</f>
        <v>3</v>
      </c>
      <c r="C51" s="1">
        <f>(SALES!$D:$D)</f>
        <v>1</v>
      </c>
      <c r="D51" s="1" t="str">
        <f>(SALES!$E:$E)</f>
        <v>MATOOKE</v>
      </c>
      <c r="E51" s="1">
        <f>(SALES!$F:$F)</f>
        <v>10000</v>
      </c>
      <c r="F51" s="1">
        <f>(SALES!$G:$G)</f>
        <v>10000</v>
      </c>
      <c r="H51" s="2">
        <f>(EXPENSES!$A:$A)</f>
        <v>45299</v>
      </c>
      <c r="I51" s="10">
        <f>(EXPENSES!$B:$B)</f>
        <v>1</v>
      </c>
      <c r="J51" s="10" t="str">
        <f>(EXPENSES!$C:$C)</f>
        <v>BOUGHT CHICKEN FILLET</v>
      </c>
      <c r="K51" s="10">
        <f>(EXPENSES!$D:$D)</f>
        <v>26000</v>
      </c>
      <c r="M51" s="3">
        <f t="shared" ref="M51:AQ51" si="36">SUMIF($A:$A, "01/01/2024",$F:$F )</f>
        <v>0</v>
      </c>
      <c r="N51" s="3">
        <f t="shared" si="36"/>
        <v>0</v>
      </c>
      <c r="O51" s="3">
        <f t="shared" si="36"/>
        <v>0</v>
      </c>
      <c r="P51" s="3">
        <f t="shared" si="36"/>
        <v>0</v>
      </c>
      <c r="Q51" s="3">
        <f t="shared" si="36"/>
        <v>0</v>
      </c>
      <c r="R51" s="3">
        <f t="shared" si="36"/>
        <v>0</v>
      </c>
      <c r="S51" s="3">
        <f t="shared" si="36"/>
        <v>0</v>
      </c>
      <c r="T51" s="3">
        <f t="shared" si="36"/>
        <v>0</v>
      </c>
      <c r="U51" s="3">
        <f t="shared" si="36"/>
        <v>0</v>
      </c>
      <c r="V51" s="3">
        <f t="shared" si="36"/>
        <v>0</v>
      </c>
      <c r="W51" s="3">
        <f t="shared" si="36"/>
        <v>0</v>
      </c>
      <c r="X51" s="3">
        <f t="shared" si="36"/>
        <v>0</v>
      </c>
      <c r="Y51" s="3">
        <f t="shared" si="36"/>
        <v>0</v>
      </c>
      <c r="Z51" s="3">
        <f t="shared" si="36"/>
        <v>0</v>
      </c>
      <c r="AA51" s="3">
        <f t="shared" si="36"/>
        <v>0</v>
      </c>
      <c r="AB51" s="3">
        <f t="shared" si="36"/>
        <v>0</v>
      </c>
      <c r="AC51" s="3">
        <f t="shared" si="36"/>
        <v>0</v>
      </c>
      <c r="AD51" s="3">
        <f t="shared" si="36"/>
        <v>0</v>
      </c>
      <c r="AE51" s="3">
        <f t="shared" si="36"/>
        <v>0</v>
      </c>
      <c r="AF51" s="3">
        <f t="shared" si="36"/>
        <v>0</v>
      </c>
      <c r="AG51" s="3">
        <f t="shared" si="36"/>
        <v>0</v>
      </c>
      <c r="AH51" s="3">
        <f t="shared" si="36"/>
        <v>0</v>
      </c>
      <c r="AI51" s="3">
        <f t="shared" si="36"/>
        <v>0</v>
      </c>
      <c r="AJ51" s="3">
        <f t="shared" si="36"/>
        <v>0</v>
      </c>
      <c r="AK51" s="3">
        <f t="shared" si="36"/>
        <v>0</v>
      </c>
      <c r="AL51" s="3">
        <f t="shared" si="36"/>
        <v>0</v>
      </c>
      <c r="AM51" s="3">
        <f t="shared" si="36"/>
        <v>0</v>
      </c>
      <c r="AN51" s="3">
        <f t="shared" si="36"/>
        <v>0</v>
      </c>
      <c r="AO51" s="3">
        <f t="shared" si="36"/>
        <v>0</v>
      </c>
      <c r="AP51" s="3">
        <f t="shared" si="36"/>
        <v>0</v>
      </c>
      <c r="AQ51" s="3">
        <f t="shared" si="36"/>
        <v>0</v>
      </c>
      <c r="AS51" s="3">
        <f t="shared" ref="AS51:BW51" si="37">SUMIF($A:$A, "01/01/2024",$F:$F )</f>
        <v>0</v>
      </c>
      <c r="AT51" s="3">
        <f t="shared" si="37"/>
        <v>0</v>
      </c>
      <c r="AU51" s="3">
        <f t="shared" si="37"/>
        <v>0</v>
      </c>
      <c r="AV51" s="3">
        <f t="shared" si="37"/>
        <v>0</v>
      </c>
      <c r="AW51" s="3">
        <f t="shared" si="37"/>
        <v>0</v>
      </c>
      <c r="AX51" s="3">
        <f t="shared" si="37"/>
        <v>0</v>
      </c>
      <c r="AY51" s="3">
        <f t="shared" si="37"/>
        <v>0</v>
      </c>
      <c r="AZ51" s="3">
        <f t="shared" si="37"/>
        <v>0</v>
      </c>
      <c r="BA51" s="3">
        <f t="shared" si="37"/>
        <v>0</v>
      </c>
      <c r="BB51" s="3">
        <f t="shared" si="37"/>
        <v>0</v>
      </c>
      <c r="BC51" s="3">
        <f t="shared" si="37"/>
        <v>0</v>
      </c>
      <c r="BD51" s="3">
        <f t="shared" si="37"/>
        <v>0</v>
      </c>
      <c r="BE51" s="3">
        <f t="shared" si="37"/>
        <v>0</v>
      </c>
      <c r="BF51" s="3">
        <f t="shared" si="37"/>
        <v>0</v>
      </c>
      <c r="BG51" s="3">
        <f t="shared" si="37"/>
        <v>0</v>
      </c>
      <c r="BH51" s="3">
        <f t="shared" si="37"/>
        <v>0</v>
      </c>
      <c r="BI51" s="3">
        <f t="shared" si="37"/>
        <v>0</v>
      </c>
      <c r="BJ51" s="3">
        <f t="shared" si="37"/>
        <v>0</v>
      </c>
      <c r="BK51" s="3">
        <f t="shared" si="37"/>
        <v>0</v>
      </c>
      <c r="BL51" s="3">
        <f t="shared" si="37"/>
        <v>0</v>
      </c>
      <c r="BM51" s="3">
        <f t="shared" si="37"/>
        <v>0</v>
      </c>
      <c r="BN51" s="3">
        <f t="shared" si="37"/>
        <v>0</v>
      </c>
      <c r="BO51" s="3">
        <f t="shared" si="37"/>
        <v>0</v>
      </c>
      <c r="BP51" s="3">
        <f t="shared" si="37"/>
        <v>0</v>
      </c>
      <c r="BQ51" s="3">
        <f t="shared" si="37"/>
        <v>0</v>
      </c>
      <c r="BR51" s="3">
        <f t="shared" si="37"/>
        <v>0</v>
      </c>
      <c r="BS51" s="3">
        <f t="shared" si="37"/>
        <v>0</v>
      </c>
      <c r="BT51" s="3">
        <f t="shared" si="37"/>
        <v>0</v>
      </c>
      <c r="BU51" s="3">
        <f t="shared" si="37"/>
        <v>0</v>
      </c>
      <c r="BV51" s="3">
        <f t="shared" si="37"/>
        <v>0</v>
      </c>
      <c r="BW51" s="3">
        <f t="shared" si="37"/>
        <v>0</v>
      </c>
      <c r="BY51" s="3">
        <f>(M51-AS51)</f>
        <v>0</v>
      </c>
      <c r="BZ51" s="3">
        <f t="shared" ref="BZ51:DC51" si="38">SUMIF($A:$A, "01/01/2024",$F:$F )</f>
        <v>0</v>
      </c>
      <c r="CA51" s="3">
        <f t="shared" si="38"/>
        <v>0</v>
      </c>
      <c r="CB51" s="3">
        <f t="shared" si="38"/>
        <v>0</v>
      </c>
      <c r="CC51" s="3">
        <f t="shared" si="38"/>
        <v>0</v>
      </c>
      <c r="CD51" s="3">
        <f t="shared" si="38"/>
        <v>0</v>
      </c>
      <c r="CE51" s="3">
        <f t="shared" si="38"/>
        <v>0</v>
      </c>
      <c r="CF51" s="3">
        <f t="shared" si="38"/>
        <v>0</v>
      </c>
      <c r="CG51" s="3">
        <f t="shared" si="38"/>
        <v>0</v>
      </c>
      <c r="CH51" s="3">
        <f t="shared" si="38"/>
        <v>0</v>
      </c>
      <c r="CI51" s="3">
        <f t="shared" si="38"/>
        <v>0</v>
      </c>
      <c r="CJ51" s="3">
        <f t="shared" si="38"/>
        <v>0</v>
      </c>
      <c r="CK51" s="3">
        <f t="shared" si="38"/>
        <v>0</v>
      </c>
      <c r="CL51" s="3">
        <f t="shared" si="38"/>
        <v>0</v>
      </c>
      <c r="CM51" s="3">
        <f t="shared" si="38"/>
        <v>0</v>
      </c>
      <c r="CN51" s="3">
        <f t="shared" si="38"/>
        <v>0</v>
      </c>
      <c r="CO51" s="3">
        <f t="shared" si="38"/>
        <v>0</v>
      </c>
      <c r="CP51" s="3">
        <f t="shared" si="38"/>
        <v>0</v>
      </c>
      <c r="CQ51" s="3">
        <f t="shared" si="38"/>
        <v>0</v>
      </c>
      <c r="CR51" s="3">
        <f t="shared" si="38"/>
        <v>0</v>
      </c>
      <c r="CS51" s="3">
        <f t="shared" si="38"/>
        <v>0</v>
      </c>
      <c r="CT51" s="3">
        <f t="shared" si="38"/>
        <v>0</v>
      </c>
      <c r="CU51" s="3">
        <f t="shared" si="38"/>
        <v>0</v>
      </c>
      <c r="CV51" s="3">
        <f t="shared" si="38"/>
        <v>0</v>
      </c>
      <c r="CW51" s="3">
        <f t="shared" si="38"/>
        <v>0</v>
      </c>
      <c r="CX51" s="3">
        <f t="shared" si="38"/>
        <v>0</v>
      </c>
      <c r="CY51" s="3">
        <f t="shared" si="38"/>
        <v>0</v>
      </c>
      <c r="CZ51" s="3">
        <f t="shared" si="38"/>
        <v>0</v>
      </c>
      <c r="DA51" s="3">
        <f t="shared" si="38"/>
        <v>0</v>
      </c>
      <c r="DB51" s="3">
        <f t="shared" si="38"/>
        <v>0</v>
      </c>
      <c r="DC51" s="3">
        <f t="shared" si="38"/>
        <v>0</v>
      </c>
      <c r="DE51" s="3">
        <f t="shared" ref="DE51:EI51" si="39">SUMIF($A:$A, "01/01/2024",$F:$F )</f>
        <v>0</v>
      </c>
      <c r="DF51" s="3">
        <f t="shared" si="39"/>
        <v>0</v>
      </c>
      <c r="DG51" s="3">
        <f t="shared" si="39"/>
        <v>0</v>
      </c>
      <c r="DH51" s="3">
        <f t="shared" si="39"/>
        <v>0</v>
      </c>
      <c r="DI51" s="3">
        <f t="shared" si="39"/>
        <v>0</v>
      </c>
      <c r="DJ51" s="3">
        <f t="shared" si="39"/>
        <v>0</v>
      </c>
      <c r="DK51" s="3">
        <f t="shared" si="39"/>
        <v>0</v>
      </c>
      <c r="DL51" s="3">
        <f t="shared" si="39"/>
        <v>0</v>
      </c>
      <c r="DM51" s="3">
        <f t="shared" si="39"/>
        <v>0</v>
      </c>
      <c r="DN51" s="3">
        <f t="shared" si="39"/>
        <v>0</v>
      </c>
      <c r="DO51" s="3">
        <f t="shared" si="39"/>
        <v>0</v>
      </c>
      <c r="DP51" s="3">
        <f t="shared" si="39"/>
        <v>0</v>
      </c>
      <c r="DQ51" s="3">
        <f t="shared" si="39"/>
        <v>0</v>
      </c>
      <c r="DR51" s="3">
        <f t="shared" si="39"/>
        <v>0</v>
      </c>
      <c r="DS51" s="3">
        <f t="shared" si="39"/>
        <v>0</v>
      </c>
      <c r="DT51" s="3">
        <f t="shared" si="39"/>
        <v>0</v>
      </c>
      <c r="DU51" s="3">
        <f t="shared" si="39"/>
        <v>0</v>
      </c>
      <c r="DV51" s="3">
        <f t="shared" si="39"/>
        <v>0</v>
      </c>
      <c r="DW51" s="3">
        <f t="shared" si="39"/>
        <v>0</v>
      </c>
      <c r="DX51" s="3">
        <f t="shared" si="39"/>
        <v>0</v>
      </c>
      <c r="DY51" s="3">
        <f t="shared" si="39"/>
        <v>0</v>
      </c>
      <c r="DZ51" s="3">
        <f t="shared" si="39"/>
        <v>0</v>
      </c>
      <c r="EA51" s="3">
        <f t="shared" si="39"/>
        <v>0</v>
      </c>
      <c r="EB51" s="3">
        <f t="shared" si="39"/>
        <v>0</v>
      </c>
      <c r="EC51" s="3">
        <f t="shared" si="39"/>
        <v>0</v>
      </c>
      <c r="ED51" s="3">
        <f t="shared" si="39"/>
        <v>0</v>
      </c>
      <c r="EE51" s="3">
        <f t="shared" si="39"/>
        <v>0</v>
      </c>
      <c r="EF51" s="3">
        <f t="shared" si="39"/>
        <v>0</v>
      </c>
      <c r="EG51" s="3">
        <f t="shared" si="39"/>
        <v>0</v>
      </c>
      <c r="EH51" s="3">
        <f t="shared" si="39"/>
        <v>0</v>
      </c>
      <c r="EI51" s="3">
        <f t="shared" si="39"/>
        <v>0</v>
      </c>
      <c r="EM51" s="1" t="e">
        <f>(#REF!)</f>
        <v>#REF!</v>
      </c>
      <c r="EN51" s="9" t="e">
        <f>(#REF!)</f>
        <v>#REF!</v>
      </c>
      <c r="EO51" s="9" t="e">
        <f>(#REF!)</f>
        <v>#REF!</v>
      </c>
      <c r="EP51" s="9" t="e">
        <f>(#REF!)</f>
        <v>#REF!</v>
      </c>
      <c r="ES51" s="12" t="s">
        <v>52</v>
      </c>
      <c r="ET51" s="12">
        <v>45000</v>
      </c>
    </row>
    <row r="52" spans="1:150" ht="18" customHeight="1" x14ac:dyDescent="0.3">
      <c r="A52" s="32" t="str">
        <f>(SALES!$A:$A)</f>
        <v>Thursday, 4 January 2024</v>
      </c>
      <c r="B52" s="1">
        <f>(SALES!$C:$C)</f>
        <v>4</v>
      </c>
      <c r="C52" s="1">
        <f>(SALES!$D:$D)</f>
        <v>2</v>
      </c>
      <c r="D52" s="1" t="str">
        <f>(SALES!$E:$E)</f>
        <v>MATOOKE</v>
      </c>
      <c r="E52" s="1">
        <f>(SALES!$F:$F)</f>
        <v>10000</v>
      </c>
      <c r="F52" s="1">
        <f>(SALES!$G:$G)</f>
        <v>20000</v>
      </c>
      <c r="H52" s="2">
        <f>(EXPENSES!$A:$A)</f>
        <v>45300</v>
      </c>
      <c r="I52" s="10">
        <f>(EXPENSES!$B:$B)</f>
        <v>1</v>
      </c>
      <c r="J52" s="10" t="str">
        <f>(EXPENSES!$C:$C)</f>
        <v>PAID DIRISA</v>
      </c>
      <c r="K52" s="10">
        <f>(EXPENSES!$D:$D)</f>
        <v>1000</v>
      </c>
      <c r="M52" s="3"/>
      <c r="AS52" s="3"/>
      <c r="BY52" s="3"/>
      <c r="DE52" s="3"/>
      <c r="EJ52" s="12"/>
      <c r="EK52" s="12"/>
      <c r="EM52" s="1" t="e">
        <f>(#REF!)</f>
        <v>#REF!</v>
      </c>
      <c r="EN52" s="9" t="e">
        <f>(#REF!)</f>
        <v>#REF!</v>
      </c>
      <c r="EO52" s="9" t="e">
        <f>(#REF!)</f>
        <v>#REF!</v>
      </c>
      <c r="EP52" s="9" t="e">
        <f>(#REF!)</f>
        <v>#REF!</v>
      </c>
      <c r="ES52" s="12" t="s">
        <v>52</v>
      </c>
      <c r="ET52" s="12">
        <v>27000</v>
      </c>
    </row>
    <row r="53" spans="1:150" ht="18" customHeight="1" x14ac:dyDescent="0.3">
      <c r="A53" s="32" t="str">
        <f>(SALES!$A:$A)</f>
        <v>Thursday, 4 January 2024</v>
      </c>
      <c r="B53" s="1">
        <f>(SALES!$C:$C)</f>
        <v>5</v>
      </c>
      <c r="C53" s="1">
        <f>(SALES!$D:$D)</f>
        <v>2</v>
      </c>
      <c r="D53" s="1" t="str">
        <f>(SALES!$E:$E)</f>
        <v>MATOOKE KGS</v>
      </c>
      <c r="E53" s="1">
        <f>(SALES!$F:$F)</f>
        <v>1500</v>
      </c>
      <c r="F53" s="1">
        <f>(SALES!$G:$G)</f>
        <v>3000</v>
      </c>
      <c r="H53" s="2">
        <f>(EXPENSES!$A:$A)</f>
        <v>45300</v>
      </c>
      <c r="I53" s="10">
        <f>(EXPENSES!$B:$B)</f>
        <v>6</v>
      </c>
      <c r="J53" s="10" t="str">
        <f>(EXPENSES!$C:$C)</f>
        <v>PAID REUBEN</v>
      </c>
      <c r="K53" s="10">
        <f>(EXPENSES!$D:$D)</f>
        <v>2000</v>
      </c>
      <c r="M53" s="47" t="s">
        <v>53</v>
      </c>
      <c r="N53" s="48"/>
      <c r="O53" s="48"/>
      <c r="P53" s="48"/>
      <c r="Q53" s="48"/>
      <c r="R53" s="48"/>
      <c r="S53" s="48"/>
      <c r="T53" s="48"/>
      <c r="U53" s="48"/>
      <c r="V53" s="48"/>
      <c r="W53" s="48"/>
      <c r="X53" s="48"/>
      <c r="Y53" s="48"/>
      <c r="Z53" s="48"/>
      <c r="AA53" s="48"/>
      <c r="AB53" s="48"/>
      <c r="AC53" s="48"/>
      <c r="AD53" s="48"/>
      <c r="AE53" s="48"/>
      <c r="AF53" s="48"/>
      <c r="AG53" s="48"/>
      <c r="AH53" s="48"/>
      <c r="AI53" s="48"/>
      <c r="AJ53" s="48"/>
      <c r="AK53" s="48"/>
      <c r="AL53" s="48"/>
      <c r="AM53" s="48"/>
      <c r="AN53" s="48"/>
      <c r="AO53" s="48"/>
      <c r="AP53" s="48"/>
      <c r="AQ53" s="49"/>
      <c r="AS53" s="47" t="s">
        <v>53</v>
      </c>
      <c r="AT53" s="48"/>
      <c r="AU53" s="48"/>
      <c r="AV53" s="48"/>
      <c r="AW53" s="48"/>
      <c r="AX53" s="48"/>
      <c r="AY53" s="48"/>
      <c r="AZ53" s="48"/>
      <c r="BA53" s="48"/>
      <c r="BB53" s="48"/>
      <c r="BC53" s="48"/>
      <c r="BD53" s="48"/>
      <c r="BE53" s="48"/>
      <c r="BF53" s="48"/>
      <c r="BG53" s="48"/>
      <c r="BH53" s="48"/>
      <c r="BI53" s="48"/>
      <c r="BJ53" s="48"/>
      <c r="BK53" s="48"/>
      <c r="BL53" s="48"/>
      <c r="BM53" s="48"/>
      <c r="BN53" s="48"/>
      <c r="BO53" s="48"/>
      <c r="BP53" s="48"/>
      <c r="BQ53" s="48"/>
      <c r="BR53" s="48"/>
      <c r="BS53" s="48"/>
      <c r="BT53" s="48"/>
      <c r="BU53" s="48"/>
      <c r="BV53" s="48"/>
      <c r="BW53" s="49"/>
      <c r="BY53" s="47" t="s">
        <v>53</v>
      </c>
      <c r="BZ53" s="48"/>
      <c r="CA53" s="48"/>
      <c r="CB53" s="48"/>
      <c r="CC53" s="48"/>
      <c r="CD53" s="48"/>
      <c r="CE53" s="48"/>
      <c r="CF53" s="48"/>
      <c r="CG53" s="48"/>
      <c r="CH53" s="48"/>
      <c r="CI53" s="48"/>
      <c r="CJ53" s="48"/>
      <c r="CK53" s="48"/>
      <c r="CL53" s="48"/>
      <c r="CM53" s="48"/>
      <c r="CN53" s="48"/>
      <c r="CO53" s="48"/>
      <c r="CP53" s="48"/>
      <c r="CQ53" s="48"/>
      <c r="CR53" s="48"/>
      <c r="CS53" s="48"/>
      <c r="CT53" s="48"/>
      <c r="CU53" s="48"/>
      <c r="CV53" s="48"/>
      <c r="CW53" s="48"/>
      <c r="CX53" s="48"/>
      <c r="CY53" s="48"/>
      <c r="CZ53" s="48"/>
      <c r="DA53" s="48"/>
      <c r="DB53" s="48"/>
      <c r="DC53" s="49"/>
      <c r="DE53" s="47" t="s">
        <v>53</v>
      </c>
      <c r="DF53" s="48"/>
      <c r="DG53" s="48"/>
      <c r="DH53" s="48"/>
      <c r="DI53" s="48"/>
      <c r="DJ53" s="48"/>
      <c r="DK53" s="48"/>
      <c r="DL53" s="48"/>
      <c r="DM53" s="48"/>
      <c r="DN53" s="48"/>
      <c r="DO53" s="48"/>
      <c r="DP53" s="48"/>
      <c r="DQ53" s="48"/>
      <c r="DR53" s="48"/>
      <c r="DS53" s="48"/>
      <c r="DT53" s="48"/>
      <c r="DU53" s="48"/>
      <c r="DV53" s="48"/>
      <c r="DW53" s="48"/>
      <c r="DX53" s="48"/>
      <c r="DY53" s="48"/>
      <c r="DZ53" s="48"/>
      <c r="EA53" s="48"/>
      <c r="EB53" s="48"/>
      <c r="EC53" s="48"/>
      <c r="ED53" s="48"/>
      <c r="EE53" s="48"/>
      <c r="EF53" s="48"/>
      <c r="EG53" s="48"/>
      <c r="EH53" s="48"/>
      <c r="EI53" s="49"/>
      <c r="EJ53" s="3"/>
      <c r="EK53" s="3"/>
      <c r="EM53" s="1" t="e">
        <f>(#REF!)</f>
        <v>#REF!</v>
      </c>
      <c r="EN53" s="9" t="e">
        <f>(#REF!)</f>
        <v>#REF!</v>
      </c>
      <c r="EO53" s="9" t="e">
        <f>(#REF!)</f>
        <v>#REF!</v>
      </c>
      <c r="EP53" s="9" t="e">
        <f>(#REF!)</f>
        <v>#REF!</v>
      </c>
      <c r="ES53" s="12" t="s">
        <v>52</v>
      </c>
      <c r="ET53" s="12">
        <v>35000</v>
      </c>
    </row>
    <row r="54" spans="1:150" ht="18" customHeight="1" x14ac:dyDescent="0.3">
      <c r="A54" s="32" t="str">
        <f>(SALES!$A:$A)</f>
        <v>Thursday, 4 January 2024</v>
      </c>
      <c r="B54" s="1">
        <f>(SALES!$C:$C)</f>
        <v>6</v>
      </c>
      <c r="C54" s="1">
        <f>(SALES!$D:$D)</f>
        <v>2</v>
      </c>
      <c r="D54" s="1" t="str">
        <f>(SALES!$E:$E)</f>
        <v>MATOOKE</v>
      </c>
      <c r="E54" s="1">
        <f>(SALES!$F:$F)</f>
        <v>10000</v>
      </c>
      <c r="F54" s="1">
        <f>(SALES!$G:$G)</f>
        <v>20000</v>
      </c>
      <c r="H54" s="2">
        <f>(EXPENSES!$A:$A)</f>
        <v>45300</v>
      </c>
      <c r="I54" s="10">
        <f>(EXPENSES!$B:$B)</f>
        <v>14</v>
      </c>
      <c r="J54" s="10" t="str">
        <f>(EXPENSES!$C:$C)</f>
        <v>PAID FRANK</v>
      </c>
      <c r="K54" s="10">
        <f>(EXPENSES!$D:$D)</f>
        <v>2000</v>
      </c>
      <c r="M54" s="3" t="e">
        <f>TEXT(WEEKDAY(DATE(CalendarYear,11,1),1),"aaa")</f>
        <v>#REF!</v>
      </c>
      <c r="N54" s="3" t="e">
        <f>TEXT(WEEKDAY(DATE(CalendarYear,11,2),1),"aaa")</f>
        <v>#REF!</v>
      </c>
      <c r="O54" s="3" t="e">
        <f>TEXT(WEEKDAY(DATE(CalendarYear,11,3),1),"aaa")</f>
        <v>#REF!</v>
      </c>
      <c r="P54" s="3" t="e">
        <f>TEXT(WEEKDAY(DATE(CalendarYear,11,4),1),"aaa")</f>
        <v>#REF!</v>
      </c>
      <c r="Q54" s="3" t="e">
        <f>TEXT(WEEKDAY(DATE(CalendarYear,11,5),1),"aaa")</f>
        <v>#REF!</v>
      </c>
      <c r="R54" s="3" t="e">
        <f>TEXT(WEEKDAY(DATE(CalendarYear,11,6),1),"aaa")</f>
        <v>#REF!</v>
      </c>
      <c r="S54" s="3" t="e">
        <f>TEXT(WEEKDAY(DATE(CalendarYear,11,7),1),"aaa")</f>
        <v>#REF!</v>
      </c>
      <c r="T54" s="3" t="e">
        <f>TEXT(WEEKDAY(DATE(CalendarYear,11,8),1),"aaa")</f>
        <v>#REF!</v>
      </c>
      <c r="U54" s="3" t="e">
        <f>TEXT(WEEKDAY(DATE(CalendarYear,11,9),1),"aaa")</f>
        <v>#REF!</v>
      </c>
      <c r="V54" s="3" t="e">
        <f>TEXT(WEEKDAY(DATE(CalendarYear,11,10),1),"aaa")</f>
        <v>#REF!</v>
      </c>
      <c r="W54" s="3" t="e">
        <f>TEXT(WEEKDAY(DATE(CalendarYear,11,11),1),"aaa")</f>
        <v>#REF!</v>
      </c>
      <c r="X54" s="3" t="e">
        <f>TEXT(WEEKDAY(DATE(CalendarYear,11,12),1),"aaa")</f>
        <v>#REF!</v>
      </c>
      <c r="Y54" s="3" t="e">
        <f>TEXT(WEEKDAY(DATE(CalendarYear,11,13),1),"aaa")</f>
        <v>#REF!</v>
      </c>
      <c r="Z54" s="3" t="e">
        <f>TEXT(WEEKDAY(DATE(CalendarYear,11,14),1),"aaa")</f>
        <v>#REF!</v>
      </c>
      <c r="AA54" s="3" t="e">
        <f>TEXT(WEEKDAY(DATE(CalendarYear,11,15),1),"aaa")</f>
        <v>#REF!</v>
      </c>
      <c r="AB54" s="3" t="e">
        <f>TEXT(WEEKDAY(DATE(CalendarYear,11,16),1),"aaa")</f>
        <v>#REF!</v>
      </c>
      <c r="AC54" s="3" t="e">
        <f>TEXT(WEEKDAY(DATE(CalendarYear,11,17),1),"aaa")</f>
        <v>#REF!</v>
      </c>
      <c r="AD54" s="3" t="e">
        <f>TEXT(WEEKDAY(DATE(CalendarYear,11,18),1),"aaa")</f>
        <v>#REF!</v>
      </c>
      <c r="AE54" s="3" t="e">
        <f>TEXT(WEEKDAY(DATE(CalendarYear,11,19),1),"aaa")</f>
        <v>#REF!</v>
      </c>
      <c r="AF54" s="3" t="e">
        <f>TEXT(WEEKDAY(DATE(CalendarYear,11,20),1),"aaa")</f>
        <v>#REF!</v>
      </c>
      <c r="AG54" s="3" t="e">
        <f>TEXT(WEEKDAY(DATE(CalendarYear,11,21),1),"aaa")</f>
        <v>#REF!</v>
      </c>
      <c r="AH54" s="3" t="e">
        <f>TEXT(WEEKDAY(DATE(CalendarYear,11,22),1),"aaa")</f>
        <v>#REF!</v>
      </c>
      <c r="AI54" s="3" t="e">
        <f>TEXT(WEEKDAY(DATE(CalendarYear,11,23),1),"aaa")</f>
        <v>#REF!</v>
      </c>
      <c r="AJ54" s="3" t="e">
        <f>TEXT(WEEKDAY(DATE(CalendarYear,11,24),1),"aaa")</f>
        <v>#REF!</v>
      </c>
      <c r="AK54" s="3" t="e">
        <f>TEXT(WEEKDAY(DATE(CalendarYear,11,25),1),"aaa")</f>
        <v>#REF!</v>
      </c>
      <c r="AL54" s="3" t="e">
        <f>TEXT(WEEKDAY(DATE(CalendarYear,11,26),1),"aaa")</f>
        <v>#REF!</v>
      </c>
      <c r="AM54" s="3" t="e">
        <f>TEXT(WEEKDAY(DATE(CalendarYear,11,27),1),"aaa")</f>
        <v>#REF!</v>
      </c>
      <c r="AN54" s="3" t="e">
        <f>TEXT(WEEKDAY(DATE(CalendarYear,11,28),1),"aaa")</f>
        <v>#REF!</v>
      </c>
      <c r="AO54" s="3" t="e">
        <f>TEXT(WEEKDAY(DATE(CalendarYear,11,29),1),"aaa")</f>
        <v>#REF!</v>
      </c>
      <c r="AP54" s="3" t="e">
        <f>TEXT(WEEKDAY(DATE(CalendarYear,11,30),1),"aaa")</f>
        <v>#REF!</v>
      </c>
      <c r="AQ54" s="3"/>
      <c r="AS54" s="3" t="e">
        <f>TEXT(WEEKDAY(DATE(CalendarYear,11,1),1),"aaa")</f>
        <v>#REF!</v>
      </c>
      <c r="AT54" s="3" t="e">
        <f>TEXT(WEEKDAY(DATE(CalendarYear,11,2),1),"aaa")</f>
        <v>#REF!</v>
      </c>
      <c r="AU54" s="3" t="e">
        <f>TEXT(WEEKDAY(DATE(CalendarYear,11,3),1),"aaa")</f>
        <v>#REF!</v>
      </c>
      <c r="AV54" s="3" t="e">
        <f>TEXT(WEEKDAY(DATE(CalendarYear,11,4),1),"aaa")</f>
        <v>#REF!</v>
      </c>
      <c r="AW54" s="3" t="e">
        <f>TEXT(WEEKDAY(DATE(CalendarYear,11,5),1),"aaa")</f>
        <v>#REF!</v>
      </c>
      <c r="AX54" s="3" t="e">
        <f>TEXT(WEEKDAY(DATE(CalendarYear,11,6),1),"aaa")</f>
        <v>#REF!</v>
      </c>
      <c r="AY54" s="3" t="e">
        <f>TEXT(WEEKDAY(DATE(CalendarYear,11,7),1),"aaa")</f>
        <v>#REF!</v>
      </c>
      <c r="AZ54" s="3" t="e">
        <f>TEXT(WEEKDAY(DATE(CalendarYear,11,8),1),"aaa")</f>
        <v>#REF!</v>
      </c>
      <c r="BA54" s="3" t="e">
        <f>TEXT(WEEKDAY(DATE(CalendarYear,11,9),1),"aaa")</f>
        <v>#REF!</v>
      </c>
      <c r="BB54" s="3" t="e">
        <f>TEXT(WEEKDAY(DATE(CalendarYear,11,10),1),"aaa")</f>
        <v>#REF!</v>
      </c>
      <c r="BC54" s="3" t="e">
        <f>TEXT(WEEKDAY(DATE(CalendarYear,11,11),1),"aaa")</f>
        <v>#REF!</v>
      </c>
      <c r="BD54" s="3" t="e">
        <f>TEXT(WEEKDAY(DATE(CalendarYear,11,12),1),"aaa")</f>
        <v>#REF!</v>
      </c>
      <c r="BE54" s="3" t="e">
        <f>TEXT(WEEKDAY(DATE(CalendarYear,11,13),1),"aaa")</f>
        <v>#REF!</v>
      </c>
      <c r="BF54" s="3" t="e">
        <f>TEXT(WEEKDAY(DATE(CalendarYear,11,14),1),"aaa")</f>
        <v>#REF!</v>
      </c>
      <c r="BG54" s="3" t="e">
        <f>TEXT(WEEKDAY(DATE(CalendarYear,11,15),1),"aaa")</f>
        <v>#REF!</v>
      </c>
      <c r="BH54" s="3" t="e">
        <f>TEXT(WEEKDAY(DATE(CalendarYear,11,16),1),"aaa")</f>
        <v>#REF!</v>
      </c>
      <c r="BI54" s="3" t="e">
        <f>TEXT(WEEKDAY(DATE(CalendarYear,11,17),1),"aaa")</f>
        <v>#REF!</v>
      </c>
      <c r="BJ54" s="3" t="e">
        <f>TEXT(WEEKDAY(DATE(CalendarYear,11,18),1),"aaa")</f>
        <v>#REF!</v>
      </c>
      <c r="BK54" s="3" t="e">
        <f>TEXT(WEEKDAY(DATE(CalendarYear,11,19),1),"aaa")</f>
        <v>#REF!</v>
      </c>
      <c r="BL54" s="3" t="e">
        <f>TEXT(WEEKDAY(DATE(CalendarYear,11,20),1),"aaa")</f>
        <v>#REF!</v>
      </c>
      <c r="BM54" s="3" t="e">
        <f>TEXT(WEEKDAY(DATE(CalendarYear,11,21),1),"aaa")</f>
        <v>#REF!</v>
      </c>
      <c r="BN54" s="3" t="e">
        <f>TEXT(WEEKDAY(DATE(CalendarYear,11,22),1),"aaa")</f>
        <v>#REF!</v>
      </c>
      <c r="BO54" s="3" t="e">
        <f>TEXT(WEEKDAY(DATE(CalendarYear,11,23),1),"aaa")</f>
        <v>#REF!</v>
      </c>
      <c r="BP54" s="3" t="e">
        <f>TEXT(WEEKDAY(DATE(CalendarYear,11,24),1),"aaa")</f>
        <v>#REF!</v>
      </c>
      <c r="BQ54" s="3" t="e">
        <f>TEXT(WEEKDAY(DATE(CalendarYear,11,25),1),"aaa")</f>
        <v>#REF!</v>
      </c>
      <c r="BR54" s="3" t="e">
        <f>TEXT(WEEKDAY(DATE(CalendarYear,11,26),1),"aaa")</f>
        <v>#REF!</v>
      </c>
      <c r="BS54" s="3" t="e">
        <f>TEXT(WEEKDAY(DATE(CalendarYear,11,27),1),"aaa")</f>
        <v>#REF!</v>
      </c>
      <c r="BT54" s="3" t="e">
        <f>TEXT(WEEKDAY(DATE(CalendarYear,11,28),1),"aaa")</f>
        <v>#REF!</v>
      </c>
      <c r="BU54" s="3" t="e">
        <f>TEXT(WEEKDAY(DATE(CalendarYear,11,29),1),"aaa")</f>
        <v>#REF!</v>
      </c>
      <c r="BV54" s="3" t="e">
        <f>TEXT(WEEKDAY(DATE(CalendarYear,11,30),1),"aaa")</f>
        <v>#REF!</v>
      </c>
      <c r="BW54" s="3"/>
      <c r="BY54" s="3" t="e">
        <f>TEXT(WEEKDAY(DATE(CalendarYear,11,1),1),"aaa")</f>
        <v>#REF!</v>
      </c>
      <c r="BZ54" s="3" t="e">
        <f>TEXT(WEEKDAY(DATE(CalendarYear,11,2),1),"aaa")</f>
        <v>#REF!</v>
      </c>
      <c r="CA54" s="3" t="e">
        <f>TEXT(WEEKDAY(DATE(CalendarYear,11,3),1),"aaa")</f>
        <v>#REF!</v>
      </c>
      <c r="CB54" s="3" t="e">
        <f>TEXT(WEEKDAY(DATE(CalendarYear,11,4),1),"aaa")</f>
        <v>#REF!</v>
      </c>
      <c r="CC54" s="3" t="e">
        <f>TEXT(WEEKDAY(DATE(CalendarYear,11,5),1),"aaa")</f>
        <v>#REF!</v>
      </c>
      <c r="CD54" s="3" t="e">
        <f>TEXT(WEEKDAY(DATE(CalendarYear,11,6),1),"aaa")</f>
        <v>#REF!</v>
      </c>
      <c r="CE54" s="3" t="e">
        <f>TEXT(WEEKDAY(DATE(CalendarYear,11,7),1),"aaa")</f>
        <v>#REF!</v>
      </c>
      <c r="CF54" s="3" t="e">
        <f>TEXT(WEEKDAY(DATE(CalendarYear,11,8),1),"aaa")</f>
        <v>#REF!</v>
      </c>
      <c r="CG54" s="3" t="e">
        <f>TEXT(WEEKDAY(DATE(CalendarYear,11,9),1),"aaa")</f>
        <v>#REF!</v>
      </c>
      <c r="CH54" s="3" t="e">
        <f>TEXT(WEEKDAY(DATE(CalendarYear,11,10),1),"aaa")</f>
        <v>#REF!</v>
      </c>
      <c r="CI54" s="3" t="e">
        <f>TEXT(WEEKDAY(DATE(CalendarYear,11,11),1),"aaa")</f>
        <v>#REF!</v>
      </c>
      <c r="CJ54" s="3" t="e">
        <f>TEXT(WEEKDAY(DATE(CalendarYear,11,12),1),"aaa")</f>
        <v>#REF!</v>
      </c>
      <c r="CK54" s="3" t="e">
        <f>TEXT(WEEKDAY(DATE(CalendarYear,11,13),1),"aaa")</f>
        <v>#REF!</v>
      </c>
      <c r="CL54" s="3" t="e">
        <f>TEXT(WEEKDAY(DATE(CalendarYear,11,14),1),"aaa")</f>
        <v>#REF!</v>
      </c>
      <c r="CM54" s="3" t="e">
        <f>TEXT(WEEKDAY(DATE(CalendarYear,11,15),1),"aaa")</f>
        <v>#REF!</v>
      </c>
      <c r="CN54" s="3" t="e">
        <f>TEXT(WEEKDAY(DATE(CalendarYear,11,16),1),"aaa")</f>
        <v>#REF!</v>
      </c>
      <c r="CO54" s="3" t="e">
        <f>TEXT(WEEKDAY(DATE(CalendarYear,11,17),1),"aaa")</f>
        <v>#REF!</v>
      </c>
      <c r="CP54" s="3" t="e">
        <f>TEXT(WEEKDAY(DATE(CalendarYear,11,18),1),"aaa")</f>
        <v>#REF!</v>
      </c>
      <c r="CQ54" s="3" t="e">
        <f>TEXT(WEEKDAY(DATE(CalendarYear,11,19),1),"aaa")</f>
        <v>#REF!</v>
      </c>
      <c r="CR54" s="3" t="e">
        <f>TEXT(WEEKDAY(DATE(CalendarYear,11,20),1),"aaa")</f>
        <v>#REF!</v>
      </c>
      <c r="CS54" s="3" t="e">
        <f>TEXT(WEEKDAY(DATE(CalendarYear,11,21),1),"aaa")</f>
        <v>#REF!</v>
      </c>
      <c r="CT54" s="3" t="e">
        <f>TEXT(WEEKDAY(DATE(CalendarYear,11,22),1),"aaa")</f>
        <v>#REF!</v>
      </c>
      <c r="CU54" s="3" t="e">
        <f>TEXT(WEEKDAY(DATE(CalendarYear,11,23),1),"aaa")</f>
        <v>#REF!</v>
      </c>
      <c r="CV54" s="3" t="e">
        <f>TEXT(WEEKDAY(DATE(CalendarYear,11,24),1),"aaa")</f>
        <v>#REF!</v>
      </c>
      <c r="CW54" s="3" t="e">
        <f>TEXT(WEEKDAY(DATE(CalendarYear,11,25),1),"aaa")</f>
        <v>#REF!</v>
      </c>
      <c r="CX54" s="3" t="e">
        <f>TEXT(WEEKDAY(DATE(CalendarYear,11,26),1),"aaa")</f>
        <v>#REF!</v>
      </c>
      <c r="CY54" s="3" t="e">
        <f>TEXT(WEEKDAY(DATE(CalendarYear,11,27),1),"aaa")</f>
        <v>#REF!</v>
      </c>
      <c r="CZ54" s="3" t="e">
        <f>TEXT(WEEKDAY(DATE(CalendarYear,11,28),1),"aaa")</f>
        <v>#REF!</v>
      </c>
      <c r="DA54" s="3" t="e">
        <f>TEXT(WEEKDAY(DATE(CalendarYear,11,29),1),"aaa")</f>
        <v>#REF!</v>
      </c>
      <c r="DB54" s="3" t="e">
        <f>TEXT(WEEKDAY(DATE(CalendarYear,11,30),1),"aaa")</f>
        <v>#REF!</v>
      </c>
      <c r="DC54" s="3"/>
      <c r="DE54" s="3" t="e">
        <f>TEXT(WEEKDAY(DATE(CalendarYear,11,1),1),"aaa")</f>
        <v>#REF!</v>
      </c>
      <c r="DF54" s="3" t="e">
        <f>TEXT(WEEKDAY(DATE(CalendarYear,11,2),1),"aaa")</f>
        <v>#REF!</v>
      </c>
      <c r="DG54" s="3" t="e">
        <f>TEXT(WEEKDAY(DATE(CalendarYear,11,3),1),"aaa")</f>
        <v>#REF!</v>
      </c>
      <c r="DH54" s="3" t="e">
        <f>TEXT(WEEKDAY(DATE(CalendarYear,11,4),1),"aaa")</f>
        <v>#REF!</v>
      </c>
      <c r="DI54" s="3" t="e">
        <f>TEXT(WEEKDAY(DATE(CalendarYear,11,5),1),"aaa")</f>
        <v>#REF!</v>
      </c>
      <c r="DJ54" s="3" t="e">
        <f>TEXT(WEEKDAY(DATE(CalendarYear,11,6),1),"aaa")</f>
        <v>#REF!</v>
      </c>
      <c r="DK54" s="3" t="e">
        <f>TEXT(WEEKDAY(DATE(CalendarYear,11,7),1),"aaa")</f>
        <v>#REF!</v>
      </c>
      <c r="DL54" s="3" t="e">
        <f>TEXT(WEEKDAY(DATE(CalendarYear,11,8),1),"aaa")</f>
        <v>#REF!</v>
      </c>
      <c r="DM54" s="3" t="e">
        <f>TEXT(WEEKDAY(DATE(CalendarYear,11,9),1),"aaa")</f>
        <v>#REF!</v>
      </c>
      <c r="DN54" s="3" t="e">
        <f>TEXT(WEEKDAY(DATE(CalendarYear,11,10),1),"aaa")</f>
        <v>#REF!</v>
      </c>
      <c r="DO54" s="3" t="e">
        <f>TEXT(WEEKDAY(DATE(CalendarYear,11,11),1),"aaa")</f>
        <v>#REF!</v>
      </c>
      <c r="DP54" s="3" t="e">
        <f>TEXT(WEEKDAY(DATE(CalendarYear,11,12),1),"aaa")</f>
        <v>#REF!</v>
      </c>
      <c r="DQ54" s="3" t="e">
        <f>TEXT(WEEKDAY(DATE(CalendarYear,11,13),1),"aaa")</f>
        <v>#REF!</v>
      </c>
      <c r="DR54" s="3" t="e">
        <f>TEXT(WEEKDAY(DATE(CalendarYear,11,14),1),"aaa")</f>
        <v>#REF!</v>
      </c>
      <c r="DS54" s="3" t="e">
        <f>TEXT(WEEKDAY(DATE(CalendarYear,11,15),1),"aaa")</f>
        <v>#REF!</v>
      </c>
      <c r="DT54" s="3" t="e">
        <f>TEXT(WEEKDAY(DATE(CalendarYear,11,16),1),"aaa")</f>
        <v>#REF!</v>
      </c>
      <c r="DU54" s="3" t="e">
        <f>TEXT(WEEKDAY(DATE(CalendarYear,11,17),1),"aaa")</f>
        <v>#REF!</v>
      </c>
      <c r="DV54" s="3" t="e">
        <f>TEXT(WEEKDAY(DATE(CalendarYear,11,18),1),"aaa")</f>
        <v>#REF!</v>
      </c>
      <c r="DW54" s="3" t="e">
        <f>TEXT(WEEKDAY(DATE(CalendarYear,11,19),1),"aaa")</f>
        <v>#REF!</v>
      </c>
      <c r="DX54" s="3" t="e">
        <f>TEXT(WEEKDAY(DATE(CalendarYear,11,20),1),"aaa")</f>
        <v>#REF!</v>
      </c>
      <c r="DY54" s="3" t="e">
        <f>TEXT(WEEKDAY(DATE(CalendarYear,11,21),1),"aaa")</f>
        <v>#REF!</v>
      </c>
      <c r="DZ54" s="3" t="e">
        <f>TEXT(WEEKDAY(DATE(CalendarYear,11,22),1),"aaa")</f>
        <v>#REF!</v>
      </c>
      <c r="EA54" s="3" t="e">
        <f>TEXT(WEEKDAY(DATE(CalendarYear,11,23),1),"aaa")</f>
        <v>#REF!</v>
      </c>
      <c r="EB54" s="3" t="e">
        <f>TEXT(WEEKDAY(DATE(CalendarYear,11,24),1),"aaa")</f>
        <v>#REF!</v>
      </c>
      <c r="EC54" s="3" t="e">
        <f>TEXT(WEEKDAY(DATE(CalendarYear,11,25),1),"aaa")</f>
        <v>#REF!</v>
      </c>
      <c r="ED54" s="3" t="e">
        <f>TEXT(WEEKDAY(DATE(CalendarYear,11,26),1),"aaa")</f>
        <v>#REF!</v>
      </c>
      <c r="EE54" s="3" t="e">
        <f>TEXT(WEEKDAY(DATE(CalendarYear,11,27),1),"aaa")</f>
        <v>#REF!</v>
      </c>
      <c r="EF54" s="3" t="e">
        <f>TEXT(WEEKDAY(DATE(CalendarYear,11,28),1),"aaa")</f>
        <v>#REF!</v>
      </c>
      <c r="EG54" s="3" t="e">
        <f>TEXT(WEEKDAY(DATE(CalendarYear,11,29),1),"aaa")</f>
        <v>#REF!</v>
      </c>
      <c r="EH54" s="3" t="e">
        <f>TEXT(WEEKDAY(DATE(CalendarYear,11,30),1),"aaa")</f>
        <v>#REF!</v>
      </c>
      <c r="EI54" s="3"/>
      <c r="EJ54" s="3"/>
      <c r="EK54" s="3"/>
      <c r="EM54" s="1" t="e">
        <f>(#REF!)</f>
        <v>#REF!</v>
      </c>
      <c r="EN54" s="9" t="e">
        <f>(#REF!)</f>
        <v>#REF!</v>
      </c>
      <c r="EO54" s="9" t="e">
        <f>(#REF!)</f>
        <v>#REF!</v>
      </c>
      <c r="EP54" s="9" t="e">
        <f>(#REF!)</f>
        <v>#REF!</v>
      </c>
      <c r="ES54" s="12" t="s">
        <v>52</v>
      </c>
      <c r="ET54" s="12">
        <v>30000</v>
      </c>
    </row>
    <row r="55" spans="1:150" ht="18" customHeight="1" x14ac:dyDescent="0.3">
      <c r="A55" s="32" t="str">
        <f>(SALES!$A:$A)</f>
        <v>Thursday, 4 January 2024</v>
      </c>
      <c r="B55" s="1">
        <f>(SALES!$C:$C)</f>
        <v>7</v>
      </c>
      <c r="C55" s="1">
        <f>(SALES!$D:$D)</f>
        <v>1</v>
      </c>
      <c r="D55" s="1" t="str">
        <f>(SALES!$E:$E)</f>
        <v>BEEF</v>
      </c>
      <c r="E55" s="1">
        <f>(SALES!$F:$F)</f>
        <v>16000</v>
      </c>
      <c r="F55" s="1">
        <f>(SALES!$G:$G)</f>
        <v>16000</v>
      </c>
      <c r="H55" s="2">
        <f>(EXPENSES!$A:$A)</f>
        <v>45300</v>
      </c>
      <c r="I55" s="10">
        <f>(EXPENSES!$B:$B)</f>
        <v>2</v>
      </c>
      <c r="J55" s="10" t="str">
        <f>(EXPENSES!$C:$C)</f>
        <v>TOILET PAPER</v>
      </c>
      <c r="K55" s="10">
        <f>(EXPENSES!$D:$D)</f>
        <v>2400</v>
      </c>
      <c r="M55" s="2">
        <v>45597</v>
      </c>
      <c r="N55" s="2">
        <v>45598</v>
      </c>
      <c r="O55" s="2">
        <v>45599</v>
      </c>
      <c r="P55" s="2">
        <v>45600</v>
      </c>
      <c r="Q55" s="2">
        <v>45601</v>
      </c>
      <c r="R55" s="2">
        <v>45602</v>
      </c>
      <c r="S55" s="2">
        <v>45603</v>
      </c>
      <c r="T55" s="2">
        <v>45604</v>
      </c>
      <c r="U55" s="2">
        <v>45605</v>
      </c>
      <c r="V55" s="2">
        <v>45606</v>
      </c>
      <c r="W55" s="2">
        <v>45607</v>
      </c>
      <c r="X55" s="2">
        <v>45608</v>
      </c>
      <c r="Y55" s="2">
        <v>45609</v>
      </c>
      <c r="Z55" s="2">
        <v>45610</v>
      </c>
      <c r="AA55" s="2">
        <v>45611</v>
      </c>
      <c r="AB55" s="2">
        <v>45612</v>
      </c>
      <c r="AC55" s="2">
        <v>45613</v>
      </c>
      <c r="AD55" s="2">
        <v>45614</v>
      </c>
      <c r="AE55" s="2">
        <v>45615</v>
      </c>
      <c r="AF55" s="2">
        <v>45616</v>
      </c>
      <c r="AG55" s="2">
        <v>45617</v>
      </c>
      <c r="AH55" s="2">
        <v>45618</v>
      </c>
      <c r="AI55" s="2">
        <v>45619</v>
      </c>
      <c r="AJ55" s="2">
        <v>45620</v>
      </c>
      <c r="AK55" s="2">
        <v>45621</v>
      </c>
      <c r="AL55" s="2">
        <v>45622</v>
      </c>
      <c r="AM55" s="2">
        <v>45623</v>
      </c>
      <c r="AN55" s="2">
        <v>45624</v>
      </c>
      <c r="AO55" s="2">
        <v>45625</v>
      </c>
      <c r="AP55" s="2">
        <v>45626</v>
      </c>
      <c r="AQ55" s="3"/>
      <c r="AS55" s="2">
        <v>45597</v>
      </c>
      <c r="AT55" s="2">
        <v>45598</v>
      </c>
      <c r="AU55" s="2">
        <v>45599</v>
      </c>
      <c r="AV55" s="2">
        <v>45600</v>
      </c>
      <c r="AW55" s="2">
        <v>45601</v>
      </c>
      <c r="AX55" s="2">
        <v>45602</v>
      </c>
      <c r="AY55" s="2">
        <v>45603</v>
      </c>
      <c r="AZ55" s="2">
        <v>45604</v>
      </c>
      <c r="BA55" s="2">
        <v>45605</v>
      </c>
      <c r="BB55" s="2">
        <v>45606</v>
      </c>
      <c r="BC55" s="2">
        <v>45607</v>
      </c>
      <c r="BD55" s="2">
        <v>45608</v>
      </c>
      <c r="BE55" s="2">
        <v>45609</v>
      </c>
      <c r="BF55" s="2">
        <v>45610</v>
      </c>
      <c r="BG55" s="2">
        <v>45611</v>
      </c>
      <c r="BH55" s="2">
        <v>45612</v>
      </c>
      <c r="BI55" s="2">
        <v>45613</v>
      </c>
      <c r="BJ55" s="2">
        <v>45614</v>
      </c>
      <c r="BK55" s="2">
        <v>45615</v>
      </c>
      <c r="BL55" s="2">
        <v>45616</v>
      </c>
      <c r="BM55" s="2">
        <v>45617</v>
      </c>
      <c r="BN55" s="2">
        <v>45618</v>
      </c>
      <c r="BO55" s="2">
        <v>45619</v>
      </c>
      <c r="BP55" s="2">
        <v>45620</v>
      </c>
      <c r="BQ55" s="2">
        <v>45621</v>
      </c>
      <c r="BR55" s="2">
        <v>45622</v>
      </c>
      <c r="BS55" s="2">
        <v>45623</v>
      </c>
      <c r="BT55" s="2">
        <v>45624</v>
      </c>
      <c r="BU55" s="2">
        <v>45625</v>
      </c>
      <c r="BV55" s="2">
        <v>45626</v>
      </c>
      <c r="BW55" s="3"/>
      <c r="BY55" s="2">
        <v>45597</v>
      </c>
      <c r="BZ55" s="2">
        <v>45598</v>
      </c>
      <c r="CA55" s="2">
        <v>45599</v>
      </c>
      <c r="CB55" s="2">
        <v>45600</v>
      </c>
      <c r="CC55" s="2">
        <v>45601</v>
      </c>
      <c r="CD55" s="2">
        <v>45602</v>
      </c>
      <c r="CE55" s="2">
        <v>45603</v>
      </c>
      <c r="CF55" s="2">
        <v>45604</v>
      </c>
      <c r="CG55" s="2">
        <v>45605</v>
      </c>
      <c r="CH55" s="2">
        <v>45606</v>
      </c>
      <c r="CI55" s="2">
        <v>45607</v>
      </c>
      <c r="CJ55" s="2">
        <v>45608</v>
      </c>
      <c r="CK55" s="2">
        <v>45609</v>
      </c>
      <c r="CL55" s="2">
        <v>45610</v>
      </c>
      <c r="CM55" s="2">
        <v>45611</v>
      </c>
      <c r="CN55" s="2">
        <v>45612</v>
      </c>
      <c r="CO55" s="2">
        <v>45613</v>
      </c>
      <c r="CP55" s="2">
        <v>45614</v>
      </c>
      <c r="CQ55" s="2">
        <v>45615</v>
      </c>
      <c r="CR55" s="2">
        <v>45616</v>
      </c>
      <c r="CS55" s="2">
        <v>45617</v>
      </c>
      <c r="CT55" s="2">
        <v>45618</v>
      </c>
      <c r="CU55" s="2">
        <v>45619</v>
      </c>
      <c r="CV55" s="2">
        <v>45620</v>
      </c>
      <c r="CW55" s="2">
        <v>45621</v>
      </c>
      <c r="CX55" s="2">
        <v>45622</v>
      </c>
      <c r="CY55" s="2">
        <v>45623</v>
      </c>
      <c r="CZ55" s="2">
        <v>45624</v>
      </c>
      <c r="DA55" s="2">
        <v>45625</v>
      </c>
      <c r="DB55" s="2">
        <v>45626</v>
      </c>
      <c r="DC55" s="3"/>
      <c r="DE55" s="2">
        <v>45597</v>
      </c>
      <c r="DF55" s="2">
        <v>45598</v>
      </c>
      <c r="DG55" s="2">
        <v>45599</v>
      </c>
      <c r="DH55" s="2">
        <v>45600</v>
      </c>
      <c r="DI55" s="2">
        <v>45601</v>
      </c>
      <c r="DJ55" s="2">
        <v>45602</v>
      </c>
      <c r="DK55" s="2">
        <v>45603</v>
      </c>
      <c r="DL55" s="2">
        <v>45604</v>
      </c>
      <c r="DM55" s="2">
        <v>45605</v>
      </c>
      <c r="DN55" s="2">
        <v>45606</v>
      </c>
      <c r="DO55" s="2">
        <v>45607</v>
      </c>
      <c r="DP55" s="2">
        <v>45608</v>
      </c>
      <c r="DQ55" s="2">
        <v>45609</v>
      </c>
      <c r="DR55" s="2">
        <v>45610</v>
      </c>
      <c r="DS55" s="2">
        <v>45611</v>
      </c>
      <c r="DT55" s="2">
        <v>45612</v>
      </c>
      <c r="DU55" s="2">
        <v>45613</v>
      </c>
      <c r="DV55" s="2">
        <v>45614</v>
      </c>
      <c r="DW55" s="2">
        <v>45615</v>
      </c>
      <c r="DX55" s="2">
        <v>45616</v>
      </c>
      <c r="DY55" s="2">
        <v>45617</v>
      </c>
      <c r="DZ55" s="2">
        <v>45618</v>
      </c>
      <c r="EA55" s="2">
        <v>45619</v>
      </c>
      <c r="EB55" s="2">
        <v>45620</v>
      </c>
      <c r="EC55" s="2">
        <v>45621</v>
      </c>
      <c r="ED55" s="2">
        <v>45622</v>
      </c>
      <c r="EE55" s="2">
        <v>45623</v>
      </c>
      <c r="EF55" s="2">
        <v>45624</v>
      </c>
      <c r="EG55" s="2">
        <v>45625</v>
      </c>
      <c r="EH55" s="2">
        <v>45626</v>
      </c>
      <c r="EI55" s="3"/>
      <c r="EM55" s="1" t="e">
        <f>(#REF!)</f>
        <v>#REF!</v>
      </c>
      <c r="EN55" s="9" t="e">
        <f>(#REF!)</f>
        <v>#REF!</v>
      </c>
      <c r="EO55" s="9" t="e">
        <f>(#REF!)</f>
        <v>#REF!</v>
      </c>
      <c r="EP55" s="9" t="e">
        <f>(#REF!)</f>
        <v>#REF!</v>
      </c>
      <c r="ES55" s="12" t="s">
        <v>52</v>
      </c>
      <c r="ET55" s="12">
        <v>50000</v>
      </c>
    </row>
    <row r="56" spans="1:150" ht="18" customHeight="1" x14ac:dyDescent="0.3">
      <c r="A56" s="32" t="str">
        <f>(SALES!$A:$A)</f>
        <v>Thursday, 4 January 2024</v>
      </c>
      <c r="B56" s="1">
        <f>(SALES!$C:$C)</f>
        <v>10</v>
      </c>
      <c r="C56" s="1">
        <f>(SALES!$D:$D)</f>
        <v>2</v>
      </c>
      <c r="D56" s="1" t="str">
        <f>(SALES!$E:$E)</f>
        <v>MATOOKE KGS</v>
      </c>
      <c r="E56" s="1">
        <f>(SALES!$F:$F)</f>
        <v>1500</v>
      </c>
      <c r="F56" s="1">
        <f>(SALES!$G:$G)</f>
        <v>3000</v>
      </c>
      <c r="H56" s="2">
        <f>(EXPENSES!$A:$A)</f>
        <v>45300</v>
      </c>
      <c r="I56" s="10">
        <f>(EXPENSES!$B:$B)</f>
        <v>17</v>
      </c>
      <c r="J56" s="10" t="str">
        <f>(EXPENSES!$C:$C)</f>
        <v>PAID FRANK</v>
      </c>
      <c r="K56" s="10">
        <f>(EXPENSES!$D:$D)</f>
        <v>3000</v>
      </c>
      <c r="M56" s="3">
        <f t="shared" ref="M56:AP56" si="40">SUMIF($A:$A, "01/01/2024",$F:$F )</f>
        <v>0</v>
      </c>
      <c r="N56" s="3">
        <f t="shared" si="40"/>
        <v>0</v>
      </c>
      <c r="O56" s="3">
        <f t="shared" si="40"/>
        <v>0</v>
      </c>
      <c r="P56" s="3">
        <f t="shared" si="40"/>
        <v>0</v>
      </c>
      <c r="Q56" s="3">
        <f t="shared" si="40"/>
        <v>0</v>
      </c>
      <c r="R56" s="3">
        <f t="shared" si="40"/>
        <v>0</v>
      </c>
      <c r="S56" s="3">
        <f t="shared" si="40"/>
        <v>0</v>
      </c>
      <c r="T56" s="3">
        <f t="shared" si="40"/>
        <v>0</v>
      </c>
      <c r="U56" s="3">
        <f t="shared" si="40"/>
        <v>0</v>
      </c>
      <c r="V56" s="3">
        <f t="shared" si="40"/>
        <v>0</v>
      </c>
      <c r="W56" s="3">
        <f t="shared" si="40"/>
        <v>0</v>
      </c>
      <c r="X56" s="3">
        <f t="shared" si="40"/>
        <v>0</v>
      </c>
      <c r="Y56" s="3">
        <f t="shared" si="40"/>
        <v>0</v>
      </c>
      <c r="Z56" s="3">
        <f t="shared" si="40"/>
        <v>0</v>
      </c>
      <c r="AA56" s="3">
        <f t="shared" si="40"/>
        <v>0</v>
      </c>
      <c r="AB56" s="3">
        <f t="shared" si="40"/>
        <v>0</v>
      </c>
      <c r="AC56" s="3">
        <f t="shared" si="40"/>
        <v>0</v>
      </c>
      <c r="AD56" s="3">
        <f t="shared" si="40"/>
        <v>0</v>
      </c>
      <c r="AE56" s="3">
        <f t="shared" si="40"/>
        <v>0</v>
      </c>
      <c r="AF56" s="3">
        <f t="shared" si="40"/>
        <v>0</v>
      </c>
      <c r="AG56" s="3">
        <f t="shared" si="40"/>
        <v>0</v>
      </c>
      <c r="AH56" s="3">
        <f t="shared" si="40"/>
        <v>0</v>
      </c>
      <c r="AI56" s="3">
        <f t="shared" si="40"/>
        <v>0</v>
      </c>
      <c r="AJ56" s="3">
        <f t="shared" si="40"/>
        <v>0</v>
      </c>
      <c r="AK56" s="3">
        <f t="shared" si="40"/>
        <v>0</v>
      </c>
      <c r="AL56" s="3">
        <f t="shared" si="40"/>
        <v>0</v>
      </c>
      <c r="AM56" s="3">
        <f t="shared" si="40"/>
        <v>0</v>
      </c>
      <c r="AN56" s="3">
        <f t="shared" si="40"/>
        <v>0</v>
      </c>
      <c r="AO56" s="3">
        <f t="shared" si="40"/>
        <v>0</v>
      </c>
      <c r="AP56" s="3">
        <f t="shared" si="40"/>
        <v>0</v>
      </c>
      <c r="AS56" s="3">
        <f t="shared" ref="AS56:BV56" si="41">SUMIF($A:$A, "01/01/2024",$F:$F )</f>
        <v>0</v>
      </c>
      <c r="AT56" s="3">
        <f t="shared" si="41"/>
        <v>0</v>
      </c>
      <c r="AU56" s="3">
        <f t="shared" si="41"/>
        <v>0</v>
      </c>
      <c r="AV56" s="3">
        <f t="shared" si="41"/>
        <v>0</v>
      </c>
      <c r="AW56" s="3">
        <f t="shared" si="41"/>
        <v>0</v>
      </c>
      <c r="AX56" s="3">
        <f t="shared" si="41"/>
        <v>0</v>
      </c>
      <c r="AY56" s="3">
        <f t="shared" si="41"/>
        <v>0</v>
      </c>
      <c r="AZ56" s="3">
        <f t="shared" si="41"/>
        <v>0</v>
      </c>
      <c r="BA56" s="3">
        <f t="shared" si="41"/>
        <v>0</v>
      </c>
      <c r="BB56" s="3">
        <f t="shared" si="41"/>
        <v>0</v>
      </c>
      <c r="BC56" s="3">
        <f t="shared" si="41"/>
        <v>0</v>
      </c>
      <c r="BD56" s="3">
        <f t="shared" si="41"/>
        <v>0</v>
      </c>
      <c r="BE56" s="3">
        <f t="shared" si="41"/>
        <v>0</v>
      </c>
      <c r="BF56" s="3">
        <f t="shared" si="41"/>
        <v>0</v>
      </c>
      <c r="BG56" s="3">
        <f t="shared" si="41"/>
        <v>0</v>
      </c>
      <c r="BH56" s="3">
        <f t="shared" si="41"/>
        <v>0</v>
      </c>
      <c r="BI56" s="3">
        <f t="shared" si="41"/>
        <v>0</v>
      </c>
      <c r="BJ56" s="3">
        <f t="shared" si="41"/>
        <v>0</v>
      </c>
      <c r="BK56" s="3">
        <f t="shared" si="41"/>
        <v>0</v>
      </c>
      <c r="BL56" s="3">
        <f t="shared" si="41"/>
        <v>0</v>
      </c>
      <c r="BM56" s="3">
        <f t="shared" si="41"/>
        <v>0</v>
      </c>
      <c r="BN56" s="3">
        <f t="shared" si="41"/>
        <v>0</v>
      </c>
      <c r="BO56" s="3">
        <f t="shared" si="41"/>
        <v>0</v>
      </c>
      <c r="BP56" s="3">
        <f t="shared" si="41"/>
        <v>0</v>
      </c>
      <c r="BQ56" s="3">
        <f t="shared" si="41"/>
        <v>0</v>
      </c>
      <c r="BR56" s="3">
        <f t="shared" si="41"/>
        <v>0</v>
      </c>
      <c r="BS56" s="3">
        <f t="shared" si="41"/>
        <v>0</v>
      </c>
      <c r="BT56" s="3">
        <f t="shared" si="41"/>
        <v>0</v>
      </c>
      <c r="BU56" s="3">
        <f t="shared" si="41"/>
        <v>0</v>
      </c>
      <c r="BV56" s="3">
        <f t="shared" si="41"/>
        <v>0</v>
      </c>
      <c r="BY56" s="3">
        <f>(M56-AS56)</f>
        <v>0</v>
      </c>
      <c r="BZ56" s="3">
        <f t="shared" ref="BZ56:DB56" si="42">SUMIF($A:$A, "01/01/2024",$F:$F )</f>
        <v>0</v>
      </c>
      <c r="CA56" s="3">
        <f t="shared" si="42"/>
        <v>0</v>
      </c>
      <c r="CB56" s="3">
        <f t="shared" si="42"/>
        <v>0</v>
      </c>
      <c r="CC56" s="3">
        <f t="shared" si="42"/>
        <v>0</v>
      </c>
      <c r="CD56" s="3">
        <f t="shared" si="42"/>
        <v>0</v>
      </c>
      <c r="CE56" s="3">
        <f t="shared" si="42"/>
        <v>0</v>
      </c>
      <c r="CF56" s="3">
        <f t="shared" si="42"/>
        <v>0</v>
      </c>
      <c r="CG56" s="3">
        <f t="shared" si="42"/>
        <v>0</v>
      </c>
      <c r="CH56" s="3">
        <f t="shared" si="42"/>
        <v>0</v>
      </c>
      <c r="CI56" s="3">
        <f t="shared" si="42"/>
        <v>0</v>
      </c>
      <c r="CJ56" s="3">
        <f t="shared" si="42"/>
        <v>0</v>
      </c>
      <c r="CK56" s="3">
        <f t="shared" si="42"/>
        <v>0</v>
      </c>
      <c r="CL56" s="3">
        <f t="shared" si="42"/>
        <v>0</v>
      </c>
      <c r="CM56" s="3">
        <f t="shared" si="42"/>
        <v>0</v>
      </c>
      <c r="CN56" s="3">
        <f t="shared" si="42"/>
        <v>0</v>
      </c>
      <c r="CO56" s="3">
        <f t="shared" si="42"/>
        <v>0</v>
      </c>
      <c r="CP56" s="3">
        <f t="shared" si="42"/>
        <v>0</v>
      </c>
      <c r="CQ56" s="3">
        <f t="shared" si="42"/>
        <v>0</v>
      </c>
      <c r="CR56" s="3">
        <f t="shared" si="42"/>
        <v>0</v>
      </c>
      <c r="CS56" s="3">
        <f t="shared" si="42"/>
        <v>0</v>
      </c>
      <c r="CT56" s="3">
        <f t="shared" si="42"/>
        <v>0</v>
      </c>
      <c r="CU56" s="3">
        <f t="shared" si="42"/>
        <v>0</v>
      </c>
      <c r="CV56" s="3">
        <f t="shared" si="42"/>
        <v>0</v>
      </c>
      <c r="CW56" s="3">
        <f t="shared" si="42"/>
        <v>0</v>
      </c>
      <c r="CX56" s="3">
        <f t="shared" si="42"/>
        <v>0</v>
      </c>
      <c r="CY56" s="3">
        <f t="shared" si="42"/>
        <v>0</v>
      </c>
      <c r="CZ56" s="3">
        <f t="shared" si="42"/>
        <v>0</v>
      </c>
      <c r="DA56" s="3">
        <f t="shared" si="42"/>
        <v>0</v>
      </c>
      <c r="DB56" s="3">
        <f t="shared" si="42"/>
        <v>0</v>
      </c>
      <c r="DE56" s="3">
        <f t="shared" ref="DE56:EH56" si="43">SUMIF($A:$A, "01/01/2024",$F:$F )</f>
        <v>0</v>
      </c>
      <c r="DF56" s="3">
        <f t="shared" si="43"/>
        <v>0</v>
      </c>
      <c r="DG56" s="3">
        <f t="shared" si="43"/>
        <v>0</v>
      </c>
      <c r="DH56" s="3">
        <f t="shared" si="43"/>
        <v>0</v>
      </c>
      <c r="DI56" s="3">
        <f t="shared" si="43"/>
        <v>0</v>
      </c>
      <c r="DJ56" s="3">
        <f t="shared" si="43"/>
        <v>0</v>
      </c>
      <c r="DK56" s="3">
        <f t="shared" si="43"/>
        <v>0</v>
      </c>
      <c r="DL56" s="3">
        <f t="shared" si="43"/>
        <v>0</v>
      </c>
      <c r="DM56" s="3">
        <f t="shared" si="43"/>
        <v>0</v>
      </c>
      <c r="DN56" s="3">
        <f t="shared" si="43"/>
        <v>0</v>
      </c>
      <c r="DO56" s="3">
        <f t="shared" si="43"/>
        <v>0</v>
      </c>
      <c r="DP56" s="3">
        <f t="shared" si="43"/>
        <v>0</v>
      </c>
      <c r="DQ56" s="3">
        <f t="shared" si="43"/>
        <v>0</v>
      </c>
      <c r="DR56" s="3">
        <f t="shared" si="43"/>
        <v>0</v>
      </c>
      <c r="DS56" s="3">
        <f t="shared" si="43"/>
        <v>0</v>
      </c>
      <c r="DT56" s="3">
        <f t="shared" si="43"/>
        <v>0</v>
      </c>
      <c r="DU56" s="3">
        <f t="shared" si="43"/>
        <v>0</v>
      </c>
      <c r="DV56" s="3">
        <f t="shared" si="43"/>
        <v>0</v>
      </c>
      <c r="DW56" s="3">
        <f t="shared" si="43"/>
        <v>0</v>
      </c>
      <c r="DX56" s="3">
        <f t="shared" si="43"/>
        <v>0</v>
      </c>
      <c r="DY56" s="3">
        <f t="shared" si="43"/>
        <v>0</v>
      </c>
      <c r="DZ56" s="3">
        <f t="shared" si="43"/>
        <v>0</v>
      </c>
      <c r="EA56" s="3">
        <f t="shared" si="43"/>
        <v>0</v>
      </c>
      <c r="EB56" s="3">
        <f t="shared" si="43"/>
        <v>0</v>
      </c>
      <c r="EC56" s="3">
        <f t="shared" si="43"/>
        <v>0</v>
      </c>
      <c r="ED56" s="3">
        <f t="shared" si="43"/>
        <v>0</v>
      </c>
      <c r="EE56" s="3">
        <f t="shared" si="43"/>
        <v>0</v>
      </c>
      <c r="EF56" s="3">
        <f t="shared" si="43"/>
        <v>0</v>
      </c>
      <c r="EG56" s="3">
        <f t="shared" si="43"/>
        <v>0</v>
      </c>
      <c r="EH56" s="3">
        <f t="shared" si="43"/>
        <v>0</v>
      </c>
      <c r="EM56" s="1" t="e">
        <f>(#REF!)</f>
        <v>#REF!</v>
      </c>
      <c r="EN56" s="9" t="e">
        <f>(#REF!)</f>
        <v>#REF!</v>
      </c>
      <c r="EO56" s="9" t="e">
        <f>(#REF!)</f>
        <v>#REF!</v>
      </c>
      <c r="EP56" s="9" t="e">
        <f>(#REF!)</f>
        <v>#REF!</v>
      </c>
      <c r="ES56" s="12" t="s">
        <v>52</v>
      </c>
      <c r="ET56" s="12">
        <v>15000</v>
      </c>
    </row>
    <row r="57" spans="1:150" ht="18" customHeight="1" x14ac:dyDescent="0.3">
      <c r="A57" s="32" t="str">
        <f>(SALES!$A:$A)</f>
        <v>Thursday, 4 January 2024</v>
      </c>
      <c r="B57" s="1">
        <f>(SALES!$C:$C)</f>
        <v>11</v>
      </c>
      <c r="C57" s="1">
        <f>(SALES!$D:$D)</f>
        <v>0.5</v>
      </c>
      <c r="D57" s="1" t="str">
        <f>(SALES!$E:$E)</f>
        <v>MILK</v>
      </c>
      <c r="E57" s="1">
        <f>(SALES!$F:$F)</f>
        <v>2000</v>
      </c>
      <c r="F57" s="1">
        <f>(SALES!$G:$G)</f>
        <v>1000</v>
      </c>
      <c r="H57" s="2">
        <f>(EXPENSES!$A:$A)</f>
        <v>45300</v>
      </c>
      <c r="I57" s="10">
        <f>(EXPENSES!$B:$B)</f>
        <v>8</v>
      </c>
      <c r="J57" s="10" t="str">
        <f>(EXPENSES!$C:$C)</f>
        <v>BOUGHT MAJORAM</v>
      </c>
      <c r="K57" s="10">
        <f>(EXPENSES!$D:$D)</f>
        <v>3300</v>
      </c>
      <c r="M57" s="3"/>
      <c r="AS57" s="3"/>
      <c r="BY57" s="3"/>
      <c r="DE57" s="3"/>
      <c r="EJ57" s="12"/>
      <c r="EK57" s="12"/>
      <c r="EM57" s="1" t="e">
        <f>(#REF!)</f>
        <v>#REF!</v>
      </c>
      <c r="EN57" s="9" t="e">
        <f>(#REF!)</f>
        <v>#REF!</v>
      </c>
      <c r="EO57" s="9" t="e">
        <f>(#REF!)</f>
        <v>#REF!</v>
      </c>
      <c r="EP57" s="9" t="e">
        <f>(#REF!)</f>
        <v>#REF!</v>
      </c>
      <c r="ES57" s="12" t="s">
        <v>52</v>
      </c>
      <c r="ET57" s="12">
        <v>24000</v>
      </c>
    </row>
    <row r="58" spans="1:150" ht="23.45" customHeight="1" x14ac:dyDescent="0.3">
      <c r="A58" s="32" t="str">
        <f>(SALES!$A:$A)</f>
        <v>Thursday, 4 January 2024</v>
      </c>
      <c r="B58" s="1">
        <f>(SALES!$C:$C)</f>
        <v>12</v>
      </c>
      <c r="C58" s="1">
        <f>(SALES!$D:$D)</f>
        <v>1.5</v>
      </c>
      <c r="D58" s="1" t="str">
        <f>(SALES!$E:$E)</f>
        <v>MILK</v>
      </c>
      <c r="E58" s="1">
        <f>(SALES!$F:$F)</f>
        <v>2000</v>
      </c>
      <c r="F58" s="1">
        <f>(SALES!$G:$G)</f>
        <v>3000</v>
      </c>
      <c r="H58" s="2">
        <f>(EXPENSES!$A:$A)</f>
        <v>45300</v>
      </c>
      <c r="I58" s="10">
        <f>(EXPENSES!$B:$B)</f>
        <v>12</v>
      </c>
      <c r="J58" s="10" t="str">
        <f>(EXPENSES!$C:$C)</f>
        <v>BOUGHT GARLIC</v>
      </c>
      <c r="K58" s="10">
        <f>(EXPENSES!$D:$D)</f>
        <v>3500</v>
      </c>
      <c r="M58" s="47" t="s">
        <v>54</v>
      </c>
      <c r="N58" s="48"/>
      <c r="O58" s="48"/>
      <c r="P58" s="48"/>
      <c r="Q58" s="48"/>
      <c r="R58" s="48"/>
      <c r="S58" s="48"/>
      <c r="T58" s="48"/>
      <c r="U58" s="48"/>
      <c r="V58" s="48"/>
      <c r="W58" s="48"/>
      <c r="X58" s="48"/>
      <c r="Y58" s="48"/>
      <c r="Z58" s="48"/>
      <c r="AA58" s="48"/>
      <c r="AB58" s="48"/>
      <c r="AC58" s="48"/>
      <c r="AD58" s="48"/>
      <c r="AE58" s="48"/>
      <c r="AF58" s="48"/>
      <c r="AG58" s="48"/>
      <c r="AH58" s="48"/>
      <c r="AI58" s="48"/>
      <c r="AJ58" s="48"/>
      <c r="AK58" s="48"/>
      <c r="AL58" s="48"/>
      <c r="AM58" s="48"/>
      <c r="AN58" s="48"/>
      <c r="AO58" s="48"/>
      <c r="AP58" s="48"/>
      <c r="AQ58" s="49"/>
      <c r="AS58" s="47" t="s">
        <v>54</v>
      </c>
      <c r="AT58" s="48"/>
      <c r="AU58" s="48"/>
      <c r="AV58" s="48"/>
      <c r="AW58" s="48"/>
      <c r="AX58" s="48"/>
      <c r="AY58" s="48"/>
      <c r="AZ58" s="48"/>
      <c r="BA58" s="48"/>
      <c r="BB58" s="48"/>
      <c r="BC58" s="48"/>
      <c r="BD58" s="48"/>
      <c r="BE58" s="48"/>
      <c r="BF58" s="48"/>
      <c r="BG58" s="48"/>
      <c r="BH58" s="48"/>
      <c r="BI58" s="48"/>
      <c r="BJ58" s="48"/>
      <c r="BK58" s="48"/>
      <c r="BL58" s="48"/>
      <c r="BM58" s="48"/>
      <c r="BN58" s="48"/>
      <c r="BO58" s="48"/>
      <c r="BP58" s="48"/>
      <c r="BQ58" s="48"/>
      <c r="BR58" s="48"/>
      <c r="BS58" s="48"/>
      <c r="BT58" s="48"/>
      <c r="BU58" s="48"/>
      <c r="BV58" s="48"/>
      <c r="BW58" s="49"/>
      <c r="BY58" s="47" t="s">
        <v>54</v>
      </c>
      <c r="BZ58" s="48"/>
      <c r="CA58" s="48"/>
      <c r="CB58" s="48"/>
      <c r="CC58" s="48"/>
      <c r="CD58" s="48"/>
      <c r="CE58" s="48"/>
      <c r="CF58" s="48"/>
      <c r="CG58" s="48"/>
      <c r="CH58" s="48"/>
      <c r="CI58" s="48"/>
      <c r="CJ58" s="48"/>
      <c r="CK58" s="48"/>
      <c r="CL58" s="48"/>
      <c r="CM58" s="48"/>
      <c r="CN58" s="48"/>
      <c r="CO58" s="48"/>
      <c r="CP58" s="48"/>
      <c r="CQ58" s="48"/>
      <c r="CR58" s="48"/>
      <c r="CS58" s="48"/>
      <c r="CT58" s="48"/>
      <c r="CU58" s="48"/>
      <c r="CV58" s="48"/>
      <c r="CW58" s="48"/>
      <c r="CX58" s="48"/>
      <c r="CY58" s="48"/>
      <c r="CZ58" s="48"/>
      <c r="DA58" s="48"/>
      <c r="DB58" s="48"/>
      <c r="DC58" s="49"/>
      <c r="DE58" s="47" t="s">
        <v>54</v>
      </c>
      <c r="DF58" s="48"/>
      <c r="DG58" s="48"/>
      <c r="DH58" s="48"/>
      <c r="DI58" s="48"/>
      <c r="DJ58" s="48"/>
      <c r="DK58" s="48"/>
      <c r="DL58" s="48"/>
      <c r="DM58" s="48"/>
      <c r="DN58" s="48"/>
      <c r="DO58" s="48"/>
      <c r="DP58" s="48"/>
      <c r="DQ58" s="48"/>
      <c r="DR58" s="48"/>
      <c r="DS58" s="48"/>
      <c r="DT58" s="48"/>
      <c r="DU58" s="48"/>
      <c r="DV58" s="48"/>
      <c r="DW58" s="48"/>
      <c r="DX58" s="48"/>
      <c r="DY58" s="48"/>
      <c r="DZ58" s="48"/>
      <c r="EA58" s="48"/>
      <c r="EB58" s="48"/>
      <c r="EC58" s="48"/>
      <c r="ED58" s="48"/>
      <c r="EE58" s="48"/>
      <c r="EF58" s="48"/>
      <c r="EG58" s="48"/>
      <c r="EH58" s="48"/>
      <c r="EI58" s="49"/>
      <c r="EJ58" s="3"/>
      <c r="EK58" s="3"/>
      <c r="EM58" s="1" t="e">
        <f>(#REF!)</f>
        <v>#REF!</v>
      </c>
      <c r="EN58" s="9" t="e">
        <f>(#REF!)</f>
        <v>#REF!</v>
      </c>
      <c r="EO58" s="9" t="e">
        <f>(#REF!)</f>
        <v>#REF!</v>
      </c>
      <c r="EP58" s="9" t="e">
        <f>(#REF!)</f>
        <v>#REF!</v>
      </c>
      <c r="ES58" s="12" t="s">
        <v>52</v>
      </c>
      <c r="ET58" s="12">
        <v>40000</v>
      </c>
    </row>
    <row r="59" spans="1:150" ht="18" customHeight="1" x14ac:dyDescent="0.3">
      <c r="A59" s="32" t="str">
        <f>(SALES!$A:$A)</f>
        <v>Thursday, 4 January 2024</v>
      </c>
      <c r="B59" s="1">
        <f>(SALES!$C:$C)</f>
        <v>13</v>
      </c>
      <c r="C59" s="1">
        <f>(SALES!$D:$D)</f>
        <v>6</v>
      </c>
      <c r="D59" s="1" t="str">
        <f>(SALES!$E:$E)</f>
        <v>MATOOKE KGS</v>
      </c>
      <c r="E59" s="1">
        <f>(SALES!$F:$F)</f>
        <v>1500</v>
      </c>
      <c r="F59" s="1">
        <f>(SALES!$G:$G)</f>
        <v>9000</v>
      </c>
      <c r="H59" s="2">
        <f>(EXPENSES!$A:$A)</f>
        <v>45300</v>
      </c>
      <c r="I59" s="10">
        <f>(EXPENSES!$B:$B)</f>
        <v>9</v>
      </c>
      <c r="J59" s="10" t="str">
        <f>(EXPENSES!$C:$C)</f>
        <v>BOUGHT GINGER</v>
      </c>
      <c r="K59" s="10">
        <f>(EXPENSES!$D:$D)</f>
        <v>4800</v>
      </c>
      <c r="M59" s="3" t="e">
        <f>TEXT(WEEKDAY(DATE(CalendarYear,12,1),1),"aaa")</f>
        <v>#REF!</v>
      </c>
      <c r="N59" s="3" t="e">
        <f>TEXT(WEEKDAY(DATE(CalendarYear,12,2),1),"aaa")</f>
        <v>#REF!</v>
      </c>
      <c r="O59" s="3" t="e">
        <f>TEXT(WEEKDAY(DATE(CalendarYear,12,3),1),"aaa")</f>
        <v>#REF!</v>
      </c>
      <c r="P59" s="3" t="e">
        <f>TEXT(WEEKDAY(DATE(CalendarYear,12,4),1),"aaa")</f>
        <v>#REF!</v>
      </c>
      <c r="Q59" s="3" t="e">
        <f>TEXT(WEEKDAY(DATE(CalendarYear,12,5),1),"aaa")</f>
        <v>#REF!</v>
      </c>
      <c r="R59" s="3" t="e">
        <f>TEXT(WEEKDAY(DATE(CalendarYear,12,6),1),"aaa")</f>
        <v>#REF!</v>
      </c>
      <c r="S59" s="3" t="e">
        <f>TEXT(WEEKDAY(DATE(CalendarYear,12,7),1),"aaa")</f>
        <v>#REF!</v>
      </c>
      <c r="T59" s="3" t="e">
        <f>TEXT(WEEKDAY(DATE(CalendarYear,12,8),1),"aaa")</f>
        <v>#REF!</v>
      </c>
      <c r="U59" s="3" t="e">
        <f>TEXT(WEEKDAY(DATE(CalendarYear,12,9),1),"aaa")</f>
        <v>#REF!</v>
      </c>
      <c r="V59" s="3" t="e">
        <f>TEXT(WEEKDAY(DATE(CalendarYear,12,10),1),"aaa")</f>
        <v>#REF!</v>
      </c>
      <c r="W59" s="3" t="e">
        <f>TEXT(WEEKDAY(DATE(CalendarYear,12,11),1),"aaa")</f>
        <v>#REF!</v>
      </c>
      <c r="X59" s="3" t="e">
        <f>TEXT(WEEKDAY(DATE(CalendarYear,12,12),1),"aaa")</f>
        <v>#REF!</v>
      </c>
      <c r="Y59" s="3" t="e">
        <f>TEXT(WEEKDAY(DATE(CalendarYear,12,13),1),"aaa")</f>
        <v>#REF!</v>
      </c>
      <c r="Z59" s="3" t="e">
        <f>TEXT(WEEKDAY(DATE(CalendarYear,12,14),1),"aaa")</f>
        <v>#REF!</v>
      </c>
      <c r="AA59" s="3" t="e">
        <f>TEXT(WEEKDAY(DATE(CalendarYear,12,15),1),"aaa")</f>
        <v>#REF!</v>
      </c>
      <c r="AB59" s="3" t="e">
        <f>TEXT(WEEKDAY(DATE(CalendarYear,12,16),1),"aaa")</f>
        <v>#REF!</v>
      </c>
      <c r="AC59" s="3" t="e">
        <f>TEXT(WEEKDAY(DATE(CalendarYear,12,17),1),"aaa")</f>
        <v>#REF!</v>
      </c>
      <c r="AD59" s="3" t="e">
        <f>TEXT(WEEKDAY(DATE(CalendarYear,12,18),1),"aaa")</f>
        <v>#REF!</v>
      </c>
      <c r="AE59" s="3" t="e">
        <f>TEXT(WEEKDAY(DATE(CalendarYear,12,19),1),"aaa")</f>
        <v>#REF!</v>
      </c>
      <c r="AF59" s="3" t="e">
        <f>TEXT(WEEKDAY(DATE(CalendarYear,12,20),1),"aaa")</f>
        <v>#REF!</v>
      </c>
      <c r="AG59" s="3" t="e">
        <f>TEXT(WEEKDAY(DATE(CalendarYear,12,21),1),"aaa")</f>
        <v>#REF!</v>
      </c>
      <c r="AH59" s="3" t="e">
        <f>TEXT(WEEKDAY(DATE(CalendarYear,12,22),1),"aaa")</f>
        <v>#REF!</v>
      </c>
      <c r="AI59" s="3" t="e">
        <f>TEXT(WEEKDAY(DATE(CalendarYear,12,23),1),"aaa")</f>
        <v>#REF!</v>
      </c>
      <c r="AJ59" s="3" t="e">
        <f>TEXT(WEEKDAY(DATE(CalendarYear,12,24),1),"aaa")</f>
        <v>#REF!</v>
      </c>
      <c r="AK59" s="3" t="e">
        <f>TEXT(WEEKDAY(DATE(CalendarYear,12,25),1),"aaa")</f>
        <v>#REF!</v>
      </c>
      <c r="AL59" s="3" t="e">
        <f>TEXT(WEEKDAY(DATE(CalendarYear,12,26),1),"aaa")</f>
        <v>#REF!</v>
      </c>
      <c r="AM59" s="3" t="e">
        <f>TEXT(WEEKDAY(DATE(CalendarYear,12,27),1),"aaa")</f>
        <v>#REF!</v>
      </c>
      <c r="AN59" s="3" t="e">
        <f>TEXT(WEEKDAY(DATE(CalendarYear,12,28),1),"aaa")</f>
        <v>#REF!</v>
      </c>
      <c r="AO59" s="3" t="e">
        <f>TEXT(WEEKDAY(DATE(CalendarYear,12,29),1),"aaa")</f>
        <v>#REF!</v>
      </c>
      <c r="AP59" s="3" t="e">
        <f>TEXT(WEEKDAY(DATE(CalendarYear,12,30),1),"aaa")</f>
        <v>#REF!</v>
      </c>
      <c r="AQ59" s="3" t="e">
        <f>TEXT(WEEKDAY(DATE(CalendarYear,12,31),1),"aaa")</f>
        <v>#REF!</v>
      </c>
      <c r="AS59" s="3" t="e">
        <f>TEXT(WEEKDAY(DATE(CalendarYear,12,1),1),"aaa")</f>
        <v>#REF!</v>
      </c>
      <c r="AT59" s="3" t="e">
        <f>TEXT(WEEKDAY(DATE(CalendarYear,12,2),1),"aaa")</f>
        <v>#REF!</v>
      </c>
      <c r="AU59" s="3" t="e">
        <f>TEXT(WEEKDAY(DATE(CalendarYear,12,3),1),"aaa")</f>
        <v>#REF!</v>
      </c>
      <c r="AV59" s="3" t="e">
        <f>TEXT(WEEKDAY(DATE(CalendarYear,12,4),1),"aaa")</f>
        <v>#REF!</v>
      </c>
      <c r="AW59" s="3" t="e">
        <f>TEXT(WEEKDAY(DATE(CalendarYear,12,5),1),"aaa")</f>
        <v>#REF!</v>
      </c>
      <c r="AX59" s="3" t="e">
        <f>TEXT(WEEKDAY(DATE(CalendarYear,12,6),1),"aaa")</f>
        <v>#REF!</v>
      </c>
      <c r="AY59" s="3" t="e">
        <f>TEXT(WEEKDAY(DATE(CalendarYear,12,7),1),"aaa")</f>
        <v>#REF!</v>
      </c>
      <c r="AZ59" s="3" t="e">
        <f>TEXT(WEEKDAY(DATE(CalendarYear,12,8),1),"aaa")</f>
        <v>#REF!</v>
      </c>
      <c r="BA59" s="3" t="e">
        <f>TEXT(WEEKDAY(DATE(CalendarYear,12,9),1),"aaa")</f>
        <v>#REF!</v>
      </c>
      <c r="BB59" s="3" t="e">
        <f>TEXT(WEEKDAY(DATE(CalendarYear,12,10),1),"aaa")</f>
        <v>#REF!</v>
      </c>
      <c r="BC59" s="3" t="e">
        <f>TEXT(WEEKDAY(DATE(CalendarYear,12,11),1),"aaa")</f>
        <v>#REF!</v>
      </c>
      <c r="BD59" s="3" t="e">
        <f>TEXT(WEEKDAY(DATE(CalendarYear,12,12),1),"aaa")</f>
        <v>#REF!</v>
      </c>
      <c r="BE59" s="3" t="e">
        <f>TEXT(WEEKDAY(DATE(CalendarYear,12,13),1),"aaa")</f>
        <v>#REF!</v>
      </c>
      <c r="BF59" s="3" t="e">
        <f>TEXT(WEEKDAY(DATE(CalendarYear,12,14),1),"aaa")</f>
        <v>#REF!</v>
      </c>
      <c r="BG59" s="3" t="e">
        <f>TEXT(WEEKDAY(DATE(CalendarYear,12,15),1),"aaa")</f>
        <v>#REF!</v>
      </c>
      <c r="BH59" s="3" t="e">
        <f>TEXT(WEEKDAY(DATE(CalendarYear,12,16),1),"aaa")</f>
        <v>#REF!</v>
      </c>
      <c r="BI59" s="3" t="e">
        <f>TEXT(WEEKDAY(DATE(CalendarYear,12,17),1),"aaa")</f>
        <v>#REF!</v>
      </c>
      <c r="BJ59" s="3" t="e">
        <f>TEXT(WEEKDAY(DATE(CalendarYear,12,18),1),"aaa")</f>
        <v>#REF!</v>
      </c>
      <c r="BK59" s="3" t="e">
        <f>TEXT(WEEKDAY(DATE(CalendarYear,12,19),1),"aaa")</f>
        <v>#REF!</v>
      </c>
      <c r="BL59" s="3" t="e">
        <f>TEXT(WEEKDAY(DATE(CalendarYear,12,20),1),"aaa")</f>
        <v>#REF!</v>
      </c>
      <c r="BM59" s="3" t="e">
        <f>TEXT(WEEKDAY(DATE(CalendarYear,12,21),1),"aaa")</f>
        <v>#REF!</v>
      </c>
      <c r="BN59" s="3" t="e">
        <f>TEXT(WEEKDAY(DATE(CalendarYear,12,22),1),"aaa")</f>
        <v>#REF!</v>
      </c>
      <c r="BO59" s="3" t="e">
        <f>TEXT(WEEKDAY(DATE(CalendarYear,12,23),1),"aaa")</f>
        <v>#REF!</v>
      </c>
      <c r="BP59" s="3" t="e">
        <f>TEXT(WEEKDAY(DATE(CalendarYear,12,24),1),"aaa")</f>
        <v>#REF!</v>
      </c>
      <c r="BQ59" s="3" t="e">
        <f>TEXT(WEEKDAY(DATE(CalendarYear,12,25),1),"aaa")</f>
        <v>#REF!</v>
      </c>
      <c r="BR59" s="3" t="e">
        <f>TEXT(WEEKDAY(DATE(CalendarYear,12,26),1),"aaa")</f>
        <v>#REF!</v>
      </c>
      <c r="BS59" s="3" t="e">
        <f>TEXT(WEEKDAY(DATE(CalendarYear,12,27),1),"aaa")</f>
        <v>#REF!</v>
      </c>
      <c r="BT59" s="3" t="e">
        <f>TEXT(WEEKDAY(DATE(CalendarYear,12,28),1),"aaa")</f>
        <v>#REF!</v>
      </c>
      <c r="BU59" s="3" t="e">
        <f>TEXT(WEEKDAY(DATE(CalendarYear,12,29),1),"aaa")</f>
        <v>#REF!</v>
      </c>
      <c r="BV59" s="3" t="e">
        <f>TEXT(WEEKDAY(DATE(CalendarYear,12,30),1),"aaa")</f>
        <v>#REF!</v>
      </c>
      <c r="BW59" s="3" t="e">
        <f>TEXT(WEEKDAY(DATE(CalendarYear,12,31),1),"aaa")</f>
        <v>#REF!</v>
      </c>
      <c r="BY59" s="3" t="e">
        <f>TEXT(WEEKDAY(DATE(CalendarYear,12,1),1),"aaa")</f>
        <v>#REF!</v>
      </c>
      <c r="BZ59" s="3" t="e">
        <f>TEXT(WEEKDAY(DATE(CalendarYear,12,2),1),"aaa")</f>
        <v>#REF!</v>
      </c>
      <c r="CA59" s="3" t="e">
        <f>TEXT(WEEKDAY(DATE(CalendarYear,12,3),1),"aaa")</f>
        <v>#REF!</v>
      </c>
      <c r="CB59" s="3" t="e">
        <f>TEXT(WEEKDAY(DATE(CalendarYear,12,4),1),"aaa")</f>
        <v>#REF!</v>
      </c>
      <c r="CC59" s="3" t="e">
        <f>TEXT(WEEKDAY(DATE(CalendarYear,12,5),1),"aaa")</f>
        <v>#REF!</v>
      </c>
      <c r="CD59" s="3" t="e">
        <f>TEXT(WEEKDAY(DATE(CalendarYear,12,6),1),"aaa")</f>
        <v>#REF!</v>
      </c>
      <c r="CE59" s="3" t="e">
        <f>TEXT(WEEKDAY(DATE(CalendarYear,12,7),1),"aaa")</f>
        <v>#REF!</v>
      </c>
      <c r="CF59" s="3" t="e">
        <f>TEXT(WEEKDAY(DATE(CalendarYear,12,8),1),"aaa")</f>
        <v>#REF!</v>
      </c>
      <c r="CG59" s="3" t="e">
        <f>TEXT(WEEKDAY(DATE(CalendarYear,12,9),1),"aaa")</f>
        <v>#REF!</v>
      </c>
      <c r="CH59" s="3" t="e">
        <f>TEXT(WEEKDAY(DATE(CalendarYear,12,10),1),"aaa")</f>
        <v>#REF!</v>
      </c>
      <c r="CI59" s="3" t="e">
        <f>TEXT(WEEKDAY(DATE(CalendarYear,12,11),1),"aaa")</f>
        <v>#REF!</v>
      </c>
      <c r="CJ59" s="3" t="e">
        <f>TEXT(WEEKDAY(DATE(CalendarYear,12,12),1),"aaa")</f>
        <v>#REF!</v>
      </c>
      <c r="CK59" s="3" t="e">
        <f>TEXT(WEEKDAY(DATE(CalendarYear,12,13),1),"aaa")</f>
        <v>#REF!</v>
      </c>
      <c r="CL59" s="3" t="e">
        <f>TEXT(WEEKDAY(DATE(CalendarYear,12,14),1),"aaa")</f>
        <v>#REF!</v>
      </c>
      <c r="CM59" s="3" t="e">
        <f>TEXT(WEEKDAY(DATE(CalendarYear,12,15),1),"aaa")</f>
        <v>#REF!</v>
      </c>
      <c r="CN59" s="3" t="e">
        <f>TEXT(WEEKDAY(DATE(CalendarYear,12,16),1),"aaa")</f>
        <v>#REF!</v>
      </c>
      <c r="CO59" s="3" t="e">
        <f>TEXT(WEEKDAY(DATE(CalendarYear,12,17),1),"aaa")</f>
        <v>#REF!</v>
      </c>
      <c r="CP59" s="3" t="e">
        <f>TEXT(WEEKDAY(DATE(CalendarYear,12,18),1),"aaa")</f>
        <v>#REF!</v>
      </c>
      <c r="CQ59" s="3" t="e">
        <f>TEXT(WEEKDAY(DATE(CalendarYear,12,19),1),"aaa")</f>
        <v>#REF!</v>
      </c>
      <c r="CR59" s="3" t="e">
        <f>TEXT(WEEKDAY(DATE(CalendarYear,12,20),1),"aaa")</f>
        <v>#REF!</v>
      </c>
      <c r="CS59" s="3" t="e">
        <f>TEXT(WEEKDAY(DATE(CalendarYear,12,21),1),"aaa")</f>
        <v>#REF!</v>
      </c>
      <c r="CT59" s="3" t="e">
        <f>TEXT(WEEKDAY(DATE(CalendarYear,12,22),1),"aaa")</f>
        <v>#REF!</v>
      </c>
      <c r="CU59" s="3" t="e">
        <f>TEXT(WEEKDAY(DATE(CalendarYear,12,23),1),"aaa")</f>
        <v>#REF!</v>
      </c>
      <c r="CV59" s="3" t="e">
        <f>TEXT(WEEKDAY(DATE(CalendarYear,12,24),1),"aaa")</f>
        <v>#REF!</v>
      </c>
      <c r="CW59" s="3" t="e">
        <f>TEXT(WEEKDAY(DATE(CalendarYear,12,25),1),"aaa")</f>
        <v>#REF!</v>
      </c>
      <c r="CX59" s="3" t="e">
        <f>TEXT(WEEKDAY(DATE(CalendarYear,12,26),1),"aaa")</f>
        <v>#REF!</v>
      </c>
      <c r="CY59" s="3" t="e">
        <f>TEXT(WEEKDAY(DATE(CalendarYear,12,27),1),"aaa")</f>
        <v>#REF!</v>
      </c>
      <c r="CZ59" s="3" t="e">
        <f>TEXT(WEEKDAY(DATE(CalendarYear,12,28),1),"aaa")</f>
        <v>#REF!</v>
      </c>
      <c r="DA59" s="3" t="e">
        <f>TEXT(WEEKDAY(DATE(CalendarYear,12,29),1),"aaa")</f>
        <v>#REF!</v>
      </c>
      <c r="DB59" s="3" t="e">
        <f>TEXT(WEEKDAY(DATE(CalendarYear,12,30),1),"aaa")</f>
        <v>#REF!</v>
      </c>
      <c r="DC59" s="3" t="e">
        <f>TEXT(WEEKDAY(DATE(CalendarYear,12,31),1),"aaa")</f>
        <v>#REF!</v>
      </c>
      <c r="DE59" s="3" t="e">
        <f>TEXT(WEEKDAY(DATE(CalendarYear,12,1),1),"aaa")</f>
        <v>#REF!</v>
      </c>
      <c r="DF59" s="3" t="e">
        <f>TEXT(WEEKDAY(DATE(CalendarYear,12,2),1),"aaa")</f>
        <v>#REF!</v>
      </c>
      <c r="DG59" s="3" t="e">
        <f>TEXT(WEEKDAY(DATE(CalendarYear,12,3),1),"aaa")</f>
        <v>#REF!</v>
      </c>
      <c r="DH59" s="3" t="e">
        <f>TEXT(WEEKDAY(DATE(CalendarYear,12,4),1),"aaa")</f>
        <v>#REF!</v>
      </c>
      <c r="DI59" s="3" t="e">
        <f>TEXT(WEEKDAY(DATE(CalendarYear,12,5),1),"aaa")</f>
        <v>#REF!</v>
      </c>
      <c r="DJ59" s="3" t="e">
        <f>TEXT(WEEKDAY(DATE(CalendarYear,12,6),1),"aaa")</f>
        <v>#REF!</v>
      </c>
      <c r="DK59" s="3" t="e">
        <f>TEXT(WEEKDAY(DATE(CalendarYear,12,7),1),"aaa")</f>
        <v>#REF!</v>
      </c>
      <c r="DL59" s="3" t="e">
        <f>TEXT(WEEKDAY(DATE(CalendarYear,12,8),1),"aaa")</f>
        <v>#REF!</v>
      </c>
      <c r="DM59" s="3" t="e">
        <f>TEXT(WEEKDAY(DATE(CalendarYear,12,9),1),"aaa")</f>
        <v>#REF!</v>
      </c>
      <c r="DN59" s="3" t="e">
        <f>TEXT(WEEKDAY(DATE(CalendarYear,12,10),1),"aaa")</f>
        <v>#REF!</v>
      </c>
      <c r="DO59" s="3" t="e">
        <f>TEXT(WEEKDAY(DATE(CalendarYear,12,11),1),"aaa")</f>
        <v>#REF!</v>
      </c>
      <c r="DP59" s="3" t="e">
        <f>TEXT(WEEKDAY(DATE(CalendarYear,12,12),1),"aaa")</f>
        <v>#REF!</v>
      </c>
      <c r="DQ59" s="3" t="e">
        <f>TEXT(WEEKDAY(DATE(CalendarYear,12,13),1),"aaa")</f>
        <v>#REF!</v>
      </c>
      <c r="DR59" s="3" t="e">
        <f>TEXT(WEEKDAY(DATE(CalendarYear,12,14),1),"aaa")</f>
        <v>#REF!</v>
      </c>
      <c r="DS59" s="3" t="e">
        <f>TEXT(WEEKDAY(DATE(CalendarYear,12,15),1),"aaa")</f>
        <v>#REF!</v>
      </c>
      <c r="DT59" s="3" t="e">
        <f>TEXT(WEEKDAY(DATE(CalendarYear,12,16),1),"aaa")</f>
        <v>#REF!</v>
      </c>
      <c r="DU59" s="3" t="e">
        <f>TEXT(WEEKDAY(DATE(CalendarYear,12,17),1),"aaa")</f>
        <v>#REF!</v>
      </c>
      <c r="DV59" s="3" t="e">
        <f>TEXT(WEEKDAY(DATE(CalendarYear,12,18),1),"aaa")</f>
        <v>#REF!</v>
      </c>
      <c r="DW59" s="3" t="e">
        <f>TEXT(WEEKDAY(DATE(CalendarYear,12,19),1),"aaa")</f>
        <v>#REF!</v>
      </c>
      <c r="DX59" s="3" t="e">
        <f>TEXT(WEEKDAY(DATE(CalendarYear,12,20),1),"aaa")</f>
        <v>#REF!</v>
      </c>
      <c r="DY59" s="3" t="e">
        <f>TEXT(WEEKDAY(DATE(CalendarYear,12,21),1),"aaa")</f>
        <v>#REF!</v>
      </c>
      <c r="DZ59" s="3" t="e">
        <f>TEXT(WEEKDAY(DATE(CalendarYear,12,22),1),"aaa")</f>
        <v>#REF!</v>
      </c>
      <c r="EA59" s="3" t="e">
        <f>TEXT(WEEKDAY(DATE(CalendarYear,12,23),1),"aaa")</f>
        <v>#REF!</v>
      </c>
      <c r="EB59" s="3" t="e">
        <f>TEXT(WEEKDAY(DATE(CalendarYear,12,24),1),"aaa")</f>
        <v>#REF!</v>
      </c>
      <c r="EC59" s="3" t="e">
        <f>TEXT(WEEKDAY(DATE(CalendarYear,12,25),1),"aaa")</f>
        <v>#REF!</v>
      </c>
      <c r="ED59" s="3" t="e">
        <f>TEXT(WEEKDAY(DATE(CalendarYear,12,26),1),"aaa")</f>
        <v>#REF!</v>
      </c>
      <c r="EE59" s="3" t="e">
        <f>TEXT(WEEKDAY(DATE(CalendarYear,12,27),1),"aaa")</f>
        <v>#REF!</v>
      </c>
      <c r="EF59" s="3" t="e">
        <f>TEXT(WEEKDAY(DATE(CalendarYear,12,28),1),"aaa")</f>
        <v>#REF!</v>
      </c>
      <c r="EG59" s="3" t="e">
        <f>TEXT(WEEKDAY(DATE(CalendarYear,12,29),1),"aaa")</f>
        <v>#REF!</v>
      </c>
      <c r="EH59" s="3" t="e">
        <f>TEXT(WEEKDAY(DATE(CalendarYear,12,30),1),"aaa")</f>
        <v>#REF!</v>
      </c>
      <c r="EI59" s="3" t="e">
        <f>TEXT(WEEKDAY(DATE(CalendarYear,12,31),1),"aaa")</f>
        <v>#REF!</v>
      </c>
      <c r="EJ59" s="2"/>
      <c r="EK59" s="2"/>
      <c r="EM59" s="1" t="e">
        <f>(#REF!)</f>
        <v>#REF!</v>
      </c>
      <c r="EN59" s="9" t="e">
        <f>(#REF!)</f>
        <v>#REF!</v>
      </c>
      <c r="EO59" s="9" t="e">
        <f>(#REF!)</f>
        <v>#REF!</v>
      </c>
      <c r="EP59" s="9" t="e">
        <f>(#REF!)</f>
        <v>#REF!</v>
      </c>
      <c r="ES59" s="12" t="s">
        <v>52</v>
      </c>
      <c r="ET59" s="12">
        <v>20000</v>
      </c>
    </row>
    <row r="60" spans="1:150" ht="18" customHeight="1" x14ac:dyDescent="0.3">
      <c r="A60" s="32" t="str">
        <f>(SALES!$A:$A)</f>
        <v>Thursday, 4 January 2024</v>
      </c>
      <c r="B60" s="1">
        <f>(SALES!$C:$C)</f>
        <v>14</v>
      </c>
      <c r="C60" s="1">
        <f>(SALES!$D:$D)</f>
        <v>4</v>
      </c>
      <c r="D60" s="1" t="str">
        <f>(SALES!$E:$E)</f>
        <v>MATOOKE KGS</v>
      </c>
      <c r="E60" s="1">
        <f>(SALES!$F:$F)</f>
        <v>1500</v>
      </c>
      <c r="F60" s="1">
        <f>(SALES!$G:$G)</f>
        <v>6000</v>
      </c>
      <c r="H60" s="2">
        <f>(EXPENSES!$A:$A)</f>
        <v>45300</v>
      </c>
      <c r="I60" s="10">
        <f>(EXPENSES!$B:$B)</f>
        <v>5</v>
      </c>
      <c r="J60" s="10" t="str">
        <f>(EXPENSES!$C:$C)</f>
        <v>PAID REUBEN</v>
      </c>
      <c r="K60" s="10">
        <f>(EXPENSES!$D:$D)</f>
        <v>5000</v>
      </c>
      <c r="M60" s="2">
        <v>45627</v>
      </c>
      <c r="N60" s="2">
        <v>45628</v>
      </c>
      <c r="O60" s="2">
        <v>45629</v>
      </c>
      <c r="P60" s="2">
        <v>45630</v>
      </c>
      <c r="Q60" s="2">
        <v>45631</v>
      </c>
      <c r="R60" s="2">
        <v>45632</v>
      </c>
      <c r="S60" s="2">
        <v>45633</v>
      </c>
      <c r="T60" s="2">
        <v>45634</v>
      </c>
      <c r="U60" s="2">
        <v>45635</v>
      </c>
      <c r="V60" s="2">
        <v>45636</v>
      </c>
      <c r="W60" s="2">
        <v>45637</v>
      </c>
      <c r="X60" s="2">
        <v>45638</v>
      </c>
      <c r="Y60" s="2">
        <v>45639</v>
      </c>
      <c r="Z60" s="2">
        <v>45640</v>
      </c>
      <c r="AA60" s="2">
        <v>45641</v>
      </c>
      <c r="AB60" s="2">
        <v>45642</v>
      </c>
      <c r="AC60" s="2">
        <v>45643</v>
      </c>
      <c r="AD60" s="2">
        <v>45644</v>
      </c>
      <c r="AE60" s="2">
        <v>45645</v>
      </c>
      <c r="AF60" s="2">
        <v>45646</v>
      </c>
      <c r="AG60" s="2">
        <v>45647</v>
      </c>
      <c r="AH60" s="2">
        <v>45648</v>
      </c>
      <c r="AI60" s="2">
        <v>45649</v>
      </c>
      <c r="AJ60" s="2">
        <v>45650</v>
      </c>
      <c r="AK60" s="2">
        <v>45651</v>
      </c>
      <c r="AL60" s="2">
        <v>45652</v>
      </c>
      <c r="AM60" s="2">
        <v>45653</v>
      </c>
      <c r="AN60" s="2">
        <v>45654</v>
      </c>
      <c r="AO60" s="2">
        <v>45655</v>
      </c>
      <c r="AP60" s="2">
        <v>45656</v>
      </c>
      <c r="AQ60" s="2">
        <v>45657</v>
      </c>
      <c r="AS60" s="2">
        <v>45627</v>
      </c>
      <c r="AT60" s="2">
        <v>45628</v>
      </c>
      <c r="AU60" s="2">
        <v>45629</v>
      </c>
      <c r="AV60" s="2">
        <v>45630</v>
      </c>
      <c r="AW60" s="2">
        <v>45631</v>
      </c>
      <c r="AX60" s="2">
        <v>45632</v>
      </c>
      <c r="AY60" s="2">
        <v>45633</v>
      </c>
      <c r="AZ60" s="2">
        <v>45634</v>
      </c>
      <c r="BA60" s="2">
        <v>45635</v>
      </c>
      <c r="BB60" s="2">
        <v>45636</v>
      </c>
      <c r="BC60" s="2">
        <v>45637</v>
      </c>
      <c r="BD60" s="2">
        <v>45638</v>
      </c>
      <c r="BE60" s="2">
        <v>45639</v>
      </c>
      <c r="BF60" s="2">
        <v>45640</v>
      </c>
      <c r="BG60" s="2">
        <v>45641</v>
      </c>
      <c r="BH60" s="2">
        <v>45642</v>
      </c>
      <c r="BI60" s="2">
        <v>45643</v>
      </c>
      <c r="BJ60" s="2">
        <v>45644</v>
      </c>
      <c r="BK60" s="2">
        <v>45645</v>
      </c>
      <c r="BL60" s="2">
        <v>45646</v>
      </c>
      <c r="BM60" s="2">
        <v>45647</v>
      </c>
      <c r="BN60" s="2">
        <v>45648</v>
      </c>
      <c r="BO60" s="2">
        <v>45649</v>
      </c>
      <c r="BP60" s="2">
        <v>45650</v>
      </c>
      <c r="BQ60" s="2">
        <v>45651</v>
      </c>
      <c r="BR60" s="2">
        <v>45652</v>
      </c>
      <c r="BS60" s="2">
        <v>45653</v>
      </c>
      <c r="BT60" s="2">
        <v>45654</v>
      </c>
      <c r="BU60" s="2">
        <v>45655</v>
      </c>
      <c r="BV60" s="2">
        <v>45656</v>
      </c>
      <c r="BW60" s="2">
        <v>45657</v>
      </c>
      <c r="BY60" s="2">
        <v>45627</v>
      </c>
      <c r="BZ60" s="2">
        <v>45628</v>
      </c>
      <c r="CA60" s="2">
        <v>45629</v>
      </c>
      <c r="CB60" s="2">
        <v>45630</v>
      </c>
      <c r="CC60" s="2">
        <v>45631</v>
      </c>
      <c r="CD60" s="2">
        <v>45632</v>
      </c>
      <c r="CE60" s="2">
        <v>45633</v>
      </c>
      <c r="CF60" s="2">
        <v>45634</v>
      </c>
      <c r="CG60" s="2">
        <v>45635</v>
      </c>
      <c r="CH60" s="2">
        <v>45636</v>
      </c>
      <c r="CI60" s="2">
        <v>45637</v>
      </c>
      <c r="CJ60" s="2">
        <v>45638</v>
      </c>
      <c r="CK60" s="2">
        <v>45639</v>
      </c>
      <c r="CL60" s="2">
        <v>45640</v>
      </c>
      <c r="CM60" s="2">
        <v>45641</v>
      </c>
      <c r="CN60" s="2">
        <v>45642</v>
      </c>
      <c r="CO60" s="2">
        <v>45643</v>
      </c>
      <c r="CP60" s="2">
        <v>45644</v>
      </c>
      <c r="CQ60" s="2">
        <v>45645</v>
      </c>
      <c r="CR60" s="2">
        <v>45646</v>
      </c>
      <c r="CS60" s="2">
        <v>45647</v>
      </c>
      <c r="CT60" s="2">
        <v>45648</v>
      </c>
      <c r="CU60" s="2">
        <v>45649</v>
      </c>
      <c r="CV60" s="2">
        <v>45650</v>
      </c>
      <c r="CW60" s="2">
        <v>45651</v>
      </c>
      <c r="CX60" s="2">
        <v>45652</v>
      </c>
      <c r="CY60" s="2">
        <v>45653</v>
      </c>
      <c r="CZ60" s="2">
        <v>45654</v>
      </c>
      <c r="DA60" s="2">
        <v>45655</v>
      </c>
      <c r="DB60" s="2">
        <v>45656</v>
      </c>
      <c r="DC60" s="2">
        <v>45657</v>
      </c>
      <c r="DE60" s="2">
        <v>45627</v>
      </c>
      <c r="DF60" s="2">
        <v>45628</v>
      </c>
      <c r="DG60" s="2">
        <v>45629</v>
      </c>
      <c r="DH60" s="2">
        <v>45630</v>
      </c>
      <c r="DI60" s="2">
        <v>45631</v>
      </c>
      <c r="DJ60" s="2">
        <v>45632</v>
      </c>
      <c r="DK60" s="2">
        <v>45633</v>
      </c>
      <c r="DL60" s="2">
        <v>45634</v>
      </c>
      <c r="DM60" s="2">
        <v>45635</v>
      </c>
      <c r="DN60" s="2">
        <v>45636</v>
      </c>
      <c r="DO60" s="2">
        <v>45637</v>
      </c>
      <c r="DP60" s="2">
        <v>45638</v>
      </c>
      <c r="DQ60" s="2">
        <v>45639</v>
      </c>
      <c r="DR60" s="2">
        <v>45640</v>
      </c>
      <c r="DS60" s="2">
        <v>45641</v>
      </c>
      <c r="DT60" s="2">
        <v>45642</v>
      </c>
      <c r="DU60" s="2">
        <v>45643</v>
      </c>
      <c r="DV60" s="2">
        <v>45644</v>
      </c>
      <c r="DW60" s="2">
        <v>45645</v>
      </c>
      <c r="DX60" s="2">
        <v>45646</v>
      </c>
      <c r="DY60" s="2">
        <v>45647</v>
      </c>
      <c r="DZ60" s="2">
        <v>45648</v>
      </c>
      <c r="EA60" s="2">
        <v>45649</v>
      </c>
      <c r="EB60" s="2">
        <v>45650</v>
      </c>
      <c r="EC60" s="2">
        <v>45651</v>
      </c>
      <c r="ED60" s="2">
        <v>45652</v>
      </c>
      <c r="EE60" s="2">
        <v>45653</v>
      </c>
      <c r="EF60" s="2">
        <v>45654</v>
      </c>
      <c r="EG60" s="2">
        <v>45655</v>
      </c>
      <c r="EH60" s="2">
        <v>45656</v>
      </c>
      <c r="EI60" s="2">
        <v>45657</v>
      </c>
      <c r="EJ60" s="3"/>
      <c r="EK60" s="3"/>
      <c r="EM60" s="1" t="e">
        <f>(#REF!)</f>
        <v>#REF!</v>
      </c>
      <c r="EN60" s="9" t="e">
        <f>(#REF!)</f>
        <v>#REF!</v>
      </c>
      <c r="EO60" s="9" t="e">
        <f>(#REF!)</f>
        <v>#REF!</v>
      </c>
      <c r="EP60" s="9" t="e">
        <f>(#REF!)</f>
        <v>#REF!</v>
      </c>
      <c r="ES60" s="12" t="s">
        <v>52</v>
      </c>
      <c r="ET60" s="12">
        <v>10000</v>
      </c>
    </row>
    <row r="61" spans="1:150" ht="18" customHeight="1" x14ac:dyDescent="0.3">
      <c r="A61" s="32" t="str">
        <f>(SALES!$A:$A)</f>
        <v>Thursday, 4 January 2024</v>
      </c>
      <c r="B61" s="1">
        <f>(SALES!$C:$C)</f>
        <v>15</v>
      </c>
      <c r="C61" s="1">
        <f>(SALES!$D:$D)</f>
        <v>1</v>
      </c>
      <c r="D61" s="1" t="str">
        <f>(SALES!$E:$E)</f>
        <v>MATOOKE</v>
      </c>
      <c r="E61" s="1">
        <f>(SALES!$F:$F)</f>
        <v>10000</v>
      </c>
      <c r="F61" s="1">
        <f>(SALES!$G:$G)</f>
        <v>10000</v>
      </c>
      <c r="H61" s="2">
        <f>(EXPENSES!$A:$A)</f>
        <v>45300</v>
      </c>
      <c r="I61" s="10">
        <f>(EXPENSES!$B:$B)</f>
        <v>11</v>
      </c>
      <c r="J61" s="10" t="str">
        <f>(EXPENSES!$C:$C)</f>
        <v>BOUGHT ONIONS</v>
      </c>
      <c r="K61" s="10">
        <f>(EXPENSES!$D:$D)</f>
        <v>5000</v>
      </c>
      <c r="M61" s="3">
        <f t="shared" ref="M61:AQ61" si="44">SUMIF($A:$A, "01/01/2024",$F:$F )</f>
        <v>0</v>
      </c>
      <c r="N61" s="3">
        <f t="shared" si="44"/>
        <v>0</v>
      </c>
      <c r="O61" s="3">
        <f t="shared" si="44"/>
        <v>0</v>
      </c>
      <c r="P61" s="3">
        <f t="shared" si="44"/>
        <v>0</v>
      </c>
      <c r="Q61" s="3">
        <f t="shared" si="44"/>
        <v>0</v>
      </c>
      <c r="R61" s="3">
        <f t="shared" si="44"/>
        <v>0</v>
      </c>
      <c r="S61" s="3">
        <f t="shared" si="44"/>
        <v>0</v>
      </c>
      <c r="T61" s="3">
        <f t="shared" si="44"/>
        <v>0</v>
      </c>
      <c r="U61" s="3">
        <f t="shared" si="44"/>
        <v>0</v>
      </c>
      <c r="V61" s="3">
        <f t="shared" si="44"/>
        <v>0</v>
      </c>
      <c r="W61" s="3">
        <f t="shared" si="44"/>
        <v>0</v>
      </c>
      <c r="X61" s="3">
        <f t="shared" si="44"/>
        <v>0</v>
      </c>
      <c r="Y61" s="3">
        <f t="shared" si="44"/>
        <v>0</v>
      </c>
      <c r="Z61" s="3">
        <f t="shared" si="44"/>
        <v>0</v>
      </c>
      <c r="AA61" s="3">
        <f t="shared" si="44"/>
        <v>0</v>
      </c>
      <c r="AB61" s="3">
        <f t="shared" si="44"/>
        <v>0</v>
      </c>
      <c r="AC61" s="3">
        <f t="shared" si="44"/>
        <v>0</v>
      </c>
      <c r="AD61" s="3">
        <f t="shared" si="44"/>
        <v>0</v>
      </c>
      <c r="AE61" s="3">
        <f t="shared" si="44"/>
        <v>0</v>
      </c>
      <c r="AF61" s="3">
        <f t="shared" si="44"/>
        <v>0</v>
      </c>
      <c r="AG61" s="3">
        <f t="shared" si="44"/>
        <v>0</v>
      </c>
      <c r="AH61" s="3">
        <f t="shared" si="44"/>
        <v>0</v>
      </c>
      <c r="AI61" s="3">
        <f t="shared" si="44"/>
        <v>0</v>
      </c>
      <c r="AJ61" s="3">
        <f t="shared" si="44"/>
        <v>0</v>
      </c>
      <c r="AK61" s="3">
        <f t="shared" si="44"/>
        <v>0</v>
      </c>
      <c r="AL61" s="3">
        <f t="shared" si="44"/>
        <v>0</v>
      </c>
      <c r="AM61" s="3">
        <f t="shared" si="44"/>
        <v>0</v>
      </c>
      <c r="AN61" s="3">
        <f t="shared" si="44"/>
        <v>0</v>
      </c>
      <c r="AO61" s="3">
        <f t="shared" si="44"/>
        <v>0</v>
      </c>
      <c r="AP61" s="3">
        <f t="shared" si="44"/>
        <v>0</v>
      </c>
      <c r="AQ61" s="3">
        <f t="shared" si="44"/>
        <v>0</v>
      </c>
      <c r="AS61" s="3">
        <f t="shared" ref="AS61:BW61" si="45">SUMIF($A:$A, "01/01/2024",$F:$F )</f>
        <v>0</v>
      </c>
      <c r="AT61" s="3">
        <f t="shared" si="45"/>
        <v>0</v>
      </c>
      <c r="AU61" s="3">
        <f t="shared" si="45"/>
        <v>0</v>
      </c>
      <c r="AV61" s="3">
        <f t="shared" si="45"/>
        <v>0</v>
      </c>
      <c r="AW61" s="3">
        <f t="shared" si="45"/>
        <v>0</v>
      </c>
      <c r="AX61" s="3">
        <f t="shared" si="45"/>
        <v>0</v>
      </c>
      <c r="AY61" s="3">
        <f t="shared" si="45"/>
        <v>0</v>
      </c>
      <c r="AZ61" s="3">
        <f t="shared" si="45"/>
        <v>0</v>
      </c>
      <c r="BA61" s="3">
        <f t="shared" si="45"/>
        <v>0</v>
      </c>
      <c r="BB61" s="3">
        <f t="shared" si="45"/>
        <v>0</v>
      </c>
      <c r="BC61" s="3">
        <f t="shared" si="45"/>
        <v>0</v>
      </c>
      <c r="BD61" s="3">
        <f t="shared" si="45"/>
        <v>0</v>
      </c>
      <c r="BE61" s="3">
        <f t="shared" si="45"/>
        <v>0</v>
      </c>
      <c r="BF61" s="3">
        <f t="shared" si="45"/>
        <v>0</v>
      </c>
      <c r="BG61" s="3">
        <f t="shared" si="45"/>
        <v>0</v>
      </c>
      <c r="BH61" s="3">
        <f t="shared" si="45"/>
        <v>0</v>
      </c>
      <c r="BI61" s="3">
        <f t="shared" si="45"/>
        <v>0</v>
      </c>
      <c r="BJ61" s="3">
        <f t="shared" si="45"/>
        <v>0</v>
      </c>
      <c r="BK61" s="3">
        <f t="shared" si="45"/>
        <v>0</v>
      </c>
      <c r="BL61" s="3">
        <f t="shared" si="45"/>
        <v>0</v>
      </c>
      <c r="BM61" s="3">
        <f t="shared" si="45"/>
        <v>0</v>
      </c>
      <c r="BN61" s="3">
        <f t="shared" si="45"/>
        <v>0</v>
      </c>
      <c r="BO61" s="3">
        <f t="shared" si="45"/>
        <v>0</v>
      </c>
      <c r="BP61" s="3">
        <f t="shared" si="45"/>
        <v>0</v>
      </c>
      <c r="BQ61" s="3">
        <f t="shared" si="45"/>
        <v>0</v>
      </c>
      <c r="BR61" s="3">
        <f t="shared" si="45"/>
        <v>0</v>
      </c>
      <c r="BS61" s="3">
        <f t="shared" si="45"/>
        <v>0</v>
      </c>
      <c r="BT61" s="3">
        <f t="shared" si="45"/>
        <v>0</v>
      </c>
      <c r="BU61" s="3">
        <f t="shared" si="45"/>
        <v>0</v>
      </c>
      <c r="BV61" s="3">
        <f t="shared" si="45"/>
        <v>0</v>
      </c>
      <c r="BW61" s="3">
        <f t="shared" si="45"/>
        <v>0</v>
      </c>
      <c r="BY61" s="3">
        <f t="shared" ref="BY61:DC61" si="46">SUMIF($A:$A, "01/01/2024",$F:$F )</f>
        <v>0</v>
      </c>
      <c r="BZ61" s="3">
        <f t="shared" si="46"/>
        <v>0</v>
      </c>
      <c r="CA61" s="3">
        <f t="shared" si="46"/>
        <v>0</v>
      </c>
      <c r="CB61" s="3">
        <f t="shared" si="46"/>
        <v>0</v>
      </c>
      <c r="CC61" s="3">
        <f t="shared" si="46"/>
        <v>0</v>
      </c>
      <c r="CD61" s="3">
        <f t="shared" si="46"/>
        <v>0</v>
      </c>
      <c r="CE61" s="3">
        <f t="shared" si="46"/>
        <v>0</v>
      </c>
      <c r="CF61" s="3">
        <f t="shared" si="46"/>
        <v>0</v>
      </c>
      <c r="CG61" s="3">
        <f t="shared" si="46"/>
        <v>0</v>
      </c>
      <c r="CH61" s="3">
        <f t="shared" si="46"/>
        <v>0</v>
      </c>
      <c r="CI61" s="3">
        <f t="shared" si="46"/>
        <v>0</v>
      </c>
      <c r="CJ61" s="3">
        <f t="shared" si="46"/>
        <v>0</v>
      </c>
      <c r="CK61" s="3">
        <f t="shared" si="46"/>
        <v>0</v>
      </c>
      <c r="CL61" s="3">
        <f t="shared" si="46"/>
        <v>0</v>
      </c>
      <c r="CM61" s="3">
        <f t="shared" si="46"/>
        <v>0</v>
      </c>
      <c r="CN61" s="3">
        <f t="shared" si="46"/>
        <v>0</v>
      </c>
      <c r="CO61" s="3">
        <f t="shared" si="46"/>
        <v>0</v>
      </c>
      <c r="CP61" s="3">
        <f t="shared" si="46"/>
        <v>0</v>
      </c>
      <c r="CQ61" s="3">
        <f t="shared" si="46"/>
        <v>0</v>
      </c>
      <c r="CR61" s="3">
        <f t="shared" si="46"/>
        <v>0</v>
      </c>
      <c r="CS61" s="3">
        <f t="shared" si="46"/>
        <v>0</v>
      </c>
      <c r="CT61" s="3">
        <f t="shared" si="46"/>
        <v>0</v>
      </c>
      <c r="CU61" s="3">
        <f t="shared" si="46"/>
        <v>0</v>
      </c>
      <c r="CV61" s="3">
        <f t="shared" si="46"/>
        <v>0</v>
      </c>
      <c r="CW61" s="3">
        <f t="shared" si="46"/>
        <v>0</v>
      </c>
      <c r="CX61" s="3">
        <f t="shared" si="46"/>
        <v>0</v>
      </c>
      <c r="CY61" s="3">
        <f t="shared" si="46"/>
        <v>0</v>
      </c>
      <c r="CZ61" s="3">
        <f t="shared" si="46"/>
        <v>0</v>
      </c>
      <c r="DA61" s="3">
        <f t="shared" si="46"/>
        <v>0</v>
      </c>
      <c r="DB61" s="3">
        <f t="shared" si="46"/>
        <v>0</v>
      </c>
      <c r="DC61" s="3">
        <f t="shared" si="46"/>
        <v>0</v>
      </c>
      <c r="DE61" s="3">
        <f t="shared" ref="DE61:EI61" si="47">SUMIF($A:$A, "01/01/2024",$F:$F )</f>
        <v>0</v>
      </c>
      <c r="DF61" s="3">
        <f t="shared" si="47"/>
        <v>0</v>
      </c>
      <c r="DG61" s="3">
        <f t="shared" si="47"/>
        <v>0</v>
      </c>
      <c r="DH61" s="3">
        <f t="shared" si="47"/>
        <v>0</v>
      </c>
      <c r="DI61" s="3">
        <f t="shared" si="47"/>
        <v>0</v>
      </c>
      <c r="DJ61" s="3">
        <f t="shared" si="47"/>
        <v>0</v>
      </c>
      <c r="DK61" s="3">
        <f t="shared" si="47"/>
        <v>0</v>
      </c>
      <c r="DL61" s="3">
        <f t="shared" si="47"/>
        <v>0</v>
      </c>
      <c r="DM61" s="3">
        <f t="shared" si="47"/>
        <v>0</v>
      </c>
      <c r="DN61" s="3">
        <f t="shared" si="47"/>
        <v>0</v>
      </c>
      <c r="DO61" s="3">
        <f t="shared" si="47"/>
        <v>0</v>
      </c>
      <c r="DP61" s="3">
        <f t="shared" si="47"/>
        <v>0</v>
      </c>
      <c r="DQ61" s="3">
        <f t="shared" si="47"/>
        <v>0</v>
      </c>
      <c r="DR61" s="3">
        <f t="shared" si="47"/>
        <v>0</v>
      </c>
      <c r="DS61" s="3">
        <f t="shared" si="47"/>
        <v>0</v>
      </c>
      <c r="DT61" s="3">
        <f t="shared" si="47"/>
        <v>0</v>
      </c>
      <c r="DU61" s="3">
        <f t="shared" si="47"/>
        <v>0</v>
      </c>
      <c r="DV61" s="3">
        <f t="shared" si="47"/>
        <v>0</v>
      </c>
      <c r="DW61" s="3">
        <f t="shared" si="47"/>
        <v>0</v>
      </c>
      <c r="DX61" s="3">
        <f t="shared" si="47"/>
        <v>0</v>
      </c>
      <c r="DY61" s="3">
        <f t="shared" si="47"/>
        <v>0</v>
      </c>
      <c r="DZ61" s="3">
        <f t="shared" si="47"/>
        <v>0</v>
      </c>
      <c r="EA61" s="3">
        <f t="shared" si="47"/>
        <v>0</v>
      </c>
      <c r="EB61" s="3">
        <f t="shared" si="47"/>
        <v>0</v>
      </c>
      <c r="EC61" s="3">
        <f t="shared" si="47"/>
        <v>0</v>
      </c>
      <c r="ED61" s="3">
        <f t="shared" si="47"/>
        <v>0</v>
      </c>
      <c r="EE61" s="3">
        <f t="shared" si="47"/>
        <v>0</v>
      </c>
      <c r="EF61" s="3">
        <f t="shared" si="47"/>
        <v>0</v>
      </c>
      <c r="EG61" s="3">
        <f t="shared" si="47"/>
        <v>0</v>
      </c>
      <c r="EH61" s="3">
        <f t="shared" si="47"/>
        <v>0</v>
      </c>
      <c r="EI61" s="3">
        <f t="shared" si="47"/>
        <v>0</v>
      </c>
      <c r="EM61" s="1" t="e">
        <f>(#REF!)</f>
        <v>#REF!</v>
      </c>
      <c r="EN61" s="9" t="e">
        <f>(#REF!)</f>
        <v>#REF!</v>
      </c>
      <c r="EO61" s="9" t="e">
        <f>(#REF!)</f>
        <v>#REF!</v>
      </c>
      <c r="EP61" s="9" t="e">
        <f>(#REF!)</f>
        <v>#REF!</v>
      </c>
      <c r="ES61" s="12" t="s">
        <v>52</v>
      </c>
      <c r="ET61" s="12">
        <v>8000</v>
      </c>
    </row>
    <row r="62" spans="1:150" ht="18" customHeight="1" x14ac:dyDescent="0.3">
      <c r="A62" s="32" t="str">
        <f>(SALES!$A:$A)</f>
        <v>Thursday, 4 January 2024</v>
      </c>
      <c r="B62" s="1">
        <f>(SALES!$C:$C)</f>
        <v>16</v>
      </c>
      <c r="C62" s="1">
        <f>(SALES!$D:$D)</f>
        <v>1</v>
      </c>
      <c r="D62" s="1" t="str">
        <f>(SALES!$E:$E)</f>
        <v>MATOOKE</v>
      </c>
      <c r="E62" s="1">
        <f>(SALES!$F:$F)</f>
        <v>15000</v>
      </c>
      <c r="F62" s="1">
        <f>(SALES!$G:$G)</f>
        <v>15000</v>
      </c>
      <c r="H62" s="2">
        <f>(EXPENSES!$A:$A)</f>
        <v>45300</v>
      </c>
      <c r="I62" s="10">
        <f>(EXPENSES!$B:$B)</f>
        <v>16</v>
      </c>
      <c r="J62" s="10" t="str">
        <f>(EXPENSES!$C:$C)</f>
        <v>PAID FRANK</v>
      </c>
      <c r="K62" s="10">
        <f>(EXPENSES!$D:$D)</f>
        <v>5000</v>
      </c>
      <c r="DD62" s="12"/>
      <c r="EM62" s="1" t="e">
        <f>(#REF!)</f>
        <v>#REF!</v>
      </c>
      <c r="EN62" s="9" t="e">
        <f>(#REF!)</f>
        <v>#REF!</v>
      </c>
      <c r="EO62" s="9" t="e">
        <f>(#REF!)</f>
        <v>#REF!</v>
      </c>
      <c r="EP62" s="9" t="e">
        <f>(#REF!)</f>
        <v>#REF!</v>
      </c>
      <c r="ES62" s="12" t="s">
        <v>52</v>
      </c>
      <c r="ET62" s="12">
        <v>6000</v>
      </c>
    </row>
    <row r="63" spans="1:150" ht="18" customHeight="1" x14ac:dyDescent="0.3">
      <c r="A63" s="32" t="str">
        <f>(SALES!$A:$A)</f>
        <v>Thursday, 4 January 2024</v>
      </c>
      <c r="B63" s="1">
        <f>(SALES!$C:$C)</f>
        <v>17</v>
      </c>
      <c r="C63" s="1">
        <f>(SALES!$D:$D)</f>
        <v>2</v>
      </c>
      <c r="D63" s="1" t="str">
        <f>(SALES!$E:$E)</f>
        <v>YELLOW YOLK EGGS</v>
      </c>
      <c r="E63" s="1">
        <f>(SALES!$F:$F)</f>
        <v>20000</v>
      </c>
      <c r="F63" s="1">
        <f>(SALES!$G:$G)</f>
        <v>40000</v>
      </c>
      <c r="H63" s="2">
        <f>(EXPENSES!$A:$A)</f>
        <v>45300</v>
      </c>
      <c r="I63" s="10">
        <f>(EXPENSES!$B:$B)</f>
        <v>18</v>
      </c>
      <c r="J63" s="10" t="str">
        <f>(EXPENSES!$C:$C)</f>
        <v>PAID FRANK</v>
      </c>
      <c r="K63" s="10">
        <f>(EXPENSES!$D:$D)</f>
        <v>5000</v>
      </c>
      <c r="EM63" s="1" t="e">
        <f>(#REF!)</f>
        <v>#REF!</v>
      </c>
      <c r="EN63" s="9" t="e">
        <f>(#REF!)</f>
        <v>#REF!</v>
      </c>
      <c r="EO63" s="9" t="e">
        <f>(#REF!)</f>
        <v>#REF!</v>
      </c>
      <c r="EP63" s="9" t="e">
        <f>(#REF!)</f>
        <v>#REF!</v>
      </c>
      <c r="ES63" s="10" t="s">
        <v>52</v>
      </c>
      <c r="ET63" s="10">
        <v>7000</v>
      </c>
    </row>
    <row r="64" spans="1:150" ht="18" customHeight="1" x14ac:dyDescent="0.3">
      <c r="A64" s="32" t="str">
        <f>(SALES!$A:$A)</f>
        <v>Thursday, 4 January 2024</v>
      </c>
      <c r="B64" s="1">
        <f>(SALES!$C:$C)</f>
        <v>18</v>
      </c>
      <c r="C64" s="1">
        <f>(SALES!$D:$D)</f>
        <v>2</v>
      </c>
      <c r="D64" s="1" t="str">
        <f>(SALES!$E:$E)</f>
        <v>YELLOW YOLK EGGS</v>
      </c>
      <c r="E64" s="1">
        <f>(SALES!$F:$F)</f>
        <v>20000</v>
      </c>
      <c r="F64" s="1">
        <f>(SALES!$G:$G)</f>
        <v>40000</v>
      </c>
      <c r="H64" s="2">
        <f>(EXPENSES!$A:$A)</f>
        <v>45300</v>
      </c>
      <c r="I64" s="10">
        <f>(EXPENSES!$B:$B)</f>
        <v>19</v>
      </c>
      <c r="J64" s="10" t="str">
        <f>(EXPENSES!$C:$C)</f>
        <v>PAID FRANK</v>
      </c>
      <c r="K64" s="10">
        <f>(EXPENSES!$D:$D)</f>
        <v>5000</v>
      </c>
      <c r="EM64" s="1" t="e">
        <f>(#REF!)</f>
        <v>#REF!</v>
      </c>
      <c r="EN64" s="9" t="e">
        <f>(#REF!)</f>
        <v>#REF!</v>
      </c>
      <c r="EO64" s="9" t="e">
        <f>(#REF!)</f>
        <v>#REF!</v>
      </c>
      <c r="EP64" s="9" t="e">
        <f>(#REF!)</f>
        <v>#REF!</v>
      </c>
      <c r="ES64" s="10" t="s">
        <v>52</v>
      </c>
      <c r="ET64" s="10">
        <v>9000</v>
      </c>
    </row>
    <row r="65" spans="1:150" ht="18" customHeight="1" x14ac:dyDescent="0.3">
      <c r="A65" s="32" t="str">
        <f>(SALES!$A:$A)</f>
        <v>Thursday, 4 January 2024</v>
      </c>
      <c r="B65" s="1">
        <f>(SALES!$C:$C)</f>
        <v>19</v>
      </c>
      <c r="C65" s="1">
        <f>(SALES!$D:$D)</f>
        <v>3</v>
      </c>
      <c r="D65" s="1" t="str">
        <f>(SALES!$E:$E)</f>
        <v>MATOOKE KGS</v>
      </c>
      <c r="E65" s="1">
        <f>(SALES!$F:$F)</f>
        <v>1500</v>
      </c>
      <c r="F65" s="1">
        <f>(SALES!$G:$G)</f>
        <v>4500</v>
      </c>
      <c r="H65" s="2">
        <f>(EXPENSES!$A:$A)</f>
        <v>45300</v>
      </c>
      <c r="I65" s="10">
        <f>(EXPENSES!$B:$B)</f>
        <v>10</v>
      </c>
      <c r="J65" s="10" t="str">
        <f>(EXPENSES!$C:$C)</f>
        <v>BOUGHT PAPRIKA</v>
      </c>
      <c r="K65" s="10">
        <f>(EXPENSES!$D:$D)</f>
        <v>5200</v>
      </c>
      <c r="EM65" s="1" t="e">
        <f>(#REF!)</f>
        <v>#REF!</v>
      </c>
      <c r="EN65" s="9" t="e">
        <f>(#REF!)</f>
        <v>#REF!</v>
      </c>
      <c r="EO65" s="9" t="e">
        <f>(#REF!)</f>
        <v>#REF!</v>
      </c>
      <c r="EP65" s="9" t="e">
        <f>(#REF!)</f>
        <v>#REF!</v>
      </c>
      <c r="ES65" s="10" t="s">
        <v>52</v>
      </c>
      <c r="ET65" s="10">
        <v>12000</v>
      </c>
    </row>
    <row r="66" spans="1:150" ht="18" customHeight="1" x14ac:dyDescent="0.3">
      <c r="A66" s="32" t="str">
        <f>(SALES!$A:$A)</f>
        <v>Thursday, 4 January 2024</v>
      </c>
      <c r="B66" s="1">
        <f>(SALES!$C:$C)</f>
        <v>20</v>
      </c>
      <c r="C66" s="1">
        <f>(SALES!$D:$D)</f>
        <v>2</v>
      </c>
      <c r="D66" s="1" t="str">
        <f>(SALES!$E:$E)</f>
        <v>DOG BONES</v>
      </c>
      <c r="E66" s="1">
        <f>(SALES!$F:$F)</f>
        <v>4000</v>
      </c>
      <c r="F66" s="1">
        <f>(SALES!$G:$G)</f>
        <v>8000</v>
      </c>
      <c r="H66" s="2">
        <f>(EXPENSES!$A:$A)</f>
        <v>45300</v>
      </c>
      <c r="I66" s="10">
        <f>(EXPENSES!$B:$B)</f>
        <v>20</v>
      </c>
      <c r="J66" s="10" t="str">
        <f>(EXPENSES!$C:$C)</f>
        <v>PAID FRANK</v>
      </c>
      <c r="K66" s="10">
        <f>(EXPENSES!$D:$D)</f>
        <v>7000</v>
      </c>
      <c r="EM66" s="1" t="e">
        <f>(#REF!)</f>
        <v>#REF!</v>
      </c>
      <c r="EN66" s="9" t="e">
        <f>(#REF!)</f>
        <v>#REF!</v>
      </c>
      <c r="EO66" s="9" t="e">
        <f>(#REF!)</f>
        <v>#REF!</v>
      </c>
      <c r="EP66" s="9" t="e">
        <f>(#REF!)</f>
        <v>#REF!</v>
      </c>
      <c r="ES66" s="10" t="s">
        <v>52</v>
      </c>
      <c r="ET66" s="10">
        <v>11000</v>
      </c>
    </row>
    <row r="67" spans="1:150" ht="18" customHeight="1" x14ac:dyDescent="0.3">
      <c r="A67" s="32" t="str">
        <f>(SALES!$A:$A)</f>
        <v>Thursday, 4 January 2024</v>
      </c>
      <c r="B67" s="1">
        <f>(SALES!$C:$C)</f>
        <v>22</v>
      </c>
      <c r="C67" s="1">
        <f>(SALES!$D:$D)</f>
        <v>2</v>
      </c>
      <c r="D67" s="1" t="str">
        <f>(SALES!$E:$E)</f>
        <v>MATOOKE KGS</v>
      </c>
      <c r="E67" s="1">
        <f>(SALES!$F:$F)</f>
        <v>1500</v>
      </c>
      <c r="F67" s="1">
        <f>(SALES!$G:$G)</f>
        <v>3000</v>
      </c>
      <c r="H67" s="2">
        <f>(EXPENSES!$A:$A)</f>
        <v>45300</v>
      </c>
      <c r="I67" s="10">
        <f>(EXPENSES!$B:$B)</f>
        <v>4</v>
      </c>
      <c r="J67" s="10" t="str">
        <f>(EXPENSES!$C:$C)</f>
        <v>PAID REUBEN</v>
      </c>
      <c r="K67" s="10">
        <f>(EXPENSES!$D:$D)</f>
        <v>12000</v>
      </c>
      <c r="EM67" s="1" t="e">
        <f>(#REF!)</f>
        <v>#REF!</v>
      </c>
      <c r="EN67" s="9" t="e">
        <f>(#REF!)</f>
        <v>#REF!</v>
      </c>
      <c r="EO67" s="9" t="e">
        <f>(#REF!)</f>
        <v>#REF!</v>
      </c>
      <c r="EP67" s="9" t="e">
        <f>(#REF!)</f>
        <v>#REF!</v>
      </c>
      <c r="ES67" s="10" t="s">
        <v>52</v>
      </c>
      <c r="ET67" s="10">
        <v>17500</v>
      </c>
    </row>
    <row r="68" spans="1:150" ht="18" customHeight="1" x14ac:dyDescent="0.3">
      <c r="A68" s="32" t="str">
        <f>(SALES!$A:$A)</f>
        <v>Thursday, 4 January 2024</v>
      </c>
      <c r="B68" s="1">
        <f>(SALES!$C:$C)</f>
        <v>23</v>
      </c>
      <c r="C68" s="1">
        <f>(SALES!$D:$D)</f>
        <v>14</v>
      </c>
      <c r="D68" s="1" t="str">
        <f>(SALES!$E:$E)</f>
        <v>DOG BONES</v>
      </c>
      <c r="E68" s="1">
        <f>(SALES!$F:$F)</f>
        <v>4000</v>
      </c>
      <c r="F68" s="1">
        <f>(SALES!$G:$G)</f>
        <v>56000</v>
      </c>
      <c r="H68" s="2">
        <f>(EXPENSES!$A:$A)</f>
        <v>45300</v>
      </c>
      <c r="I68" s="10">
        <f>(EXPENSES!$B:$B)</f>
        <v>15</v>
      </c>
      <c r="J68" s="10" t="str">
        <f>(EXPENSES!$C:$C)</f>
        <v>PAID FRANK</v>
      </c>
      <c r="K68" s="10">
        <f>(EXPENSES!$D:$D)</f>
        <v>12000</v>
      </c>
      <c r="EM68" s="1" t="e">
        <f>(#REF!)</f>
        <v>#REF!</v>
      </c>
      <c r="EN68" s="9" t="e">
        <f>(#REF!)</f>
        <v>#REF!</v>
      </c>
      <c r="EO68" s="9" t="e">
        <f>(#REF!)</f>
        <v>#REF!</v>
      </c>
      <c r="EP68" s="9" t="e">
        <f>(#REF!)</f>
        <v>#REF!</v>
      </c>
      <c r="ES68" s="10" t="s">
        <v>52</v>
      </c>
      <c r="ET68" s="10">
        <v>25000</v>
      </c>
    </row>
    <row r="69" spans="1:150" ht="18" customHeight="1" x14ac:dyDescent="0.3">
      <c r="A69" s="32" t="str">
        <f>(SALES!$A:$A)</f>
        <v>Thursday, 4 January 2024</v>
      </c>
      <c r="B69" s="1">
        <f>(SALES!$C:$C)</f>
        <v>24</v>
      </c>
      <c r="C69" s="1">
        <f>(SALES!$D:$D)</f>
        <v>2.6</v>
      </c>
      <c r="D69" s="1" t="str">
        <f>(SALES!$E:$E)</f>
        <v>MATOOKE KGS</v>
      </c>
      <c r="E69" s="1">
        <f>(SALES!$F:$F)</f>
        <v>1500</v>
      </c>
      <c r="F69" s="1">
        <f>(SALES!$G:$G)</f>
        <v>3900</v>
      </c>
      <c r="H69" s="2">
        <f>(EXPENSES!$A:$A)</f>
        <v>45300</v>
      </c>
      <c r="I69" s="10">
        <f>(EXPENSES!$B:$B)</f>
        <v>7</v>
      </c>
      <c r="J69" s="10" t="str">
        <f>(EXPENSES!$C:$C)</f>
        <v xml:space="preserve">BOUGHT FATS </v>
      </c>
      <c r="K69" s="10">
        <f>(EXPENSES!$D:$D)</f>
        <v>20000</v>
      </c>
      <c r="EM69" s="1" t="e">
        <f>(#REF!)</f>
        <v>#REF!</v>
      </c>
      <c r="EN69" s="9" t="e">
        <f>(#REF!)</f>
        <v>#REF!</v>
      </c>
      <c r="EO69" s="9" t="e">
        <f>(#REF!)</f>
        <v>#REF!</v>
      </c>
      <c r="EP69" s="9" t="e">
        <f>(#REF!)</f>
        <v>#REF!</v>
      </c>
      <c r="ES69" s="12" t="s">
        <v>52</v>
      </c>
      <c r="ET69" s="12">
        <v>11500</v>
      </c>
    </row>
    <row r="70" spans="1:150" ht="18" customHeight="1" x14ac:dyDescent="0.3">
      <c r="A70" s="32" t="str">
        <f>(SALES!$A:$A)</f>
        <v>Thursday, 4 January 2024</v>
      </c>
      <c r="B70" s="1">
        <f>(SALES!$C:$C)</f>
        <v>25</v>
      </c>
      <c r="C70" s="1">
        <f>(SALES!$D:$D)</f>
        <v>1</v>
      </c>
      <c r="D70" s="1" t="str">
        <f>(SALES!$E:$E)</f>
        <v>AVOCADO</v>
      </c>
      <c r="E70" s="1">
        <f>(SALES!$F:$F)</f>
        <v>1000</v>
      </c>
      <c r="F70" s="1">
        <f>(SALES!$G:$G)</f>
        <v>1000</v>
      </c>
      <c r="H70" s="2">
        <f>(EXPENSES!$A:$A)</f>
        <v>45300</v>
      </c>
      <c r="I70" s="10">
        <f>(EXPENSES!$B:$B)</f>
        <v>3</v>
      </c>
      <c r="J70" s="10" t="str">
        <f>(EXPENSES!$C:$C)</f>
        <v xml:space="preserve">SOCKET REPAIR </v>
      </c>
      <c r="K70" s="10">
        <f>(EXPENSES!$D:$D)</f>
        <v>25000</v>
      </c>
      <c r="EM70" s="1" t="e">
        <f>(#REF!)</f>
        <v>#REF!</v>
      </c>
      <c r="EN70" s="9" t="e">
        <f>(#REF!)</f>
        <v>#REF!</v>
      </c>
      <c r="EO70" s="9" t="e">
        <f>(#REF!)</f>
        <v>#REF!</v>
      </c>
      <c r="EP70" s="9" t="e">
        <f>(#REF!)</f>
        <v>#REF!</v>
      </c>
      <c r="ES70" s="12" t="s">
        <v>52</v>
      </c>
      <c r="ET70" s="12">
        <v>13000</v>
      </c>
    </row>
    <row r="71" spans="1:150" ht="18" customHeight="1" x14ac:dyDescent="0.3">
      <c r="A71" s="32" t="str">
        <f>(SALES!$A:$A)</f>
        <v>Thursday, 4 January 2024</v>
      </c>
      <c r="B71" s="1">
        <f>(SALES!$C:$C)</f>
        <v>26</v>
      </c>
      <c r="C71" s="1">
        <f>(SALES!$D:$D)</f>
        <v>1</v>
      </c>
      <c r="D71" s="1" t="str">
        <f>(SALES!$E:$E)</f>
        <v>MATOOKE</v>
      </c>
      <c r="E71" s="1">
        <f>(SALES!$F:$F)</f>
        <v>9000</v>
      </c>
      <c r="F71" s="1">
        <f>(SALES!$G:$G)</f>
        <v>9000</v>
      </c>
      <c r="H71" s="2">
        <f>(EXPENSES!$A:$A)</f>
        <v>45300</v>
      </c>
      <c r="I71" s="10">
        <f>(EXPENSES!$B:$B)</f>
        <v>21</v>
      </c>
      <c r="J71" s="10" t="str">
        <f>(EXPENSES!$C:$C)</f>
        <v>PAID TEVIN</v>
      </c>
      <c r="K71" s="10">
        <f>(EXPENSES!$D:$D)</f>
        <v>26000</v>
      </c>
      <c r="EM71" s="1" t="e">
        <f>(#REF!)</f>
        <v>#REF!</v>
      </c>
      <c r="EN71" s="9" t="e">
        <f>(#REF!)</f>
        <v>#REF!</v>
      </c>
      <c r="EO71" s="9" t="e">
        <f>(#REF!)</f>
        <v>#REF!</v>
      </c>
      <c r="EP71" s="9" t="e">
        <f>(#REF!)</f>
        <v>#REF!</v>
      </c>
      <c r="ES71" s="12" t="s">
        <v>52</v>
      </c>
      <c r="ET71" s="12">
        <v>14000</v>
      </c>
    </row>
    <row r="72" spans="1:150" ht="18" customHeight="1" x14ac:dyDescent="0.3">
      <c r="A72" s="32" t="str">
        <f>(SALES!$A:$A)</f>
        <v>Thursday, 4 January 2024</v>
      </c>
      <c r="B72" s="1">
        <f>(SALES!$C:$C)</f>
        <v>27</v>
      </c>
      <c r="C72" s="1">
        <f>(SALES!$D:$D)</f>
        <v>2</v>
      </c>
      <c r="D72" s="1" t="str">
        <f>(SALES!$E:$E)</f>
        <v>AVOCADO</v>
      </c>
      <c r="E72" s="1">
        <f>(SALES!$F:$F)</f>
        <v>1000</v>
      </c>
      <c r="F72" s="1">
        <f>(SALES!$G:$G)</f>
        <v>2000</v>
      </c>
      <c r="H72" s="2">
        <f>(EXPENSES!$A:$A)</f>
        <v>45300</v>
      </c>
      <c r="I72" s="10">
        <f>(EXPENSES!$B:$B)</f>
        <v>13</v>
      </c>
      <c r="J72" s="10" t="str">
        <f>(EXPENSES!$C:$C)</f>
        <v xml:space="preserve">BOUGHT MILK </v>
      </c>
      <c r="K72" s="10">
        <f>(EXPENSES!$D:$D)</f>
        <v>28000</v>
      </c>
      <c r="EM72" s="1" t="e">
        <f>(#REF!)</f>
        <v>#REF!</v>
      </c>
      <c r="EN72" s="9" t="e">
        <f>(#REF!)</f>
        <v>#REF!</v>
      </c>
      <c r="EO72" s="9" t="e">
        <f>(#REF!)</f>
        <v>#REF!</v>
      </c>
      <c r="EP72" s="9" t="e">
        <f>(#REF!)</f>
        <v>#REF!</v>
      </c>
      <c r="ES72" s="12" t="s">
        <v>52</v>
      </c>
      <c r="ET72" s="12">
        <v>17000</v>
      </c>
    </row>
    <row r="73" spans="1:150" ht="18" customHeight="1" x14ac:dyDescent="0.3">
      <c r="A73" s="32" t="str">
        <f>(SALES!$A:$A)</f>
        <v>Thursday, 4 January 2024</v>
      </c>
      <c r="B73" s="1">
        <f>(SALES!$C:$C)</f>
        <v>28</v>
      </c>
      <c r="C73" s="1">
        <f>(SALES!$D:$D)</f>
        <v>1</v>
      </c>
      <c r="D73" s="1" t="str">
        <f>(SALES!$E:$E)</f>
        <v>BEEF</v>
      </c>
      <c r="E73" s="1">
        <f>(SALES!$F:$F)</f>
        <v>16000</v>
      </c>
      <c r="F73" s="1">
        <f>(SALES!$G:$G)</f>
        <v>16000</v>
      </c>
      <c r="H73" s="2">
        <f>(EXPENSES!$A:$A)</f>
        <v>45301</v>
      </c>
      <c r="I73" s="10">
        <f>(EXPENSES!$B:$B)</f>
        <v>1</v>
      </c>
      <c r="J73" s="10" t="str">
        <f>(EXPENSES!$C:$C)</f>
        <v xml:space="preserve">BOUGHT RUBBER </v>
      </c>
      <c r="K73" s="10">
        <f>(EXPENSES!$D:$D)</f>
        <v>500</v>
      </c>
      <c r="EM73" s="1" t="e">
        <f>(#REF!)</f>
        <v>#REF!</v>
      </c>
      <c r="EN73" s="9" t="e">
        <f>(#REF!)</f>
        <v>#REF!</v>
      </c>
      <c r="EO73" s="9" t="e">
        <f>(#REF!)</f>
        <v>#REF!</v>
      </c>
      <c r="EP73" s="9" t="e">
        <f>(#REF!)</f>
        <v>#REF!</v>
      </c>
      <c r="ES73" s="12" t="s">
        <v>52</v>
      </c>
      <c r="ET73" s="12">
        <v>18000</v>
      </c>
    </row>
    <row r="74" spans="1:150" ht="18" customHeight="1" x14ac:dyDescent="0.3">
      <c r="A74" s="32" t="str">
        <f>(SALES!$A:$A)</f>
        <v>Thursday, 4 January 2024</v>
      </c>
      <c r="B74" s="1">
        <f>(SALES!$C:$C)</f>
        <v>29</v>
      </c>
      <c r="C74" s="1">
        <f>(SALES!$D:$D)</f>
        <v>2</v>
      </c>
      <c r="D74" s="1" t="str">
        <f>(SALES!$E:$E)</f>
        <v>LOCAL EGGS</v>
      </c>
      <c r="E74" s="1">
        <f>(SALES!$F:$F)</f>
        <v>25000</v>
      </c>
      <c r="F74" s="1">
        <f>(SALES!$G:$G)</f>
        <v>50000</v>
      </c>
      <c r="H74" s="2">
        <f>(EXPENSES!$A:$A)</f>
        <v>45301</v>
      </c>
      <c r="I74" s="10">
        <f>(EXPENSES!$B:$B)</f>
        <v>19</v>
      </c>
      <c r="J74" s="10" t="str">
        <f>(EXPENSES!$C:$C)</f>
        <v>BOUGHT TRICON BAR</v>
      </c>
      <c r="K74" s="10">
        <f>(EXPENSES!$D:$D)</f>
        <v>1200</v>
      </c>
      <c r="EM74" s="1" t="e">
        <f>(#REF!)</f>
        <v>#REF!</v>
      </c>
      <c r="EN74" s="9" t="e">
        <f>(#REF!)</f>
        <v>#REF!</v>
      </c>
      <c r="EO74" s="9" t="e">
        <f>(#REF!)</f>
        <v>#REF!</v>
      </c>
      <c r="EP74" s="9" t="e">
        <f>(#REF!)</f>
        <v>#REF!</v>
      </c>
      <c r="ES74" s="12" t="s">
        <v>52</v>
      </c>
      <c r="ET74" s="12">
        <v>18500</v>
      </c>
    </row>
    <row r="75" spans="1:150" ht="18" customHeight="1" x14ac:dyDescent="0.3">
      <c r="A75" s="32" t="str">
        <f>(SALES!$A:$A)</f>
        <v>Thursday, 4 January 2024</v>
      </c>
      <c r="B75" s="1">
        <f>(SALES!$C:$C)</f>
        <v>30</v>
      </c>
      <c r="C75" s="1">
        <f>(SALES!$D:$D)</f>
        <v>3</v>
      </c>
      <c r="D75" s="1" t="str">
        <f>(SALES!$E:$E)</f>
        <v>MATOOKE KGS</v>
      </c>
      <c r="E75" s="1">
        <f>(SALES!$F:$F)</f>
        <v>1500</v>
      </c>
      <c r="F75" s="1">
        <f>(SALES!$G:$G)</f>
        <v>4500</v>
      </c>
      <c r="H75" s="2">
        <f>(EXPENSES!$A:$A)</f>
        <v>45301</v>
      </c>
      <c r="I75" s="10">
        <f>(EXPENSES!$B:$B)</f>
        <v>13</v>
      </c>
      <c r="J75" s="10" t="str">
        <f>(EXPENSES!$C:$C)</f>
        <v>BOUGHT KLEENIT</v>
      </c>
      <c r="K75" s="10">
        <f>(EXPENSES!$D:$D)</f>
        <v>1300</v>
      </c>
      <c r="EM75" s="1" t="e">
        <f>(#REF!)</f>
        <v>#REF!</v>
      </c>
      <c r="EN75" s="9" t="e">
        <f>(#REF!)</f>
        <v>#REF!</v>
      </c>
      <c r="EO75" s="9" t="e">
        <f>(#REF!)</f>
        <v>#REF!</v>
      </c>
      <c r="EP75" s="9" t="e">
        <f>(#REF!)</f>
        <v>#REF!</v>
      </c>
      <c r="ES75" s="12" t="s">
        <v>52</v>
      </c>
      <c r="ET75" s="12">
        <v>7500</v>
      </c>
    </row>
    <row r="76" spans="1:150" ht="18" customHeight="1" x14ac:dyDescent="0.3">
      <c r="A76" s="32" t="str">
        <f>(SALES!$A:$A)</f>
        <v>Thursday, 4 January 2024</v>
      </c>
      <c r="B76" s="1">
        <f>(SALES!$C:$C)</f>
        <v>31</v>
      </c>
      <c r="C76" s="1">
        <f>(SALES!$D:$D)</f>
        <v>8</v>
      </c>
      <c r="D76" s="1" t="str">
        <f>(SALES!$E:$E)</f>
        <v>AVOCADO</v>
      </c>
      <c r="E76" s="1">
        <f>(SALES!$F:$F)</f>
        <v>1000</v>
      </c>
      <c r="F76" s="1">
        <f>(SALES!$G:$G)</f>
        <v>8000</v>
      </c>
      <c r="H76" s="2">
        <f>(EXPENSES!$A:$A)</f>
        <v>45301</v>
      </c>
      <c r="I76" s="10">
        <f>(EXPENSES!$B:$B)</f>
        <v>9</v>
      </c>
      <c r="J76" s="10" t="str">
        <f>(EXPENSES!$C:$C)</f>
        <v>BOUGHT RULER</v>
      </c>
      <c r="K76" s="10">
        <f>(EXPENSES!$D:$D)</f>
        <v>2000</v>
      </c>
      <c r="EM76" s="1" t="e">
        <f>(#REF!)</f>
        <v>#REF!</v>
      </c>
      <c r="EN76" s="9" t="e">
        <f>(#REF!)</f>
        <v>#REF!</v>
      </c>
      <c r="EO76" s="9" t="e">
        <f>(#REF!)</f>
        <v>#REF!</v>
      </c>
      <c r="EP76" s="9" t="e">
        <f>(#REF!)</f>
        <v>#REF!</v>
      </c>
      <c r="ES76" s="12" t="s">
        <v>52</v>
      </c>
      <c r="ET76" s="12">
        <v>9500</v>
      </c>
    </row>
    <row r="77" spans="1:150" ht="18" customHeight="1" x14ac:dyDescent="0.3">
      <c r="A77" s="32" t="str">
        <f>(SALES!$A:$A)</f>
        <v>Thursday, 4 January 2024</v>
      </c>
      <c r="B77" s="1">
        <f>(SALES!$C:$C)</f>
        <v>32</v>
      </c>
      <c r="C77" s="1">
        <f>(SALES!$D:$D)</f>
        <v>1</v>
      </c>
      <c r="D77" s="1" t="str">
        <f>(SALES!$E:$E)</f>
        <v>MATOOKE</v>
      </c>
      <c r="E77" s="1">
        <f>(SALES!$F:$F)</f>
        <v>7000</v>
      </c>
      <c r="F77" s="1">
        <f>(SALES!$G:$G)</f>
        <v>7000</v>
      </c>
      <c r="H77" s="2">
        <f>(EXPENSES!$A:$A)</f>
        <v>45301</v>
      </c>
      <c r="I77" s="10">
        <f>(EXPENSES!$B:$B)</f>
        <v>17</v>
      </c>
      <c r="J77" s="10" t="str">
        <f>(EXPENSES!$C:$C)</f>
        <v>BOUGHT SERVIETTES</v>
      </c>
      <c r="K77" s="10">
        <f>(EXPENSES!$D:$D)</f>
        <v>2500</v>
      </c>
      <c r="EM77" s="1" t="e">
        <f>(#REF!)</f>
        <v>#REF!</v>
      </c>
      <c r="EN77" s="9" t="e">
        <f>(#REF!)</f>
        <v>#REF!</v>
      </c>
      <c r="EO77" s="9" t="e">
        <f>(#REF!)</f>
        <v>#REF!</v>
      </c>
      <c r="EP77" s="9" t="e">
        <f>(#REF!)</f>
        <v>#REF!</v>
      </c>
      <c r="ES77" s="12" t="s">
        <v>52</v>
      </c>
      <c r="ET77" s="12">
        <v>10500</v>
      </c>
    </row>
    <row r="78" spans="1:150" ht="18" customHeight="1" x14ac:dyDescent="0.3">
      <c r="A78" s="32" t="str">
        <f>(SALES!$A:$A)</f>
        <v>Thursday, 4 January 2024</v>
      </c>
      <c r="B78" s="1">
        <f>(SALES!$C:$C)</f>
        <v>33</v>
      </c>
      <c r="C78" s="1">
        <f>(SALES!$D:$D)</f>
        <v>1</v>
      </c>
      <c r="D78" s="1" t="str">
        <f>(SALES!$E:$E)</f>
        <v>YELLOW YOLK EGGS</v>
      </c>
      <c r="E78" s="1">
        <f>(SALES!$F:$F)</f>
        <v>20000</v>
      </c>
      <c r="F78" s="1">
        <f>(SALES!$G:$G)</f>
        <v>20000</v>
      </c>
      <c r="H78" s="2">
        <f>(EXPENSES!$A:$A)</f>
        <v>45301</v>
      </c>
      <c r="I78" s="10">
        <f>(EXPENSES!$B:$B)</f>
        <v>20</v>
      </c>
      <c r="J78" s="10" t="str">
        <f>(EXPENSES!$C:$C)</f>
        <v>BOUGHT STICKY NOTES</v>
      </c>
      <c r="K78" s="10">
        <f>(EXPENSES!$D:$D)</f>
        <v>4000</v>
      </c>
      <c r="EM78" s="1" t="e">
        <f>(#REF!)</f>
        <v>#REF!</v>
      </c>
      <c r="EN78" s="9" t="e">
        <f>(#REF!)</f>
        <v>#REF!</v>
      </c>
      <c r="EO78" s="9" t="e">
        <f>(#REF!)</f>
        <v>#REF!</v>
      </c>
      <c r="EP78" s="9" t="e">
        <f>(#REF!)</f>
        <v>#REF!</v>
      </c>
      <c r="ES78" s="12" t="s">
        <v>52</v>
      </c>
      <c r="ET78" s="12">
        <v>16500</v>
      </c>
    </row>
    <row r="79" spans="1:150" ht="18" customHeight="1" x14ac:dyDescent="0.3">
      <c r="A79" s="32" t="str">
        <f>(SALES!$A:$A)</f>
        <v>Thursday, 4 January 2024</v>
      </c>
      <c r="B79" s="1">
        <f>(SALES!$C:$C)</f>
        <v>34</v>
      </c>
      <c r="C79" s="1">
        <f>(SALES!$D:$D)</f>
        <v>2</v>
      </c>
      <c r="D79" s="1" t="str">
        <f>(SALES!$E:$E)</f>
        <v>MATOOKE KGS</v>
      </c>
      <c r="E79" s="1">
        <f>(SALES!$F:$F)</f>
        <v>1500</v>
      </c>
      <c r="F79" s="1">
        <f>(SALES!$G:$G)</f>
        <v>3000</v>
      </c>
      <c r="H79" s="2">
        <f>(EXPENSES!$A:$A)</f>
        <v>45301</v>
      </c>
      <c r="I79" s="10">
        <f>(EXPENSES!$B:$B)</f>
        <v>7</v>
      </c>
      <c r="J79" s="10" t="str">
        <f>(EXPENSES!$C:$C)</f>
        <v xml:space="preserve">PAID BODA </v>
      </c>
      <c r="K79" s="10">
        <f>(EXPENSES!$D:$D)</f>
        <v>5000</v>
      </c>
      <c r="EM79" s="1" t="e">
        <f>(#REF!)</f>
        <v>#REF!</v>
      </c>
      <c r="EN79" s="9" t="e">
        <f>(#REF!)</f>
        <v>#REF!</v>
      </c>
      <c r="EO79" s="9" t="e">
        <f>(#REF!)</f>
        <v>#REF!</v>
      </c>
      <c r="EP79" s="9" t="e">
        <f>(#REF!)</f>
        <v>#REF!</v>
      </c>
      <c r="ES79" s="12" t="s">
        <v>52</v>
      </c>
      <c r="ET79" s="12">
        <v>26000</v>
      </c>
    </row>
    <row r="80" spans="1:150" ht="18" customHeight="1" x14ac:dyDescent="0.3">
      <c r="A80" s="32" t="str">
        <f>(SALES!$A:$A)</f>
        <v>Thursday, 4 January 2024</v>
      </c>
      <c r="B80" s="1">
        <f>(SALES!$C:$C)</f>
        <v>35</v>
      </c>
      <c r="C80" s="1">
        <f>(SALES!$D:$D)</f>
        <v>2</v>
      </c>
      <c r="D80" s="1" t="str">
        <f>(SALES!$E:$E)</f>
        <v>MATOOKE KGS</v>
      </c>
      <c r="E80" s="1">
        <f>(SALES!$F:$F)</f>
        <v>1500</v>
      </c>
      <c r="F80" s="1">
        <f>(SALES!$G:$G)</f>
        <v>3000</v>
      </c>
      <c r="H80" s="2">
        <f>(EXPENSES!$A:$A)</f>
        <v>45301</v>
      </c>
      <c r="I80" s="10">
        <f>(EXPENSES!$B:$B)</f>
        <v>18</v>
      </c>
      <c r="J80" s="10" t="str">
        <f>(EXPENSES!$C:$C)</f>
        <v>BOUGHT PUSH PINS</v>
      </c>
      <c r="K80" s="10">
        <f>(EXPENSES!$D:$D)</f>
        <v>5100</v>
      </c>
      <c r="EM80" s="1" t="e">
        <f>(#REF!)</f>
        <v>#REF!</v>
      </c>
      <c r="EN80" s="9" t="e">
        <f>(#REF!)</f>
        <v>#REF!</v>
      </c>
      <c r="EO80" s="9" t="e">
        <f>(#REF!)</f>
        <v>#REF!</v>
      </c>
      <c r="EP80" s="9" t="e">
        <f>(#REF!)</f>
        <v>#REF!</v>
      </c>
      <c r="ES80" s="12" t="s">
        <v>52</v>
      </c>
      <c r="ET80" s="12">
        <v>28000</v>
      </c>
    </row>
    <row r="81" spans="1:177" ht="18" customHeight="1" x14ac:dyDescent="0.3">
      <c r="A81" s="32" t="str">
        <f>(SALES!$A:$A)</f>
        <v>Thursday, 4 January 2024</v>
      </c>
      <c r="B81" s="1">
        <f>(SALES!$C:$C)</f>
        <v>36</v>
      </c>
      <c r="C81" s="1">
        <f>(SALES!$D:$D)</f>
        <v>6.7</v>
      </c>
      <c r="D81" s="1" t="str">
        <f>(SALES!$E:$E)</f>
        <v>MATOOKE KGS</v>
      </c>
      <c r="E81" s="1">
        <f>(SALES!$F:$F)</f>
        <v>1500</v>
      </c>
      <c r="F81" s="1">
        <f>(SALES!$G:$G)</f>
        <v>10050</v>
      </c>
      <c r="H81" s="2">
        <f>(EXPENSES!$A:$A)</f>
        <v>45301</v>
      </c>
      <c r="I81" s="10">
        <f>(EXPENSES!$B:$B)</f>
        <v>10</v>
      </c>
      <c r="J81" s="10" t="str">
        <f>(EXPENSES!$C:$C)</f>
        <v>BOUGHT BOOK</v>
      </c>
      <c r="K81" s="10">
        <f>(EXPENSES!$D:$D)</f>
        <v>5500</v>
      </c>
      <c r="EM81" s="1" t="e">
        <f>(#REF!)</f>
        <v>#REF!</v>
      </c>
      <c r="EN81" s="9" t="e">
        <f>(#REF!)</f>
        <v>#REF!</v>
      </c>
      <c r="EO81" s="9" t="e">
        <f>(#REF!)</f>
        <v>#REF!</v>
      </c>
      <c r="EP81" s="9" t="e">
        <f>(#REF!)</f>
        <v>#REF!</v>
      </c>
      <c r="ES81" s="12" t="s">
        <v>52</v>
      </c>
      <c r="ET81" s="12">
        <v>29500</v>
      </c>
    </row>
    <row r="82" spans="1:177" ht="18" customHeight="1" x14ac:dyDescent="0.3">
      <c r="A82" s="32" t="str">
        <f>(SALES!$A:$A)</f>
        <v>Thursday, 4 January 2024</v>
      </c>
      <c r="B82" s="1">
        <f>(SALES!$C:$C)</f>
        <v>37</v>
      </c>
      <c r="C82" s="1">
        <f>(SALES!$D:$D)</f>
        <v>0.5</v>
      </c>
      <c r="D82" s="1" t="str">
        <f>(SALES!$E:$E)</f>
        <v>LOCAL EGGS</v>
      </c>
      <c r="E82" s="1">
        <f>(SALES!$F:$F)</f>
        <v>25000</v>
      </c>
      <c r="F82" s="1">
        <f>(SALES!$G:$G)</f>
        <v>12500</v>
      </c>
      <c r="H82" s="2">
        <f>(EXPENSES!$A:$A)</f>
        <v>45301</v>
      </c>
      <c r="I82" s="10">
        <f>(EXPENSES!$B:$B)</f>
        <v>14</v>
      </c>
      <c r="J82" s="10" t="str">
        <f>(EXPENSES!$C:$C)</f>
        <v>BOUGHT JUNIOUR DUST</v>
      </c>
      <c r="K82" s="10">
        <f>(EXPENSES!$D:$D)</f>
        <v>7300</v>
      </c>
      <c r="EM82" s="1" t="e">
        <f>(#REF!)</f>
        <v>#REF!</v>
      </c>
      <c r="EN82" s="9" t="e">
        <f>(#REF!)</f>
        <v>#REF!</v>
      </c>
      <c r="EO82" s="9" t="e">
        <f>(#REF!)</f>
        <v>#REF!</v>
      </c>
      <c r="EP82" s="9" t="e">
        <f>(#REF!)</f>
        <v>#REF!</v>
      </c>
      <c r="ES82" s="12" t="s">
        <v>52</v>
      </c>
      <c r="ET82" s="12">
        <v>32000</v>
      </c>
    </row>
    <row r="83" spans="1:177" ht="18" customHeight="1" x14ac:dyDescent="0.3">
      <c r="A83" s="32" t="str">
        <f>(SALES!$A:$A)</f>
        <v>Thursday, 4 January 2024</v>
      </c>
      <c r="B83" s="1">
        <f>(SALES!$C:$C)</f>
        <v>38</v>
      </c>
      <c r="C83" s="1">
        <f>(SALES!$D:$D)</f>
        <v>3</v>
      </c>
      <c r="D83" s="1" t="str">
        <f>(SALES!$E:$E)</f>
        <v>MILK</v>
      </c>
      <c r="E83" s="1">
        <f>(SALES!$F:$F)</f>
        <v>2000</v>
      </c>
      <c r="F83" s="1">
        <f>(SALES!$G:$G)</f>
        <v>6000</v>
      </c>
      <c r="H83" s="2">
        <f>(EXPENSES!$A:$A)</f>
        <v>45301</v>
      </c>
      <c r="I83" s="10">
        <f>(EXPENSES!$B:$B)</f>
        <v>6</v>
      </c>
      <c r="J83" s="10" t="str">
        <f>(EXPENSES!$C:$C)</f>
        <v>CHARGES</v>
      </c>
      <c r="K83" s="10">
        <f>(EXPENSES!$D:$D)</f>
        <v>8500</v>
      </c>
      <c r="EM83" s="1" t="e">
        <f>(#REF!)</f>
        <v>#REF!</v>
      </c>
      <c r="EN83" s="9" t="e">
        <f>(#REF!)</f>
        <v>#REF!</v>
      </c>
      <c r="EO83" s="9" t="e">
        <f>(#REF!)</f>
        <v>#REF!</v>
      </c>
      <c r="EP83" s="9" t="e">
        <f>(#REF!)</f>
        <v>#REF!</v>
      </c>
      <c r="ES83" s="12" t="s">
        <v>52</v>
      </c>
      <c r="ET83" s="12">
        <v>34000</v>
      </c>
    </row>
    <row r="84" spans="1:177" ht="18" customHeight="1" x14ac:dyDescent="0.3">
      <c r="A84" s="32" t="str">
        <f>(SALES!$A:$A)</f>
        <v>Thursday, 4 January 2024</v>
      </c>
      <c r="B84" s="1">
        <f>(SALES!$C:$C)</f>
        <v>39</v>
      </c>
      <c r="C84" s="1">
        <f>(SALES!$D:$D)</f>
        <v>1</v>
      </c>
      <c r="D84" s="1" t="str">
        <f>(SALES!$E:$E)</f>
        <v>MATOOKE</v>
      </c>
      <c r="E84" s="1">
        <f>(SALES!$F:$F)</f>
        <v>24000</v>
      </c>
      <c r="F84" s="1">
        <f>(SALES!$G:$G)</f>
        <v>24000</v>
      </c>
      <c r="H84" s="2">
        <f>(EXPENSES!$A:$A)</f>
        <v>45301</v>
      </c>
      <c r="I84" s="10">
        <f>(EXPENSES!$B:$B)</f>
        <v>2</v>
      </c>
      <c r="J84" s="10" t="str">
        <f>(EXPENSES!$C:$C)</f>
        <v>BOUGHT ROYCO</v>
      </c>
      <c r="K84" s="10">
        <f>(EXPENSES!$D:$D)</f>
        <v>14000</v>
      </c>
      <c r="EM84" s="1" t="e">
        <f>(#REF!)</f>
        <v>#REF!</v>
      </c>
      <c r="EN84" s="9" t="e">
        <f>(#REF!)</f>
        <v>#REF!</v>
      </c>
      <c r="EO84" s="9" t="e">
        <f>(#REF!)</f>
        <v>#REF!</v>
      </c>
      <c r="EP84" s="9" t="e">
        <f>(#REF!)</f>
        <v>#REF!</v>
      </c>
      <c r="ES84" s="12" t="s">
        <v>52</v>
      </c>
      <c r="ET84" s="12">
        <v>37000</v>
      </c>
    </row>
    <row r="85" spans="1:177" ht="18" customHeight="1" x14ac:dyDescent="0.3">
      <c r="A85" s="32" t="str">
        <f>(SALES!$A:$A)</f>
        <v>Thursday, 4 January 2024</v>
      </c>
      <c r="B85" s="1">
        <f>(SALES!$C:$C)</f>
        <v>40</v>
      </c>
      <c r="C85" s="1">
        <f>(SALES!$D:$D)</f>
        <v>0.5</v>
      </c>
      <c r="D85" s="1" t="str">
        <f>(SALES!$E:$E)</f>
        <v>MILK</v>
      </c>
      <c r="E85" s="1">
        <f>(SALES!$F:$F)</f>
        <v>2000</v>
      </c>
      <c r="F85" s="1">
        <f>(SALES!$G:$G)</f>
        <v>1000</v>
      </c>
      <c r="H85" s="2">
        <f>(EXPENSES!$A:$A)</f>
        <v>45301</v>
      </c>
      <c r="I85" s="10">
        <f>(EXPENSES!$B:$B)</f>
        <v>11</v>
      </c>
      <c r="J85" s="10" t="str">
        <f>(EXPENSES!$C:$C)</f>
        <v>PAID REUBEN</v>
      </c>
      <c r="K85" s="10">
        <f>(EXPENSES!$D:$D)</f>
        <v>15000</v>
      </c>
      <c r="EM85" s="1" t="e">
        <f>(#REF!)</f>
        <v>#REF!</v>
      </c>
      <c r="EN85" s="9" t="e">
        <f>(#REF!)</f>
        <v>#REF!</v>
      </c>
      <c r="EO85" s="9" t="e">
        <f>(#REF!)</f>
        <v>#REF!</v>
      </c>
      <c r="EP85" s="9" t="e">
        <f>(#REF!)</f>
        <v>#REF!</v>
      </c>
      <c r="ES85" s="12" t="s">
        <v>52</v>
      </c>
      <c r="ET85" s="12">
        <v>22500</v>
      </c>
      <c r="FR85" s="1"/>
      <c r="FS85" s="9"/>
      <c r="FT85" s="9"/>
      <c r="FU85" s="9"/>
    </row>
    <row r="86" spans="1:177" ht="18" customHeight="1" x14ac:dyDescent="0.3">
      <c r="A86" s="32" t="str">
        <f>(SALES!$A:$A)</f>
        <v>Thursday, 4 January 2024</v>
      </c>
      <c r="B86" s="1">
        <f>(SALES!$C:$C)</f>
        <v>41</v>
      </c>
      <c r="C86" s="1">
        <f>(SALES!$D:$D)</f>
        <v>1</v>
      </c>
      <c r="D86" s="1" t="str">
        <f>(SALES!$E:$E)</f>
        <v>MATOOKE</v>
      </c>
      <c r="E86" s="1">
        <f>(SALES!$F:$F)</f>
        <v>15000</v>
      </c>
      <c r="F86" s="1">
        <f>(SALES!$G:$G)</f>
        <v>15000</v>
      </c>
      <c r="H86" s="2">
        <f>(EXPENSES!$A:$A)</f>
        <v>45301</v>
      </c>
      <c r="I86" s="10">
        <f>(EXPENSES!$B:$B)</f>
        <v>16</v>
      </c>
      <c r="J86" s="10" t="str">
        <f>(EXPENSES!$C:$C)</f>
        <v>BOUGHT CELLOTAPE</v>
      </c>
      <c r="K86" s="10">
        <f>(EXPENSES!$D:$D)</f>
        <v>26000</v>
      </c>
      <c r="EM86" s="1" t="e">
        <f>(#REF!)</f>
        <v>#REF!</v>
      </c>
      <c r="EN86" s="9" t="e">
        <f>(#REF!)</f>
        <v>#REF!</v>
      </c>
      <c r="EO86" s="9" t="e">
        <f>(#REF!)</f>
        <v>#REF!</v>
      </c>
      <c r="EP86" s="9" t="e">
        <f>(#REF!)</f>
        <v>#REF!</v>
      </c>
      <c r="ES86" s="12" t="s">
        <v>52</v>
      </c>
      <c r="ET86" s="12">
        <v>23000</v>
      </c>
      <c r="FR86" s="1"/>
      <c r="FS86" s="9"/>
      <c r="FT86" s="9"/>
      <c r="FU86" s="9"/>
    </row>
    <row r="87" spans="1:177" ht="18" customHeight="1" x14ac:dyDescent="0.3">
      <c r="A87" s="32" t="str">
        <f>(SALES!$A:$A)</f>
        <v>Thursday, 4 January 2024</v>
      </c>
      <c r="B87" s="1">
        <f>(SALES!$C:$C)</f>
        <v>42</v>
      </c>
      <c r="C87" s="1">
        <f>(SALES!$D:$D)</f>
        <v>1</v>
      </c>
      <c r="D87" s="1" t="str">
        <f>(SALES!$E:$E)</f>
        <v>DOG BONES</v>
      </c>
      <c r="E87" s="1">
        <f>(SALES!$F:$F)</f>
        <v>4000</v>
      </c>
      <c r="F87" s="1">
        <f>(SALES!$G:$G)</f>
        <v>4000</v>
      </c>
      <c r="H87" s="2">
        <f>(EXPENSES!$A:$A)</f>
        <v>45301</v>
      </c>
      <c r="I87" s="10">
        <f>(EXPENSES!$B:$B)</f>
        <v>8</v>
      </c>
      <c r="J87" s="10" t="str">
        <f>(EXPENSES!$C:$C)</f>
        <v xml:space="preserve">BOUGHT MILK </v>
      </c>
      <c r="K87" s="10">
        <f>(EXPENSES!$D:$D)</f>
        <v>28000</v>
      </c>
      <c r="EM87" s="1" t="e">
        <f>(#REF!)</f>
        <v>#REF!</v>
      </c>
      <c r="EN87" s="9" t="e">
        <f>(#REF!)</f>
        <v>#REF!</v>
      </c>
      <c r="EO87" s="9" t="e">
        <f>(#REF!)</f>
        <v>#REF!</v>
      </c>
      <c r="EP87" s="9" t="e">
        <f>(#REF!)</f>
        <v>#REF!</v>
      </c>
      <c r="ES87" s="12" t="s">
        <v>52</v>
      </c>
      <c r="ET87" s="12">
        <v>24500</v>
      </c>
      <c r="FR87" s="1"/>
    </row>
    <row r="88" spans="1:177" ht="18" customHeight="1" x14ac:dyDescent="0.3">
      <c r="A88" s="32" t="str">
        <f>(SALES!$A:$A)</f>
        <v>Thursday, 4 January 2024</v>
      </c>
      <c r="B88" s="1">
        <f>(SALES!$C:$C)</f>
        <v>43</v>
      </c>
      <c r="C88" s="1">
        <f>(SALES!$D:$D)</f>
        <v>4</v>
      </c>
      <c r="D88" s="1" t="str">
        <f>(SALES!$E:$E)</f>
        <v>MATOOKE KGS</v>
      </c>
      <c r="E88" s="1">
        <f>(SALES!$F:$F)</f>
        <v>1500</v>
      </c>
      <c r="F88" s="1">
        <f>(SALES!$G:$G)</f>
        <v>6000</v>
      </c>
      <c r="H88" s="2">
        <f>(EXPENSES!$A:$A)</f>
        <v>45301</v>
      </c>
      <c r="I88" s="10">
        <f>(EXPENSES!$B:$B)</f>
        <v>15</v>
      </c>
      <c r="J88" s="10" t="str">
        <f>(EXPENSES!$C:$C)</f>
        <v>BOUGHT HAIRNETS</v>
      </c>
      <c r="K88" s="10">
        <f>(EXPENSES!$D:$D)</f>
        <v>30000</v>
      </c>
      <c r="EM88" s="1" t="e">
        <f>(#REF!)</f>
        <v>#REF!</v>
      </c>
      <c r="EN88" s="9" t="e">
        <f>(#REF!)</f>
        <v>#REF!</v>
      </c>
      <c r="EO88" s="9" t="e">
        <f>(#REF!)</f>
        <v>#REF!</v>
      </c>
      <c r="EP88" s="9" t="e">
        <f>(#REF!)</f>
        <v>#REF!</v>
      </c>
      <c r="ES88" s="12" t="s">
        <v>52</v>
      </c>
      <c r="ET88" s="10">
        <v>20500</v>
      </c>
      <c r="FR88" s="1"/>
    </row>
    <row r="89" spans="1:177" ht="18" customHeight="1" x14ac:dyDescent="0.3">
      <c r="A89" s="32" t="str">
        <f>(SALES!$A:$A)</f>
        <v>Thursday, 4 January 2024</v>
      </c>
      <c r="B89" s="1">
        <f>(SALES!$C:$C)</f>
        <v>46</v>
      </c>
      <c r="C89" s="1">
        <f>(SALES!$D:$D)</f>
        <v>1</v>
      </c>
      <c r="D89" s="1" t="str">
        <f>(SALES!$E:$E)</f>
        <v>MILK</v>
      </c>
      <c r="E89" s="1">
        <f>(SALES!$F:$F)</f>
        <v>2000</v>
      </c>
      <c r="F89" s="1">
        <f>(SALES!$G:$G)</f>
        <v>2000</v>
      </c>
      <c r="H89" s="2">
        <f>(EXPENSES!$A:$A)</f>
        <v>45301</v>
      </c>
      <c r="I89" s="10">
        <f>(EXPENSES!$B:$B)</f>
        <v>4</v>
      </c>
      <c r="J89" s="10" t="str">
        <f>(EXPENSES!$C:$C)</f>
        <v>BOUGHT TOMATOES</v>
      </c>
      <c r="K89" s="10">
        <f>(EXPENSES!$D:$D)</f>
        <v>70000</v>
      </c>
      <c r="EM89" s="1" t="e">
        <f>(#REF!)</f>
        <v>#REF!</v>
      </c>
      <c r="EN89" s="9" t="e">
        <f>(#REF!)</f>
        <v>#REF!</v>
      </c>
      <c r="EO89" s="9" t="e">
        <f>(#REF!)</f>
        <v>#REF!</v>
      </c>
      <c r="EP89" s="9" t="e">
        <f>(#REF!)</f>
        <v>#REF!</v>
      </c>
      <c r="ES89" s="12" t="s">
        <v>52</v>
      </c>
      <c r="ET89" s="10">
        <v>23500</v>
      </c>
      <c r="FR89" s="1"/>
    </row>
    <row r="90" spans="1:177" ht="18" customHeight="1" x14ac:dyDescent="0.3">
      <c r="A90" s="32" t="str">
        <f>(SALES!$A:$A)</f>
        <v>Thursday, 4 January 2024</v>
      </c>
      <c r="B90" s="1">
        <f>(SALES!$C:$C)</f>
        <v>47</v>
      </c>
      <c r="C90" s="1">
        <f>(SALES!$D:$D)</f>
        <v>3.4</v>
      </c>
      <c r="D90" s="1" t="str">
        <f>(SALES!$E:$E)</f>
        <v>MATOOKE KGS</v>
      </c>
      <c r="E90" s="1">
        <f>(SALES!$F:$F)</f>
        <v>1500</v>
      </c>
      <c r="F90" s="1">
        <f>(SALES!$G:$G)</f>
        <v>5100</v>
      </c>
      <c r="H90" s="2">
        <f>(EXPENSES!$A:$A)</f>
        <v>45301</v>
      </c>
      <c r="I90" s="10">
        <f>(EXPENSES!$B:$B)</f>
        <v>5</v>
      </c>
      <c r="J90" s="10" t="str">
        <f>(EXPENSES!$C:$C)</f>
        <v>BOUGHT BEANS</v>
      </c>
      <c r="K90" s="10">
        <f>(EXPENSES!$D:$D)</f>
        <v>80000</v>
      </c>
      <c r="EM90" s="1" t="e">
        <f>(#REF!)</f>
        <v>#REF!</v>
      </c>
      <c r="EN90" s="9" t="e">
        <f>(#REF!)</f>
        <v>#REF!</v>
      </c>
      <c r="EO90" s="9" t="e">
        <f>(#REF!)</f>
        <v>#REF!</v>
      </c>
      <c r="EP90" s="9" t="e">
        <f>(#REF!)</f>
        <v>#REF!</v>
      </c>
      <c r="ES90" s="12" t="s">
        <v>52</v>
      </c>
      <c r="ET90" s="10">
        <v>22000</v>
      </c>
      <c r="FR90" s="1"/>
    </row>
    <row r="91" spans="1:177" ht="18" customHeight="1" x14ac:dyDescent="0.3">
      <c r="A91" s="32" t="str">
        <f>(SALES!$A:$A)</f>
        <v>Thursday, 4 January 2024</v>
      </c>
      <c r="B91" s="1">
        <f>(SALES!$C:$C)</f>
        <v>48</v>
      </c>
      <c r="C91" s="1">
        <f>(SALES!$D:$D)</f>
        <v>1</v>
      </c>
      <c r="D91" s="1" t="str">
        <f>(SALES!$E:$E)</f>
        <v>SAUSAGES</v>
      </c>
      <c r="E91" s="1">
        <f>(SALES!$F:$F)</f>
        <v>30000</v>
      </c>
      <c r="F91" s="1">
        <f>(SALES!$G:$G)</f>
        <v>30000</v>
      </c>
      <c r="H91" s="2">
        <f>(EXPENSES!$A:$A)</f>
        <v>45301</v>
      </c>
      <c r="I91" s="10">
        <f>(EXPENSES!$B:$B)</f>
        <v>12</v>
      </c>
      <c r="J91" s="10" t="str">
        <f>(EXPENSES!$C:$C)</f>
        <v>REMOVED GHEE MONEY</v>
      </c>
      <c r="K91" s="10">
        <f>(EXPENSES!$D:$D)</f>
        <v>125000</v>
      </c>
      <c r="EM91" s="1" t="e">
        <f>(#REF!)</f>
        <v>#REF!</v>
      </c>
      <c r="EN91" s="9" t="e">
        <f>(#REF!)</f>
        <v>#REF!</v>
      </c>
      <c r="EO91" s="9" t="e">
        <f>(#REF!)</f>
        <v>#REF!</v>
      </c>
      <c r="EP91" s="9" t="e">
        <f>(#REF!)</f>
        <v>#REF!</v>
      </c>
      <c r="ES91" s="20" t="s">
        <v>52</v>
      </c>
      <c r="ET91" s="10">
        <v>1500</v>
      </c>
      <c r="FR91" s="1"/>
    </row>
    <row r="92" spans="1:177" ht="18" customHeight="1" x14ac:dyDescent="0.3">
      <c r="A92" s="32" t="str">
        <f>(SALES!$A:$A)</f>
        <v>Thursday, 4 January 2024</v>
      </c>
      <c r="B92" s="1">
        <f>(SALES!$C:$C)</f>
        <v>49</v>
      </c>
      <c r="C92" s="1">
        <f>(SALES!$D:$D)</f>
        <v>1</v>
      </c>
      <c r="D92" s="1" t="str">
        <f>(SALES!$E:$E)</f>
        <v>GOAT</v>
      </c>
      <c r="E92" s="1">
        <f>(SALES!$F:$F)</f>
        <v>20000</v>
      </c>
      <c r="F92" s="1">
        <f>(SALES!$G:$G)</f>
        <v>20000</v>
      </c>
      <c r="H92" s="2">
        <f>(EXPENSES!$A:$A)</f>
        <v>45301</v>
      </c>
      <c r="I92" s="10">
        <f>(EXPENSES!$B:$B)</f>
        <v>3</v>
      </c>
      <c r="J92" s="10" t="str">
        <f>(EXPENSES!$C:$C)</f>
        <v>BOUGHT ONIONS</v>
      </c>
      <c r="K92" s="10">
        <f>(EXPENSES!$D:$D)</f>
        <v>190000</v>
      </c>
      <c r="EM92" s="1" t="e">
        <f>(#REF!)</f>
        <v>#REF!</v>
      </c>
      <c r="EN92" s="9" t="e">
        <f>(#REF!)</f>
        <v>#REF!</v>
      </c>
      <c r="EO92" s="9" t="e">
        <f>(#REF!)</f>
        <v>#REF!</v>
      </c>
      <c r="EP92" s="9" t="e">
        <f>(#REF!)</f>
        <v>#REF!</v>
      </c>
      <c r="ES92" s="20" t="s">
        <v>52</v>
      </c>
      <c r="ET92" s="10">
        <v>13500</v>
      </c>
      <c r="FR92" s="1"/>
    </row>
    <row r="93" spans="1:177" ht="18" customHeight="1" x14ac:dyDescent="0.3">
      <c r="A93" s="32" t="str">
        <f>(SALES!$A:$A)</f>
        <v>Thursday, 4 January 2024</v>
      </c>
      <c r="B93" s="1">
        <f>(SALES!$C:$C)</f>
        <v>50</v>
      </c>
      <c r="C93" s="1">
        <f>(SALES!$D:$D)</f>
        <v>1</v>
      </c>
      <c r="D93" s="1" t="str">
        <f>(SALES!$E:$E)</f>
        <v>BONELESS BEEF</v>
      </c>
      <c r="E93" s="1">
        <f>(SALES!$F:$F)</f>
        <v>22000</v>
      </c>
      <c r="F93" s="1">
        <f>(SALES!$G:$G)</f>
        <v>22000</v>
      </c>
      <c r="H93" s="2">
        <f>(EXPENSES!$A:$A)</f>
        <v>45301</v>
      </c>
      <c r="I93" s="10">
        <f>(EXPENSES!$B:$B)</f>
        <v>21</v>
      </c>
      <c r="J93" s="10" t="str">
        <f>(EXPENSES!$C:$C)</f>
        <v xml:space="preserve">BOUGHT FISH </v>
      </c>
      <c r="K93" s="10">
        <f>(EXPENSES!$D:$D)</f>
        <v>280000</v>
      </c>
      <c r="EM93" s="1" t="e">
        <f>(#REF!)</f>
        <v>#REF!</v>
      </c>
      <c r="EN93" s="9" t="e">
        <f>(#REF!)</f>
        <v>#REF!</v>
      </c>
      <c r="EO93" s="9" t="e">
        <f>(#REF!)</f>
        <v>#REF!</v>
      </c>
      <c r="EP93" s="9" t="e">
        <f>(#REF!)</f>
        <v>#REF!</v>
      </c>
      <c r="ES93" s="20" t="s">
        <v>52</v>
      </c>
      <c r="ET93" s="10">
        <v>21000</v>
      </c>
      <c r="FR93" s="1"/>
    </row>
    <row r="94" spans="1:177" ht="18" customHeight="1" x14ac:dyDescent="0.3">
      <c r="A94" s="32" t="str">
        <f>(SALES!$A:$A)</f>
        <v>Thursday, 4 January 2024</v>
      </c>
      <c r="B94" s="1">
        <f>(SALES!$C:$C)</f>
        <v>51</v>
      </c>
      <c r="C94" s="1">
        <f>(SALES!$D:$D)</f>
        <v>1</v>
      </c>
      <c r="D94" s="1" t="str">
        <f>(SALES!$E:$E)</f>
        <v>BEEF</v>
      </c>
      <c r="E94" s="1">
        <f>(SALES!$F:$F)</f>
        <v>16000</v>
      </c>
      <c r="F94" s="1">
        <f>(SALES!$G:$G)</f>
        <v>16000</v>
      </c>
      <c r="H94" s="2">
        <f>(EXPENSES!$A:$A)</f>
        <v>45302</v>
      </c>
      <c r="I94" s="10">
        <f>(EXPENSES!$B:$B)</f>
        <v>3</v>
      </c>
      <c r="J94" s="10" t="str">
        <f>(EXPENSES!$C:$C)</f>
        <v>BOUGHT KIDNEY</v>
      </c>
      <c r="K94" s="10">
        <f>(EXPENSES!$D:$D)</f>
        <v>14700</v>
      </c>
      <c r="EM94" s="1" t="e">
        <f>(#REF!)</f>
        <v>#REF!</v>
      </c>
      <c r="EN94" s="9" t="e">
        <f>(#REF!)</f>
        <v>#REF!</v>
      </c>
      <c r="EO94" s="9" t="e">
        <f>(#REF!)</f>
        <v>#REF!</v>
      </c>
      <c r="EP94" s="9" t="e">
        <f>(#REF!)</f>
        <v>#REF!</v>
      </c>
      <c r="ES94" s="20" t="s">
        <v>52</v>
      </c>
      <c r="ET94" s="10">
        <v>19000</v>
      </c>
      <c r="FR94" s="1"/>
    </row>
    <row r="95" spans="1:177" ht="18" customHeight="1" x14ac:dyDescent="0.3">
      <c r="A95" s="32" t="str">
        <f>(SALES!$A:$A)</f>
        <v>Thursday, 4 January 2024</v>
      </c>
      <c r="B95" s="1">
        <f>(SALES!$C:$C)</f>
        <v>52</v>
      </c>
      <c r="C95" s="1">
        <f>(SALES!$D:$D)</f>
        <v>0.5</v>
      </c>
      <c r="D95" s="1" t="str">
        <f>(SALES!$E:$E)</f>
        <v>YELLOW YOLK EGGS</v>
      </c>
      <c r="E95" s="1">
        <f>(SALES!$F:$F)</f>
        <v>20000</v>
      </c>
      <c r="F95" s="1">
        <f>(SALES!$G:$G)</f>
        <v>10000</v>
      </c>
      <c r="H95" s="2">
        <f>(EXPENSES!$A:$A)</f>
        <v>45302</v>
      </c>
      <c r="I95" s="10">
        <f>(EXPENSES!$B:$B)</f>
        <v>6</v>
      </c>
      <c r="J95" s="10" t="str">
        <f>(EXPENSES!$C:$C)</f>
        <v>PAID REUBEN</v>
      </c>
      <c r="K95" s="10">
        <f>(EXPENSES!$D:$D)</f>
        <v>29000</v>
      </c>
      <c r="EM95" s="1" t="e">
        <f>(#REF!)</f>
        <v>#REF!</v>
      </c>
      <c r="EN95" s="9" t="e">
        <f>(#REF!)</f>
        <v>#REF!</v>
      </c>
      <c r="EO95" s="9" t="e">
        <f>(#REF!)</f>
        <v>#REF!</v>
      </c>
      <c r="EP95" s="9" t="e">
        <f>(#REF!)</f>
        <v>#REF!</v>
      </c>
      <c r="ES95" s="12" t="s">
        <v>55</v>
      </c>
      <c r="ET95" s="12">
        <v>35000</v>
      </c>
      <c r="FR95" s="1"/>
    </row>
    <row r="96" spans="1:177" ht="18" customHeight="1" x14ac:dyDescent="0.3">
      <c r="A96" s="32" t="str">
        <f>(SALES!$A:$A)</f>
        <v>Thursday, 4 January 2024</v>
      </c>
      <c r="B96" s="1">
        <f>(SALES!$C:$C)</f>
        <v>54</v>
      </c>
      <c r="C96" s="1">
        <f>(SALES!$D:$D)</f>
        <v>4</v>
      </c>
      <c r="D96" s="1" t="str">
        <f>(SALES!$E:$E)</f>
        <v>MATOOKE</v>
      </c>
      <c r="E96" s="1">
        <f>(SALES!$F:$F)</f>
        <v>7000</v>
      </c>
      <c r="F96" s="1">
        <f>(SALES!$G:$G)</f>
        <v>28000</v>
      </c>
      <c r="H96" s="2">
        <f>(EXPENSES!$A:$A)</f>
        <v>45302</v>
      </c>
      <c r="I96" s="10">
        <f>(EXPENSES!$B:$B)</f>
        <v>5</v>
      </c>
      <c r="J96" s="10" t="str">
        <f>(EXPENSES!$C:$C)</f>
        <v xml:space="preserve">BOUGHT MILK </v>
      </c>
      <c r="K96" s="10">
        <f>(EXPENSES!$D:$D)</f>
        <v>35000</v>
      </c>
      <c r="EM96" s="1" t="e">
        <f>(#REF!)</f>
        <v>#REF!</v>
      </c>
      <c r="EN96" s="9" t="e">
        <f>(#REF!)</f>
        <v>#REF!</v>
      </c>
      <c r="EO96" s="9" t="e">
        <f>(#REF!)</f>
        <v>#REF!</v>
      </c>
      <c r="EP96" s="9" t="e">
        <f>(#REF!)</f>
        <v>#REF!</v>
      </c>
      <c r="ES96" s="12" t="s">
        <v>55</v>
      </c>
      <c r="ET96" s="12">
        <v>8000</v>
      </c>
      <c r="FR96" s="1"/>
    </row>
    <row r="97" spans="1:205" ht="18" customHeight="1" x14ac:dyDescent="0.3">
      <c r="A97" s="32" t="str">
        <f>(SALES!$A:$A)</f>
        <v>Thursday, 4 January 2024</v>
      </c>
      <c r="B97" s="1">
        <f>(SALES!$C:$C)</f>
        <v>55</v>
      </c>
      <c r="C97" s="1">
        <f>(SALES!$D:$D)</f>
        <v>1</v>
      </c>
      <c r="D97" s="1" t="str">
        <f>(SALES!$E:$E)</f>
        <v>MATOOKE</v>
      </c>
      <c r="E97" s="1">
        <f>(SALES!$F:$F)</f>
        <v>12000</v>
      </c>
      <c r="F97" s="1">
        <f>(SALES!$G:$G)</f>
        <v>12000</v>
      </c>
      <c r="H97" s="2">
        <f>(EXPENSES!$A:$A)</f>
        <v>45302</v>
      </c>
      <c r="I97" s="10">
        <f>(EXPENSES!$B:$B)</f>
        <v>1</v>
      </c>
      <c r="J97" s="10" t="str">
        <f>(EXPENSES!$C:$C)</f>
        <v xml:space="preserve">BOUGHT CHICKEN LEGS </v>
      </c>
      <c r="K97" s="10">
        <f>(EXPENSES!$D:$D)</f>
        <v>39600</v>
      </c>
      <c r="EM97" s="1" t="e">
        <f>(#REF!)</f>
        <v>#REF!</v>
      </c>
      <c r="EN97" s="9" t="e">
        <f>(#REF!)</f>
        <v>#REF!</v>
      </c>
      <c r="EO97" s="9" t="e">
        <f>(#REF!)</f>
        <v>#REF!</v>
      </c>
      <c r="EP97" s="9" t="e">
        <f>(#REF!)</f>
        <v>#REF!</v>
      </c>
      <c r="ES97" s="10" t="s">
        <v>55</v>
      </c>
      <c r="ET97" s="10">
        <v>10000</v>
      </c>
      <c r="GW97" s="1"/>
    </row>
    <row r="98" spans="1:205" ht="18" customHeight="1" x14ac:dyDescent="0.3">
      <c r="A98" s="32" t="str">
        <f>(SALES!$A:$A)</f>
        <v>Thursday, 4 January 2024</v>
      </c>
      <c r="B98" s="1">
        <f>(SALES!$C:$C)</f>
        <v>56</v>
      </c>
      <c r="C98" s="1">
        <f>(SALES!$D:$D)</f>
        <v>2</v>
      </c>
      <c r="D98" s="1" t="str">
        <f>(SALES!$E:$E)</f>
        <v>MATOOKE</v>
      </c>
      <c r="E98" s="1">
        <f>(SALES!$F:$F)</f>
        <v>15000</v>
      </c>
      <c r="F98" s="1">
        <f>(SALES!$G:$G)</f>
        <v>30000</v>
      </c>
      <c r="H98" s="2">
        <f>(EXPENSES!$A:$A)</f>
        <v>45302</v>
      </c>
      <c r="I98" s="10">
        <f>(EXPENSES!$B:$B)</f>
        <v>4</v>
      </c>
      <c r="J98" s="10" t="str">
        <f>(EXPENSES!$C:$C)</f>
        <v xml:space="preserve">BOUGHT YAKA </v>
      </c>
      <c r="K98" s="10">
        <f>(EXPENSES!$D:$D)</f>
        <v>170000</v>
      </c>
      <c r="EM98" s="1" t="e">
        <f>(#REF!)</f>
        <v>#REF!</v>
      </c>
      <c r="EN98" s="9" t="e">
        <f>(#REF!)</f>
        <v>#REF!</v>
      </c>
      <c r="EO98" s="9" t="e">
        <f>(#REF!)</f>
        <v>#REF!</v>
      </c>
      <c r="EP98" s="9" t="e">
        <f>(#REF!)</f>
        <v>#REF!</v>
      </c>
      <c r="ES98" s="10" t="s">
        <v>55</v>
      </c>
      <c r="ET98" s="10">
        <v>15000</v>
      </c>
      <c r="GW98" s="1"/>
    </row>
    <row r="99" spans="1:205" ht="18" customHeight="1" x14ac:dyDescent="0.3">
      <c r="A99" s="32" t="str">
        <f>(SALES!$A:$A)</f>
        <v>Thursday, 4 January 2024</v>
      </c>
      <c r="B99" s="1">
        <f>(SALES!$C:$C)</f>
        <v>57</v>
      </c>
      <c r="C99" s="1">
        <f>(SALES!$D:$D)</f>
        <v>2</v>
      </c>
      <c r="D99" s="1" t="str">
        <f>(SALES!$E:$E)</f>
        <v>MATOOKE</v>
      </c>
      <c r="E99" s="1">
        <f>(SALES!$F:$F)</f>
        <v>15000</v>
      </c>
      <c r="F99" s="1">
        <f>(SALES!$G:$G)</f>
        <v>30000</v>
      </c>
      <c r="H99" s="2">
        <f>(EXPENSES!$A:$A)</f>
        <v>45302</v>
      </c>
      <c r="I99" s="10">
        <f>(EXPENSES!$B:$B)</f>
        <v>2</v>
      </c>
      <c r="J99" s="10" t="str">
        <f>(EXPENSES!$C:$C)</f>
        <v>PAID YELLOW YOLK EGGS</v>
      </c>
      <c r="K99" s="10">
        <f>(EXPENSES!$D:$D)</f>
        <v>340000</v>
      </c>
      <c r="EM99" s="1" t="e">
        <f>(#REF!)</f>
        <v>#REF!</v>
      </c>
      <c r="EN99" s="9" t="e">
        <f>(#REF!)</f>
        <v>#REF!</v>
      </c>
      <c r="EO99" s="9" t="e">
        <f>(#REF!)</f>
        <v>#REF!</v>
      </c>
      <c r="EP99" s="9" t="e">
        <f>(#REF!)</f>
        <v>#REF!</v>
      </c>
      <c r="ES99" s="10" t="s">
        <v>55</v>
      </c>
      <c r="ET99" s="10">
        <v>17500</v>
      </c>
      <c r="GW99" s="1"/>
    </row>
    <row r="100" spans="1:205" ht="18" customHeight="1" x14ac:dyDescent="0.3">
      <c r="A100" s="32" t="str">
        <f>(SALES!$A:$A)</f>
        <v>Thursday, 4 January 2024</v>
      </c>
      <c r="B100" s="1">
        <f>(SALES!$C:$C)</f>
        <v>1</v>
      </c>
      <c r="C100" s="1">
        <f>(SALES!$D:$D)</f>
        <v>2</v>
      </c>
      <c r="D100" s="1" t="str">
        <f>(SALES!$E:$E)</f>
        <v>MATOOKE</v>
      </c>
      <c r="E100" s="1">
        <f>(SALES!$F:$F)</f>
        <v>10000</v>
      </c>
      <c r="F100" s="1">
        <f>(SALES!$G:$G)</f>
        <v>20000</v>
      </c>
      <c r="H100" s="2">
        <f>(EXPENSES!$A:$A)</f>
        <v>45303</v>
      </c>
      <c r="I100" s="10">
        <f>(EXPENSES!$B:$B)</f>
        <v>1</v>
      </c>
      <c r="J100" s="10" t="str">
        <f>(EXPENSES!$C:$C)</f>
        <v xml:space="preserve">BOUGHT MILK </v>
      </c>
      <c r="K100" s="10">
        <f>(EXPENSES!$D:$D)</f>
        <v>21000</v>
      </c>
      <c r="EM100" s="1" t="e">
        <f>(#REF!)</f>
        <v>#REF!</v>
      </c>
      <c r="EN100" s="9" t="e">
        <f>(#REF!)</f>
        <v>#REF!</v>
      </c>
      <c r="EO100" s="9" t="e">
        <f>(#REF!)</f>
        <v>#REF!</v>
      </c>
      <c r="EP100" s="9" t="e">
        <f>(#REF!)</f>
        <v>#REF!</v>
      </c>
      <c r="ES100" s="12" t="s">
        <v>55</v>
      </c>
      <c r="ET100" s="12">
        <v>12500</v>
      </c>
      <c r="GW100" s="1"/>
    </row>
    <row r="101" spans="1:205" ht="18" customHeight="1" x14ac:dyDescent="0.3">
      <c r="A101" s="32" t="str">
        <f>(SALES!$A:$A)</f>
        <v>Friday, 5 January 2024</v>
      </c>
      <c r="B101" s="1">
        <f>(SALES!$C:$C)</f>
        <v>2</v>
      </c>
      <c r="C101" s="1">
        <f>(SALES!$D:$D)</f>
        <v>3.3</v>
      </c>
      <c r="D101" s="1" t="str">
        <f>(SALES!$E:$E)</f>
        <v>MATOOKE KGS</v>
      </c>
      <c r="E101" s="1">
        <f>(SALES!$F:$F)</f>
        <v>1500</v>
      </c>
      <c r="F101" s="1">
        <f>(SALES!$G:$G)</f>
        <v>4950</v>
      </c>
      <c r="H101" s="2">
        <f>(EXPENSES!$A:$A)</f>
        <v>45303</v>
      </c>
      <c r="I101" s="10">
        <f>(EXPENSES!$B:$B)</f>
        <v>2</v>
      </c>
      <c r="J101" s="10" t="str">
        <f>(EXPENSES!$C:$C)</f>
        <v>BOUGHT SOAP</v>
      </c>
      <c r="K101" s="10">
        <f>(EXPENSES!$D:$D)</f>
        <v>6000</v>
      </c>
      <c r="EM101" s="1" t="e">
        <f>(#REF!)</f>
        <v>#REF!</v>
      </c>
      <c r="EN101" s="9" t="e">
        <f>(#REF!)</f>
        <v>#REF!</v>
      </c>
      <c r="EO101" s="9" t="e">
        <f>(#REF!)</f>
        <v>#REF!</v>
      </c>
      <c r="EP101" s="9" t="e">
        <f>(#REF!)</f>
        <v>#REF!</v>
      </c>
      <c r="ES101" s="12" t="s">
        <v>55</v>
      </c>
      <c r="ET101" s="10">
        <v>29000</v>
      </c>
      <c r="GW101" s="1"/>
    </row>
    <row r="102" spans="1:205" ht="18" customHeight="1" x14ac:dyDescent="0.3">
      <c r="A102" s="32" t="str">
        <f>(SALES!$A:$A)</f>
        <v>Friday, 5 January 2024</v>
      </c>
      <c r="B102" s="1">
        <f>(SALES!$C:$C)</f>
        <v>3</v>
      </c>
      <c r="C102" s="1">
        <f>(SALES!$D:$D)</f>
        <v>3</v>
      </c>
      <c r="D102" s="1" t="str">
        <f>(SALES!$E:$E)</f>
        <v>MATOOKE KGS</v>
      </c>
      <c r="E102" s="1">
        <f>(SALES!$F:$F)</f>
        <v>1500</v>
      </c>
      <c r="F102" s="1">
        <f>(SALES!$G:$G)</f>
        <v>4500</v>
      </c>
      <c r="H102" s="2">
        <f>(EXPENSES!$A:$A)</f>
        <v>45303</v>
      </c>
      <c r="I102" s="10">
        <f>(EXPENSES!$B:$B)</f>
        <v>3</v>
      </c>
      <c r="J102" s="10" t="str">
        <f>(EXPENSES!$C:$C)</f>
        <v xml:space="preserve">PAID G NUT MONEY </v>
      </c>
      <c r="K102" s="10">
        <f>(EXPENSES!$D:$D)</f>
        <v>12000</v>
      </c>
      <c r="EM102" s="1" t="e">
        <f>(#REF!)</f>
        <v>#REF!</v>
      </c>
      <c r="EN102" s="9" t="e">
        <f>(#REF!)</f>
        <v>#REF!</v>
      </c>
      <c r="EO102" s="9" t="e">
        <f>(#REF!)</f>
        <v>#REF!</v>
      </c>
      <c r="EP102" s="9" t="e">
        <f>(#REF!)</f>
        <v>#REF!</v>
      </c>
      <c r="ES102" s="20" t="s">
        <v>55</v>
      </c>
      <c r="ET102" s="10">
        <v>10500</v>
      </c>
      <c r="GW102" s="1"/>
    </row>
    <row r="103" spans="1:205" ht="18" customHeight="1" x14ac:dyDescent="0.3">
      <c r="A103" s="32" t="str">
        <f>(SALES!$A:$A)</f>
        <v>Friday, 5 January 2024</v>
      </c>
      <c r="B103" s="1">
        <f>(SALES!$C:$C)</f>
        <v>4</v>
      </c>
      <c r="C103" s="1">
        <f>(SALES!$D:$D)</f>
        <v>1</v>
      </c>
      <c r="D103" s="1" t="str">
        <f>(SALES!$E:$E)</f>
        <v>MILK</v>
      </c>
      <c r="E103" s="1">
        <f>(SALES!$F:$F)</f>
        <v>2000</v>
      </c>
      <c r="F103" s="1">
        <f>(SALES!$G:$G)</f>
        <v>2000</v>
      </c>
      <c r="H103" s="2">
        <f>(EXPENSES!$A:$A)</f>
        <v>45303</v>
      </c>
      <c r="I103" s="10">
        <f>(EXPENSES!$B:$B)</f>
        <v>4</v>
      </c>
      <c r="J103" s="10" t="str">
        <f>(EXPENSES!$C:$C)</f>
        <v>PAID BACK IRISH MONEY</v>
      </c>
      <c r="K103" s="10">
        <f>(EXPENSES!$D:$D)</f>
        <v>30000</v>
      </c>
      <c r="EM103" s="1" t="e">
        <f>(#REF!)</f>
        <v>#REF!</v>
      </c>
      <c r="EN103" s="9" t="e">
        <f>(#REF!)</f>
        <v>#REF!</v>
      </c>
      <c r="EO103" s="9" t="e">
        <f>(#REF!)</f>
        <v>#REF!</v>
      </c>
      <c r="EP103" s="9" t="e">
        <f>(#REF!)</f>
        <v>#REF!</v>
      </c>
      <c r="ES103" s="20" t="s">
        <v>55</v>
      </c>
      <c r="ET103" s="10">
        <v>22000</v>
      </c>
      <c r="GW103" s="1"/>
    </row>
    <row r="104" spans="1:205" ht="18" customHeight="1" x14ac:dyDescent="0.3">
      <c r="A104" s="32" t="str">
        <f>(SALES!$A:$A)</f>
        <v>Friday, 5 January 2024</v>
      </c>
      <c r="B104" s="1">
        <f>(SALES!$C:$C)</f>
        <v>5</v>
      </c>
      <c r="C104" s="1">
        <f>(SALES!$D:$D)</f>
        <v>1</v>
      </c>
      <c r="D104" s="1" t="str">
        <f>(SALES!$E:$E)</f>
        <v>MATOOKE KGS</v>
      </c>
      <c r="E104" s="1">
        <f>(SALES!$F:$F)</f>
        <v>1500</v>
      </c>
      <c r="F104" s="1">
        <f>(SALES!$G:$G)</f>
        <v>1500</v>
      </c>
      <c r="H104" s="2">
        <f>(EXPENSES!$A:$A)</f>
        <v>45303</v>
      </c>
      <c r="I104" s="10">
        <f>(EXPENSES!$B:$B)</f>
        <v>5</v>
      </c>
      <c r="J104" s="10" t="str">
        <f>(EXPENSES!$C:$C)</f>
        <v>PAID REUBEN</v>
      </c>
      <c r="K104" s="10">
        <f>(EXPENSES!$D:$D)</f>
        <v>29000</v>
      </c>
      <c r="EM104" s="1" t="e">
        <f>(#REF!)</f>
        <v>#REF!</v>
      </c>
      <c r="EN104" s="9" t="e">
        <f>(#REF!)</f>
        <v>#REF!</v>
      </c>
      <c r="EO104" s="9" t="e">
        <f>(#REF!)</f>
        <v>#REF!</v>
      </c>
      <c r="EP104" s="9" t="e">
        <f>(#REF!)</f>
        <v>#REF!</v>
      </c>
      <c r="ES104" s="20" t="s">
        <v>55</v>
      </c>
      <c r="ET104" s="10">
        <v>27000</v>
      </c>
      <c r="GW104" s="1"/>
    </row>
    <row r="105" spans="1:205" ht="18.75" x14ac:dyDescent="0.3">
      <c r="A105" s="32" t="str">
        <f>(SALES!$A:$A)</f>
        <v>Friday, 5 January 2024</v>
      </c>
      <c r="B105" s="1">
        <f>(SALES!$C:$C)</f>
        <v>6</v>
      </c>
      <c r="C105" s="1">
        <f>(SALES!$D:$D)</f>
        <v>1</v>
      </c>
      <c r="D105" s="1" t="str">
        <f>(SALES!$E:$E)</f>
        <v>MILK</v>
      </c>
      <c r="E105" s="1">
        <f>(SALES!$F:$F)</f>
        <v>2000</v>
      </c>
      <c r="F105" s="1">
        <f>(SALES!$G:$G)</f>
        <v>2000</v>
      </c>
      <c r="H105" s="2">
        <f>(EXPENSES!$A:$A)</f>
        <v>45303</v>
      </c>
      <c r="I105" s="10">
        <f>(EXPENSES!$B:$B)</f>
        <v>6</v>
      </c>
      <c r="J105" s="10" t="str">
        <f>(EXPENSES!$C:$C)</f>
        <v>PAID FRANK</v>
      </c>
      <c r="K105" s="10">
        <f>(EXPENSES!$D:$D)</f>
        <v>20000</v>
      </c>
      <c r="EM105" s="1" t="e">
        <f>(#REF!)</f>
        <v>#REF!</v>
      </c>
      <c r="EN105" s="9" t="e">
        <f>(#REF!)</f>
        <v>#REF!</v>
      </c>
      <c r="EO105" s="9" t="e">
        <f>(#REF!)</f>
        <v>#REF!</v>
      </c>
      <c r="EP105" s="9" t="e">
        <f>(#REF!)</f>
        <v>#REF!</v>
      </c>
      <c r="ES105" s="10" t="s">
        <v>56</v>
      </c>
      <c r="ET105" s="10">
        <v>1500</v>
      </c>
      <c r="GW105" s="1"/>
    </row>
    <row r="106" spans="1:205" ht="18.75" x14ac:dyDescent="0.3">
      <c r="A106" s="32" t="str">
        <f>(SALES!$A:$A)</f>
        <v>Friday, 5 January 2024</v>
      </c>
      <c r="B106" s="1">
        <f>(SALES!$C:$C)</f>
        <v>7</v>
      </c>
      <c r="C106" s="1">
        <f>(SALES!$D:$D)</f>
        <v>1.3</v>
      </c>
      <c r="D106" s="1" t="str">
        <f>(SALES!$E:$E)</f>
        <v>MATOOKE KGS</v>
      </c>
      <c r="E106" s="1">
        <f>(SALES!$F:$F)</f>
        <v>1500</v>
      </c>
      <c r="F106" s="1">
        <f>(SALES!$G:$G)</f>
        <v>1950</v>
      </c>
      <c r="H106" s="2">
        <f>(EXPENSES!$A:$A)</f>
        <v>45304</v>
      </c>
      <c r="I106" s="10">
        <f>(EXPENSES!$B:$B)</f>
        <v>1</v>
      </c>
      <c r="J106" s="10" t="str">
        <f>(EXPENSES!$C:$C)</f>
        <v>CHICKEN LEGS</v>
      </c>
      <c r="K106" s="10">
        <f>(EXPENSES!$D:$D)</f>
        <v>38800</v>
      </c>
      <c r="EM106" s="1" t="e">
        <f>(#REF!)</f>
        <v>#REF!</v>
      </c>
      <c r="EN106" s="9" t="e">
        <f>(#REF!)</f>
        <v>#REF!</v>
      </c>
      <c r="EO106" s="9" t="e">
        <f>(#REF!)</f>
        <v>#REF!</v>
      </c>
      <c r="EP106" s="9" t="e">
        <f>(#REF!)</f>
        <v>#REF!</v>
      </c>
      <c r="ES106" s="10" t="s">
        <v>56</v>
      </c>
      <c r="ET106" s="10">
        <f>IF($D:$D="MATOOKE KGS", 1500, "")</f>
        <v>1500</v>
      </c>
    </row>
    <row r="107" spans="1:205" ht="18.75" x14ac:dyDescent="0.3">
      <c r="A107" s="32" t="str">
        <f>(SALES!$A:$A)</f>
        <v>Friday, 5 January 2024</v>
      </c>
      <c r="B107" s="1">
        <f>(SALES!$C:$C)</f>
        <v>8</v>
      </c>
      <c r="C107" s="1">
        <f>(SALES!$D:$D)</f>
        <v>2</v>
      </c>
      <c r="D107" s="1" t="str">
        <f>(SALES!$E:$E)</f>
        <v>MATOOKE KGS</v>
      </c>
      <c r="E107" s="1">
        <f>(SALES!$F:$F)</f>
        <v>1500</v>
      </c>
      <c r="F107" s="1">
        <f>(SALES!$G:$G)</f>
        <v>3000</v>
      </c>
      <c r="H107" s="2">
        <f>(EXPENSES!$A:$A)</f>
        <v>45304</v>
      </c>
      <c r="I107" s="10">
        <f>(EXPENSES!$B:$B)</f>
        <v>2</v>
      </c>
      <c r="J107" s="10" t="str">
        <f>(EXPENSES!$C:$C)</f>
        <v>BOUGHT LIVER</v>
      </c>
      <c r="K107" s="10">
        <f>(EXPENSES!$D:$D)</f>
        <v>60000</v>
      </c>
      <c r="EM107" s="1" t="e">
        <f>(#REF!)</f>
        <v>#REF!</v>
      </c>
      <c r="EN107" s="9" t="e">
        <f>(#REF!)</f>
        <v>#REF!</v>
      </c>
      <c r="EO107" s="9" t="e">
        <f>(#REF!)</f>
        <v>#REF!</v>
      </c>
      <c r="EP107" s="9" t="e">
        <f>(#REF!)</f>
        <v>#REF!</v>
      </c>
      <c r="ES107" s="10" t="s">
        <v>56</v>
      </c>
      <c r="ET107" s="10">
        <f>IF($D:$D="MATOOKE KGS", 1500, IF($D:$D="SAUSAGES", 30000, IF($D:$D="MILK", 2000, "")))</f>
        <v>1500</v>
      </c>
    </row>
    <row r="108" spans="1:205" ht="18.75" x14ac:dyDescent="0.3">
      <c r="A108" s="32" t="str">
        <f>(SALES!$A:$A)</f>
        <v>Friday, 5 January 2024</v>
      </c>
      <c r="B108" s="1">
        <f>(SALES!$C:$C)</f>
        <v>9</v>
      </c>
      <c r="C108" s="1">
        <f>(SALES!$D:$D)</f>
        <v>1</v>
      </c>
      <c r="D108" s="1" t="str">
        <f>(SALES!$E:$E)</f>
        <v>MATOOKE</v>
      </c>
      <c r="E108" s="1">
        <f>(SALES!$F:$F)</f>
        <v>10000</v>
      </c>
      <c r="F108" s="1">
        <f>(SALES!$G:$G)</f>
        <v>10000</v>
      </c>
      <c r="H108" s="2">
        <f>(EXPENSES!$A:$A)</f>
        <v>45304</v>
      </c>
      <c r="I108" s="10">
        <f>(EXPENSES!$B:$B)</f>
        <v>3</v>
      </c>
      <c r="J108" s="10" t="str">
        <f>(EXPENSES!$C:$C)</f>
        <v xml:space="preserve">BOUGHT MILK </v>
      </c>
      <c r="K108" s="10">
        <f>(EXPENSES!$D:$D)</f>
        <v>67500</v>
      </c>
      <c r="EM108" s="1" t="e">
        <f>(#REF!)</f>
        <v>#REF!</v>
      </c>
      <c r="EN108" s="9" t="e">
        <f>(#REF!)</f>
        <v>#REF!</v>
      </c>
      <c r="EO108" s="9" t="e">
        <f>(#REF!)</f>
        <v>#REF!</v>
      </c>
      <c r="EP108" s="9" t="e">
        <f>(#REF!)</f>
        <v>#REF!</v>
      </c>
      <c r="ES108" s="10" t="s">
        <v>56</v>
      </c>
      <c r="ET108" s="10" t="str">
        <f>IF($D:$D="MATOOKE KGS", 1500, IF($D:$D="SAUSAGES", 30000, IF($D:$D="MILK", 2000, IF($D:$D="YELLOW YOLK EGGS", 20000, IF($D:$D="AVOCADO", 1000, IF($D:$D="BEEF", 16000, IF($D:$D="PLAIN YOGHURT", 4000, "")))))))</f>
        <v/>
      </c>
    </row>
    <row r="109" spans="1:205" ht="18.75" x14ac:dyDescent="0.3">
      <c r="A109" s="32" t="str">
        <f>(SALES!$A:$A)</f>
        <v>Friday, 5 January 2024</v>
      </c>
      <c r="B109" s="1">
        <f>(SALES!$C:$C)</f>
        <v>10</v>
      </c>
      <c r="C109" s="1">
        <f>(SALES!$D:$D)</f>
        <v>4</v>
      </c>
      <c r="D109" s="1" t="str">
        <f>(SALES!$E:$E)</f>
        <v>MATOOKE KGS</v>
      </c>
      <c r="E109" s="1">
        <f>(SALES!$F:$F)</f>
        <v>1500</v>
      </c>
      <c r="F109" s="1">
        <f>(SALES!$G:$G)</f>
        <v>6000</v>
      </c>
      <c r="H109" s="2">
        <f>(EXPENSES!$A:$A)</f>
        <v>45304</v>
      </c>
      <c r="I109" s="10">
        <f>(EXPENSES!$B:$B)</f>
        <v>4</v>
      </c>
      <c r="J109" s="10" t="str">
        <f>(EXPENSES!$C:$C)</f>
        <v>PAID DIRISA</v>
      </c>
      <c r="K109" s="10">
        <f>(EXPENSES!$D:$D)</f>
        <v>10000</v>
      </c>
      <c r="EM109" s="1" t="e">
        <f>(#REF!)</f>
        <v>#REF!</v>
      </c>
      <c r="EN109" s="9" t="e">
        <f>(#REF!)</f>
        <v>#REF!</v>
      </c>
      <c r="EO109" s="9" t="e">
        <f>(#REF!)</f>
        <v>#REF!</v>
      </c>
      <c r="EP109" s="9" t="e">
        <f>(#REF!)</f>
        <v>#REF!</v>
      </c>
      <c r="ES109" s="10" t="s">
        <v>56</v>
      </c>
      <c r="ET109" s="10">
        <f>IF($D:$D="MATOOKE KGS", 1500, IF($D:$D="SHREDDED BEEF", 24000, IF($D:$D="GOAT LEG", 22000, IF($D:$D="SAUSAGES", 30000, IF($D:$D="MILK", 2000, IF($D:$D="SOUP BONES", 5000,  IF($D:$D="YELLOW YOLK EGGS", 20000, IF($D:$D="AVOCADO", 1000, IF($D:$D="BEEF", 16000, IF($D:$D="PLAIN YOGHURT", 4000,IF($D:$D="OFFALS", 12000,IF($D:$D="GOAT", 20000,""))))))))))))</f>
        <v>1500</v>
      </c>
    </row>
    <row r="110" spans="1:205" ht="18.75" x14ac:dyDescent="0.3">
      <c r="A110" s="32" t="str">
        <f>(SALES!$A:$A)</f>
        <v>Friday, 5 January 2024</v>
      </c>
      <c r="B110" s="1">
        <f>(SALES!$C:$C)</f>
        <v>11</v>
      </c>
      <c r="C110" s="1">
        <f>(SALES!$D:$D)</f>
        <v>6.7</v>
      </c>
      <c r="D110" s="1" t="str">
        <f>(SALES!$E:$E)</f>
        <v>MATOOKE KGS</v>
      </c>
      <c r="E110" s="1">
        <f>(SALES!$F:$F)</f>
        <v>1500</v>
      </c>
      <c r="F110" s="1">
        <f>(SALES!$G:$G)</f>
        <v>10050</v>
      </c>
      <c r="H110" s="2">
        <f>(EXPENSES!$A:$A)</f>
        <v>45304</v>
      </c>
      <c r="I110" s="10">
        <f>(EXPENSES!$B:$B)</f>
        <v>5</v>
      </c>
      <c r="J110" s="10" t="str">
        <f>(EXPENSES!$C:$C)</f>
        <v>PAID REUBEN</v>
      </c>
      <c r="K110" s="10">
        <f>(EXPENSES!$D:$D)</f>
        <v>17000</v>
      </c>
      <c r="EM110" s="1" t="e">
        <f>(#REF!)</f>
        <v>#REF!</v>
      </c>
      <c r="EN110" s="9" t="e">
        <f>(#REF!)</f>
        <v>#REF!</v>
      </c>
      <c r="EO110" s="9" t="e">
        <f>(#REF!)</f>
        <v>#REF!</v>
      </c>
      <c r="EP110" s="9" t="e">
        <f>(#REF!)</f>
        <v>#REF!</v>
      </c>
      <c r="ES110" s="10" t="s">
        <v>56</v>
      </c>
      <c r="ET110" s="10">
        <f>IF($D:$D="MATOOKE KGS", 1500, IF($D:$D="SAUSAGES", 30000, IF($D:$D="MILK", 2000, IF($D:$D="YELLOW YOLK EGGS", 20000, IF($D:$D="AVOCADO", 1000, IF($D:$D="BEEF", 16000, IF($D:$D="PLAIN YOGHURT", 4000, "")))))))</f>
        <v>1500</v>
      </c>
    </row>
    <row r="111" spans="1:205" ht="18.75" x14ac:dyDescent="0.3">
      <c r="A111" s="32" t="str">
        <f>(SALES!$A:$A)</f>
        <v>Friday, 5 January 2024</v>
      </c>
      <c r="B111" s="1">
        <f>(SALES!$C:$C)</f>
        <v>12</v>
      </c>
      <c r="C111" s="1">
        <f>(SALES!$D:$D)</f>
        <v>1</v>
      </c>
      <c r="D111" s="1" t="str">
        <f>(SALES!$E:$E)</f>
        <v>YELLOW YOLK EGGS</v>
      </c>
      <c r="E111" s="1">
        <f>(SALES!$F:$F)</f>
        <v>20000</v>
      </c>
      <c r="F111" s="1">
        <f>(SALES!$G:$G)</f>
        <v>20000</v>
      </c>
      <c r="H111" s="2">
        <f>(EXPENSES!$A:$A)</f>
        <v>45304</v>
      </c>
      <c r="I111" s="10">
        <f>(EXPENSES!$B:$B)</f>
        <v>6</v>
      </c>
      <c r="J111" s="10" t="str">
        <f>(EXPENSES!$C:$C)</f>
        <v>PAID FRANK</v>
      </c>
      <c r="K111" s="10">
        <f>(EXPENSES!$D:$D)</f>
        <v>26000</v>
      </c>
      <c r="EM111" s="1" t="e">
        <f>(#REF!)</f>
        <v>#REF!</v>
      </c>
      <c r="EN111" s="9" t="e">
        <f>(#REF!)</f>
        <v>#REF!</v>
      </c>
      <c r="EO111" s="9" t="e">
        <f>(#REF!)</f>
        <v>#REF!</v>
      </c>
      <c r="EP111" s="9" t="e">
        <f>(#REF!)</f>
        <v>#REF!</v>
      </c>
      <c r="ES111" s="12" t="s">
        <v>56</v>
      </c>
      <c r="ET111" s="10">
        <f>IF($D:$D="MATOOKE KGS", 1500, IF($D:$D="SAUSAGES", 30000, IF($D:$D="TOMATOES", 3000, IF($D:$D="CHICKEN", 30000, IF($D:$D="LOCAL EGGS", 25000, IF($D:$D="IRISH", 3000, IF($D:$D="MILK", 2000, IF($D:$D="ONIONS", 6000, IF($D:$D="YELLOW YOLK EGGS", 20000, IF($D:$D="AVOCADO", 1000, IF($D:$D="BEEF", 16000, IF($D:$D="PLAIN YOGHURT", 4000, ""))))))))))))</f>
        <v>20000</v>
      </c>
    </row>
    <row r="112" spans="1:205" ht="18.75" x14ac:dyDescent="0.3">
      <c r="A112" s="32" t="str">
        <f>(SALES!$A:$A)</f>
        <v>Friday, 5 January 2024</v>
      </c>
      <c r="B112" s="1">
        <f>(SALES!$C:$C)</f>
        <v>13</v>
      </c>
      <c r="C112" s="1">
        <f>(SALES!$D:$D)</f>
        <v>1</v>
      </c>
      <c r="D112" s="1" t="str">
        <f>(SALES!$E:$E)</f>
        <v>MATOOKE</v>
      </c>
      <c r="E112" s="1">
        <f>(SALES!$F:$F)</f>
        <v>15000</v>
      </c>
      <c r="F112" s="1">
        <f>(SALES!$G:$G)</f>
        <v>15000</v>
      </c>
      <c r="H112" s="2">
        <f>(EXPENSES!$A:$A)</f>
        <v>45306</v>
      </c>
      <c r="I112" s="10">
        <f>(EXPENSES!$B:$B)</f>
        <v>7</v>
      </c>
      <c r="J112" s="10" t="str">
        <f>(EXPENSES!$C:$C)</f>
        <v>PAID YELLOW YOLK EGGS</v>
      </c>
      <c r="K112" s="10">
        <f>(EXPENSES!$D:$D)</f>
        <v>340000</v>
      </c>
      <c r="EM112" s="1" t="e">
        <f>(#REF!)</f>
        <v>#REF!</v>
      </c>
      <c r="EN112" s="9" t="e">
        <f>(#REF!)</f>
        <v>#REF!</v>
      </c>
      <c r="EO112" s="9" t="e">
        <f>(#REF!)</f>
        <v>#REF!</v>
      </c>
      <c r="EP112" s="9" t="e">
        <f>(#REF!)</f>
        <v>#REF!</v>
      </c>
      <c r="ES112" s="12" t="s">
        <v>56</v>
      </c>
      <c r="ET112" s="10" t="str">
        <f>IF($D:$D="MATOOKE KGS", 1500, IF($D:$D="SAUSAGES", 30000,  IF($D:$D="TOMATOES", 3000,  IF($D:$D="CHICKEN", 30000, IF($D:$D="LOCAL EGGS", 25000,  IF($D:$D="IRISH", 3000, IF($D:$D="MILK", 2000, IF($D:$D="ONIONS", 6000, IF($D:$D="YELLOW YOLK EGGS", 20000, IF($D:$D="AVOCADO", 1000, IF($D:$D="BEEF", 16000, IF($D:$D="PLAIN YOGHURT", 4000, IF($D:$D="GOAT", 19000, "")))))))))))))</f>
        <v/>
      </c>
    </row>
    <row r="113" spans="1:150" ht="18.75" x14ac:dyDescent="0.3">
      <c r="A113" s="32" t="str">
        <f>(SALES!$A:$A)</f>
        <v>Friday, 5 January 2024</v>
      </c>
      <c r="B113" s="1">
        <f>(SALES!$C:$C)</f>
        <v>14</v>
      </c>
      <c r="C113" s="1">
        <f>(SALES!$D:$D)</f>
        <v>1</v>
      </c>
      <c r="D113" s="1" t="str">
        <f>(SALES!$E:$E)</f>
        <v>MATOOKE</v>
      </c>
      <c r="E113" s="1">
        <f>(SALES!$F:$F)</f>
        <v>10000</v>
      </c>
      <c r="F113" s="1">
        <f>(SALES!$G:$G)</f>
        <v>10000</v>
      </c>
      <c r="H113" s="2">
        <f>(EXPENSES!$A:$A)</f>
        <v>45306</v>
      </c>
      <c r="I113" s="10">
        <f>(EXPENSES!$B:$B)</f>
        <v>1</v>
      </c>
      <c r="J113" s="10" t="str">
        <f>(EXPENSES!$C:$C)</f>
        <v>PAID REUBEN</v>
      </c>
      <c r="K113" s="10">
        <f>(EXPENSES!$D:$D)</f>
        <v>27000</v>
      </c>
      <c r="EM113" s="1" t="e">
        <f>(#REF!)</f>
        <v>#REF!</v>
      </c>
      <c r="EN113" s="9" t="e">
        <f>(#REF!)</f>
        <v>#REF!</v>
      </c>
      <c r="EO113" s="9" t="e">
        <f>(#REF!)</f>
        <v>#REF!</v>
      </c>
      <c r="EP113" s="9" t="e">
        <f>(#REF!)</f>
        <v>#REF!</v>
      </c>
      <c r="ES113" s="12" t="s">
        <v>57</v>
      </c>
      <c r="ET113" s="12">
        <v>35000</v>
      </c>
    </row>
    <row r="114" spans="1:150" ht="18.75" x14ac:dyDescent="0.3">
      <c r="A114" s="32" t="str">
        <f>(SALES!$A:$A)</f>
        <v>Friday, 5 January 2024</v>
      </c>
      <c r="B114" s="1">
        <f>(SALES!$C:$C)</f>
        <v>15</v>
      </c>
      <c r="C114" s="1">
        <f>(SALES!$D:$D)</f>
        <v>2</v>
      </c>
      <c r="D114" s="1" t="str">
        <f>(SALES!$E:$E)</f>
        <v>MATOOKE</v>
      </c>
      <c r="E114" s="1">
        <f>(SALES!$F:$F)</f>
        <v>11000</v>
      </c>
      <c r="F114" s="1">
        <f>(SALES!$G:$G)</f>
        <v>22000</v>
      </c>
      <c r="H114" s="2">
        <f>(EXPENSES!$A:$A)</f>
        <v>45306</v>
      </c>
      <c r="I114" s="10">
        <f>(EXPENSES!$B:$B)</f>
        <v>2</v>
      </c>
      <c r="J114" s="10" t="str">
        <f>(EXPENSES!$C:$C)</f>
        <v xml:space="preserve">BOUGHT MILK </v>
      </c>
      <c r="K114" s="10">
        <f>(EXPENSES!$D:$D)</f>
        <v>90000</v>
      </c>
      <c r="EM114" s="1" t="e">
        <f>(#REF!)</f>
        <v>#REF!</v>
      </c>
      <c r="EN114" s="9" t="e">
        <f>(#REF!)</f>
        <v>#REF!</v>
      </c>
      <c r="EO114" s="9" t="e">
        <f>(#REF!)</f>
        <v>#REF!</v>
      </c>
      <c r="EP114" s="9" t="e">
        <f>(#REF!)</f>
        <v>#REF!</v>
      </c>
      <c r="ES114" s="10" t="s">
        <v>58</v>
      </c>
      <c r="ET114" s="4">
        <v>30000</v>
      </c>
    </row>
    <row r="115" spans="1:150" ht="18.75" x14ac:dyDescent="0.3">
      <c r="A115" s="32" t="str">
        <f>(SALES!$A:$A)</f>
        <v>Friday, 5 January 2024</v>
      </c>
      <c r="B115" s="1">
        <f>(SALES!$C:$C)</f>
        <v>16</v>
      </c>
      <c r="C115" s="1">
        <f>(SALES!$D:$D)</f>
        <v>1</v>
      </c>
      <c r="D115" s="1" t="str">
        <f>(SALES!$E:$E)</f>
        <v>AVOCADO</v>
      </c>
      <c r="E115" s="1">
        <f>(SALES!$F:$F)</f>
        <v>1000</v>
      </c>
      <c r="F115" s="1">
        <f>(SALES!$G:$G)</f>
        <v>1000</v>
      </c>
      <c r="H115" s="2">
        <f>(EXPENSES!$A:$A)</f>
        <v>45306</v>
      </c>
      <c r="I115" s="10">
        <f>(EXPENSES!$B:$B)</f>
        <v>3</v>
      </c>
      <c r="J115" s="10" t="str">
        <f>(EXPENSES!$C:$C)</f>
        <v>BOUGHT KIDNEY</v>
      </c>
      <c r="K115" s="10">
        <f>(EXPENSES!$D:$D)</f>
        <v>14700</v>
      </c>
      <c r="EM115" s="1" t="e">
        <f>(#REF!)</f>
        <v>#REF!</v>
      </c>
      <c r="EN115" s="9" t="e">
        <f>(#REF!)</f>
        <v>#REF!</v>
      </c>
      <c r="EO115" s="9" t="e">
        <f>(#REF!)</f>
        <v>#REF!</v>
      </c>
      <c r="EP115" s="9" t="e">
        <f>(#REF!)</f>
        <v>#REF!</v>
      </c>
      <c r="ES115" s="12" t="s">
        <v>59</v>
      </c>
      <c r="ET115" s="12">
        <v>2000</v>
      </c>
    </row>
    <row r="116" spans="1:150" ht="18.75" x14ac:dyDescent="0.3">
      <c r="A116" s="32" t="str">
        <f>(SALES!$A:$A)</f>
        <v>Friday, 5 January 2024</v>
      </c>
      <c r="B116" s="1">
        <f>(SALES!$C:$C)</f>
        <v>17</v>
      </c>
      <c r="C116" s="1">
        <f>(SALES!$D:$D)</f>
        <v>2</v>
      </c>
      <c r="D116" s="1" t="str">
        <f>(SALES!$E:$E)</f>
        <v>MATOOKE</v>
      </c>
      <c r="E116" s="1">
        <f>(SALES!$F:$F)</f>
        <v>9000</v>
      </c>
      <c r="F116" s="1">
        <f>(SALES!$G:$G)</f>
        <v>18000</v>
      </c>
      <c r="H116" s="2">
        <f>(EXPENSES!$A:$A)</f>
        <v>45306</v>
      </c>
      <c r="I116" s="10">
        <f>(EXPENSES!$B:$B)</f>
        <v>4</v>
      </c>
      <c r="J116" s="10" t="str">
        <f>(EXPENSES!$C:$C)</f>
        <v>PAID FRANK</v>
      </c>
      <c r="K116" s="10">
        <f>(EXPENSES!$D:$D)</f>
        <v>23000</v>
      </c>
      <c r="EM116" s="1" t="e">
        <f>(#REF!)</f>
        <v>#REF!</v>
      </c>
      <c r="EN116" s="9" t="e">
        <f>(#REF!)</f>
        <v>#REF!</v>
      </c>
      <c r="EO116" s="9" t="e">
        <f>(#REF!)</f>
        <v>#REF!</v>
      </c>
      <c r="EP116" s="9" t="e">
        <f>(#REF!)</f>
        <v>#REF!</v>
      </c>
      <c r="ES116" s="10" t="s">
        <v>59</v>
      </c>
      <c r="ET116" s="10" t="str">
        <f>IF($D:$D="MATOOKE KGS", 1500, IF($D:$D="SAUSAGES", 30000, IF($D:$D="MILK", 2000, IF($D:$D="YELLOW YOLK EGGS", 20000, IF($D:$D="AVOCADO", 1000, IF($D:$D="BEEF", 16000, IF($D:$D="PLAIN YOGHURT", 4000, "")))))))</f>
        <v/>
      </c>
    </row>
    <row r="117" spans="1:150" ht="18.75" x14ac:dyDescent="0.3">
      <c r="A117" s="32" t="str">
        <f>(SALES!$A:$A)</f>
        <v>Friday, 5 January 2024</v>
      </c>
      <c r="B117" s="1">
        <f>(SALES!$C:$C)</f>
        <v>18</v>
      </c>
      <c r="C117" s="1">
        <f>(SALES!$D:$D)</f>
        <v>2</v>
      </c>
      <c r="D117" s="1" t="str">
        <f>(SALES!$E:$E)</f>
        <v>MATOOKE</v>
      </c>
      <c r="E117" s="1">
        <f>(SALES!$F:$F)</f>
        <v>12000</v>
      </c>
      <c r="F117" s="1">
        <f>(SALES!$G:$G)</f>
        <v>24000</v>
      </c>
      <c r="H117" s="2">
        <f>(EXPENSES!$A:$A)</f>
        <v>0</v>
      </c>
      <c r="I117" s="10">
        <f>(EXPENSES!$B:$B)</f>
        <v>0</v>
      </c>
      <c r="J117" s="10">
        <f>(EXPENSES!$C:$C)</f>
        <v>0</v>
      </c>
      <c r="K117" s="10">
        <f>(EXPENSES!$D:$D)</f>
        <v>0</v>
      </c>
      <c r="EM117" s="1" t="e">
        <f>(#REF!)</f>
        <v>#REF!</v>
      </c>
      <c r="EN117" s="9" t="e">
        <f>(#REF!)</f>
        <v>#REF!</v>
      </c>
      <c r="EO117" s="9" t="e">
        <f>(#REF!)</f>
        <v>#REF!</v>
      </c>
      <c r="EP117" s="9" t="e">
        <f>(#REF!)</f>
        <v>#REF!</v>
      </c>
      <c r="ES117" s="10" t="s">
        <v>59</v>
      </c>
      <c r="ET117" s="10" t="str">
        <f>IF($D:$D="MATOOKE KGS", 1500, IF($D:$D="SAUSAGES", 30000, IF($D:$D="MILK", 2000, IF($D:$D="YELLOW YOLK EGGS", 20000, IF($D:$D="AVOCADO", 1000, IF($D:$D="BEEF", 16000, IF($D:$D="PLAIN YOGHURT", 4000, "")))))))</f>
        <v/>
      </c>
    </row>
    <row r="118" spans="1:150" ht="18.75" customHeight="1" x14ac:dyDescent="0.3">
      <c r="A118" s="32" t="str">
        <f>(SALES!$A:$A)</f>
        <v>Friday, 5 January 2024</v>
      </c>
      <c r="B118" s="1">
        <f>(SALES!$C:$C)</f>
        <v>19</v>
      </c>
      <c r="C118" s="1">
        <f>(SALES!$D:$D)</f>
        <v>1</v>
      </c>
      <c r="D118" s="1" t="str">
        <f>(SALES!$E:$E)</f>
        <v>MATOOKE</v>
      </c>
      <c r="E118" s="1">
        <f>(SALES!$F:$F)</f>
        <v>10000</v>
      </c>
      <c r="F118" s="1">
        <f>(SALES!$G:$G)</f>
        <v>10000</v>
      </c>
      <c r="H118" s="2">
        <f>(EXPENSES!$A:$A)</f>
        <v>0</v>
      </c>
      <c r="I118" s="10">
        <f>(EXPENSES!$B:$B)</f>
        <v>0</v>
      </c>
      <c r="J118" s="10">
        <f>(EXPENSES!$C:$C)</f>
        <v>0</v>
      </c>
      <c r="K118" s="10">
        <f>(EXPENSES!$D:$D)</f>
        <v>0</v>
      </c>
      <c r="EM118" s="1" t="e">
        <f>(#REF!)</f>
        <v>#REF!</v>
      </c>
      <c r="EN118" s="9" t="e">
        <f>(#REF!)</f>
        <v>#REF!</v>
      </c>
      <c r="EO118" s="9" t="e">
        <f>(#REF!)</f>
        <v>#REF!</v>
      </c>
      <c r="EP118" s="9" t="e">
        <f>(#REF!)</f>
        <v>#REF!</v>
      </c>
      <c r="ES118" s="10" t="s">
        <v>59</v>
      </c>
      <c r="ET118" s="10" t="str">
        <f>IF($D:$D="MATOOKE KGS", 1500, IF($D:$D="SAUSAGES", 30000, IF($D:$D="MILK", 2000, IF($D:$D="YELLOW YOLK EGGS", 20000, IF($D:$D="AVOCADO", 1000, IF($D:$D="BEEF", 16000, IF($D:$D="PLAIN YOGHURT", 4000, "")))))))</f>
        <v/>
      </c>
    </row>
    <row r="119" spans="1:150" ht="18.75" customHeight="1" x14ac:dyDescent="0.3">
      <c r="A119" s="32" t="str">
        <f>(SALES!$A:$A)</f>
        <v>Friday, 5 January 2024</v>
      </c>
      <c r="B119" s="1">
        <f>(SALES!$C:$C)</f>
        <v>20</v>
      </c>
      <c r="C119" s="1">
        <f>(SALES!$D:$D)</f>
        <v>1</v>
      </c>
      <c r="D119" s="1" t="str">
        <f>(SALES!$E:$E)</f>
        <v>YELLOW YOLK EGGS</v>
      </c>
      <c r="E119" s="1">
        <f>(SALES!$F:$F)</f>
        <v>20000</v>
      </c>
      <c r="F119" s="1">
        <f>(SALES!$G:$G)</f>
        <v>20000</v>
      </c>
      <c r="H119" s="2">
        <f>(EXPENSES!$A:$A)</f>
        <v>0</v>
      </c>
      <c r="I119" s="10">
        <f>(EXPENSES!$B:$B)</f>
        <v>0</v>
      </c>
      <c r="J119" s="10">
        <f>(EXPENSES!$C:$C)</f>
        <v>0</v>
      </c>
      <c r="K119" s="10">
        <f>(EXPENSES!$D:$D)</f>
        <v>0</v>
      </c>
      <c r="EM119" s="1" t="e">
        <f>(#REF!)</f>
        <v>#REF!</v>
      </c>
      <c r="EN119" s="9" t="e">
        <f>(#REF!)</f>
        <v>#REF!</v>
      </c>
      <c r="EO119" s="9" t="e">
        <f>(#REF!)</f>
        <v>#REF!</v>
      </c>
      <c r="EP119" s="9" t="e">
        <f>(#REF!)</f>
        <v>#REF!</v>
      </c>
      <c r="ES119" s="12" t="s">
        <v>59</v>
      </c>
      <c r="ET119" s="10">
        <f>IF($D:$D="MATOOKE KGS", 1500, IF($D:$D="SAUSAGES", 30000, IF($D:$D="TOMATOES", 3000, IF($D:$D="CHICKEN", 30000, IF($D:$D="LOCAL EGGS", 25000, IF($D:$D="IRISH", 3000, IF($D:$D="MILK", 2000, IF($D:$D="ONIONS", 6000, IF($D:$D="YELLOW YOLK EGGS", 20000, IF($D:$D="AVOCADO", 1000, IF($D:$D="BEEF", 16000, IF($D:$D="PLAIN YOGHURT", 4000, ""))))))))))))</f>
        <v>20000</v>
      </c>
    </row>
    <row r="120" spans="1:150" ht="18.75" customHeight="1" x14ac:dyDescent="0.3">
      <c r="A120" s="32" t="str">
        <f>(SALES!$A:$A)</f>
        <v>Friday, 5 January 2024</v>
      </c>
      <c r="B120" s="1">
        <f>(SALES!$C:$C)</f>
        <v>22</v>
      </c>
      <c r="C120" s="1">
        <f>(SALES!$D:$D)</f>
        <v>1</v>
      </c>
      <c r="D120" s="1" t="str">
        <f>(SALES!$E:$E)</f>
        <v>PLAIN YOGHURT</v>
      </c>
      <c r="E120" s="1">
        <f>(SALES!$F:$F)</f>
        <v>4000</v>
      </c>
      <c r="F120" s="1">
        <f>(SALES!$G:$G)</f>
        <v>4000</v>
      </c>
      <c r="H120" s="2">
        <f>(EXPENSES!$A:$A)</f>
        <v>0</v>
      </c>
      <c r="I120" s="10">
        <f>(EXPENSES!$B:$B)</f>
        <v>0</v>
      </c>
      <c r="J120" s="10">
        <f>(EXPENSES!$C:$C)</f>
        <v>0</v>
      </c>
      <c r="K120" s="10">
        <f>(EXPENSES!$D:$D)</f>
        <v>0</v>
      </c>
      <c r="EM120" s="1" t="e">
        <f>(#REF!)</f>
        <v>#REF!</v>
      </c>
      <c r="EN120" s="9" t="e">
        <f>(#REF!)</f>
        <v>#REF!</v>
      </c>
      <c r="EO120" s="9" t="e">
        <f>(#REF!)</f>
        <v>#REF!</v>
      </c>
      <c r="EP120" s="9" t="e">
        <f>(#REF!)</f>
        <v>#REF!</v>
      </c>
      <c r="ES120" s="12" t="s">
        <v>59</v>
      </c>
      <c r="ET120" s="10">
        <f>IF($D:$D="MATOOKE KGS", 1500, IF($D:$D="SAUSAGES", 30000, IF($D:$D="TOMATOES", 3000, IF($D:$D="CHICKEN", 30000, IF($D:$D="LOCAL EGGS", 25000, IF($D:$D="IRISH", 3000, IF($D:$D="MILK", 2000, IF($D:$D="ONIONS", 6000, IF($D:$D="YELLOW YOLK EGGS", 20000, IF($D:$D="AVOCADO", 1000, IF($D:$D="BEEF", 16000, IF($D:$D="PLAIN YOGHURT", 4000, ""))))))))))))</f>
        <v>4000</v>
      </c>
    </row>
    <row r="121" spans="1:150" ht="18.75" customHeight="1" x14ac:dyDescent="0.3">
      <c r="A121" s="32" t="str">
        <f>(SALES!$A:$A)</f>
        <v>Friday, 5 January 2024</v>
      </c>
      <c r="B121" s="1">
        <f>(SALES!$C:$C)</f>
        <v>23</v>
      </c>
      <c r="C121" s="1">
        <f>(SALES!$D:$D)</f>
        <v>1</v>
      </c>
      <c r="D121" s="1" t="str">
        <f>(SALES!$E:$E)</f>
        <v>AVOCADO</v>
      </c>
      <c r="E121" s="1">
        <f>(SALES!$F:$F)</f>
        <v>1000</v>
      </c>
      <c r="F121" s="1">
        <f>(SALES!$G:$G)</f>
        <v>1000</v>
      </c>
      <c r="H121" s="2">
        <f>(EXPENSES!$A:$A)</f>
        <v>0</v>
      </c>
      <c r="I121" s="10">
        <f>(EXPENSES!$B:$B)</f>
        <v>0</v>
      </c>
      <c r="J121" s="10">
        <f>(EXPENSES!$C:$C)</f>
        <v>0</v>
      </c>
      <c r="K121" s="10">
        <f>(EXPENSES!$D:$D)</f>
        <v>0</v>
      </c>
      <c r="EM121" s="1" t="e">
        <f>(#REF!)</f>
        <v>#REF!</v>
      </c>
      <c r="EN121" s="9" t="e">
        <f>(#REF!)</f>
        <v>#REF!</v>
      </c>
      <c r="EO121" s="9" t="e">
        <f>(#REF!)</f>
        <v>#REF!</v>
      </c>
      <c r="EP121" s="9" t="e">
        <f>(#REF!)</f>
        <v>#REF!</v>
      </c>
      <c r="ES121" s="12" t="s">
        <v>60</v>
      </c>
      <c r="ET121" s="12">
        <v>2000</v>
      </c>
    </row>
    <row r="122" spans="1:150" ht="18.75" customHeight="1" x14ac:dyDescent="0.3">
      <c r="A122" s="32" t="str">
        <f>(SALES!$A:$A)</f>
        <v>Friday, 5 January 2024</v>
      </c>
      <c r="B122" s="1">
        <f>(SALES!$C:$C)</f>
        <v>24</v>
      </c>
      <c r="C122" s="1">
        <f>(SALES!$D:$D)</f>
        <v>2.2999999999999998</v>
      </c>
      <c r="D122" s="1" t="str">
        <f>(SALES!$E:$E)</f>
        <v>MATOOKE KGS</v>
      </c>
      <c r="E122" s="1">
        <f>(SALES!$F:$F)</f>
        <v>1500</v>
      </c>
      <c r="F122" s="1">
        <f>(SALES!$G:$G)</f>
        <v>3449.9999999999995</v>
      </c>
      <c r="H122" s="2">
        <f>(EXPENSES!$A:$A)</f>
        <v>0</v>
      </c>
      <c r="I122" s="10">
        <f>(EXPENSES!$B:$B)</f>
        <v>0</v>
      </c>
      <c r="J122" s="10">
        <f>(EXPENSES!$C:$C)</f>
        <v>0</v>
      </c>
      <c r="K122" s="10">
        <f>(EXPENSES!$D:$D)</f>
        <v>0</v>
      </c>
      <c r="EM122" s="1" t="e">
        <f>(#REF!)</f>
        <v>#REF!</v>
      </c>
      <c r="EN122" s="9" t="e">
        <f>(#REF!)</f>
        <v>#REF!</v>
      </c>
      <c r="EO122" s="9" t="e">
        <f>(#REF!)</f>
        <v>#REF!</v>
      </c>
      <c r="EP122" s="9" t="e">
        <f>(#REF!)</f>
        <v>#REF!</v>
      </c>
      <c r="ES122" s="12" t="s">
        <v>61</v>
      </c>
      <c r="ET122" s="12">
        <v>22000</v>
      </c>
    </row>
    <row r="123" spans="1:150" ht="18.75" customHeight="1" x14ac:dyDescent="0.3">
      <c r="A123" s="32" t="str">
        <f>(SALES!$A:$A)</f>
        <v>Friday, 5 January 2024</v>
      </c>
      <c r="B123" s="1">
        <f>(SALES!$C:$C)</f>
        <v>25</v>
      </c>
      <c r="C123" s="1">
        <f>(SALES!$D:$D)</f>
        <v>1</v>
      </c>
      <c r="D123" s="1" t="str">
        <f>(SALES!$E:$E)</f>
        <v>AVOCADO</v>
      </c>
      <c r="E123" s="1">
        <f>(SALES!$F:$F)</f>
        <v>1000</v>
      </c>
      <c r="F123" s="1">
        <f>(SALES!$G:$G)</f>
        <v>1000</v>
      </c>
      <c r="H123" s="2">
        <f>(EXPENSES!$A:$A)</f>
        <v>0</v>
      </c>
      <c r="I123" s="10">
        <f>(EXPENSES!$B:$B)</f>
        <v>0</v>
      </c>
      <c r="J123" s="10">
        <f>(EXPENSES!$C:$C)</f>
        <v>0</v>
      </c>
      <c r="K123" s="10">
        <f>(EXPENSES!$D:$D)</f>
        <v>0</v>
      </c>
      <c r="EM123" s="1" t="e">
        <f>(#REF!)</f>
        <v>#REF!</v>
      </c>
      <c r="EN123" s="9" t="e">
        <f>(#REF!)</f>
        <v>#REF!</v>
      </c>
      <c r="EO123" s="9" t="e">
        <f>(#REF!)</f>
        <v>#REF!</v>
      </c>
      <c r="EP123" s="9" t="e">
        <f>(#REF!)</f>
        <v>#REF!</v>
      </c>
      <c r="ES123" s="10" t="s">
        <v>61</v>
      </c>
      <c r="ET123" s="10">
        <f>IF($D:$D="MATOOKE KGS", 1500, IF($D:$D="SAUSAGES", 30000, IF($D:$D="MILK", 2000, IF($D:$D="SOUP BONES", 5000,  IF($D:$D="YELLOW YOLK EGGS", 20000, IF($D:$D="AVOCADO", 1000, IF($D:$D="BEEF", 16000, IF($D:$D="PLAIN YOGHURT", 4000,IF($D:$D="OFFALS", 12000,IF($D:$D="GOAT", 20000, IF($D:$D="MINCED BEEF", 22000,"")))))))))))</f>
        <v>1000</v>
      </c>
    </row>
    <row r="124" spans="1:150" ht="18.75" customHeight="1" x14ac:dyDescent="0.3">
      <c r="A124" s="32" t="str">
        <f>(SALES!$A:$A)</f>
        <v>Friday, 5 January 2024</v>
      </c>
      <c r="B124" s="1">
        <f>(SALES!$C:$C)</f>
        <v>26</v>
      </c>
      <c r="C124" s="1">
        <f>(SALES!$D:$D)</f>
        <v>4</v>
      </c>
      <c r="D124" s="1" t="str">
        <f>(SALES!$E:$E)</f>
        <v>MILK</v>
      </c>
      <c r="E124" s="1">
        <f>(SALES!$F:$F)</f>
        <v>2000</v>
      </c>
      <c r="F124" s="1">
        <f>(SALES!$G:$G)</f>
        <v>8000</v>
      </c>
      <c r="H124" s="2">
        <f>(EXPENSES!$A:$A)</f>
        <v>0</v>
      </c>
      <c r="I124" s="10">
        <f>(EXPENSES!$B:$B)</f>
        <v>0</v>
      </c>
      <c r="J124" s="10">
        <f>(EXPENSES!$C:$C)</f>
        <v>0</v>
      </c>
      <c r="K124" s="10">
        <f>(EXPENSES!$D:$D)</f>
        <v>0</v>
      </c>
      <c r="EM124" s="1" t="e">
        <f>(#REF!)</f>
        <v>#REF!</v>
      </c>
      <c r="EN124" s="9" t="e">
        <f>(#REF!)</f>
        <v>#REF!</v>
      </c>
      <c r="EO124" s="9" t="e">
        <f>(#REF!)</f>
        <v>#REF!</v>
      </c>
      <c r="EP124" s="9" t="e">
        <f>(#REF!)</f>
        <v>#REF!</v>
      </c>
      <c r="ES124" s="10" t="s">
        <v>61</v>
      </c>
      <c r="ET124" s="10">
        <v>20000</v>
      </c>
    </row>
    <row r="125" spans="1:150" ht="18.75" customHeight="1" x14ac:dyDescent="0.3">
      <c r="A125" s="32" t="str">
        <f>(SALES!$A:$A)</f>
        <v>Friday, 5 January 2024</v>
      </c>
      <c r="B125" s="1">
        <f>(SALES!$C:$C)</f>
        <v>27</v>
      </c>
      <c r="C125" s="1">
        <f>(SALES!$D:$D)</f>
        <v>1</v>
      </c>
      <c r="D125" s="1" t="str">
        <f>(SALES!$E:$E)</f>
        <v>MATOOKE</v>
      </c>
      <c r="E125" s="1">
        <f>(SALES!$F:$F)</f>
        <v>15000</v>
      </c>
      <c r="F125" s="1">
        <f>(SALES!$G:$G)</f>
        <v>15000</v>
      </c>
      <c r="H125" s="2">
        <f>(EXPENSES!$A:$A)</f>
        <v>0</v>
      </c>
      <c r="I125" s="10">
        <f>(EXPENSES!$B:$B)</f>
        <v>0</v>
      </c>
      <c r="J125" s="10">
        <f>(EXPENSES!$C:$C)</f>
        <v>0</v>
      </c>
      <c r="K125" s="10">
        <f>(EXPENSES!$D:$D)</f>
        <v>0</v>
      </c>
      <c r="EM125" s="1" t="e">
        <f>(#REF!)</f>
        <v>#REF!</v>
      </c>
      <c r="EN125" s="9" t="e">
        <f>(#REF!)</f>
        <v>#REF!</v>
      </c>
      <c r="EO125" s="9" t="e">
        <f>(#REF!)</f>
        <v>#REF!</v>
      </c>
      <c r="EP125" s="9" t="e">
        <f>(#REF!)</f>
        <v>#REF!</v>
      </c>
      <c r="ES125" s="12" t="s">
        <v>62</v>
      </c>
      <c r="ET125" s="12">
        <v>3000</v>
      </c>
    </row>
    <row r="126" spans="1:150" ht="18.75" customHeight="1" x14ac:dyDescent="0.3">
      <c r="A126" s="32" t="str">
        <f>(SALES!$A:$A)</f>
        <v>Friday, 5 January 2024</v>
      </c>
      <c r="B126" s="1">
        <f>(SALES!$C:$C)</f>
        <v>28</v>
      </c>
      <c r="C126" s="1">
        <f>(SALES!$D:$D)</f>
        <v>0.5</v>
      </c>
      <c r="D126" s="1" t="str">
        <f>(SALES!$E:$E)</f>
        <v>PLAIN YOGHURT</v>
      </c>
      <c r="E126" s="1">
        <f>(SALES!$F:$F)</f>
        <v>4000</v>
      </c>
      <c r="F126" s="1">
        <f>(SALES!$G:$G)</f>
        <v>2000</v>
      </c>
      <c r="H126" s="2">
        <f>(EXPENSES!$A:$A)</f>
        <v>0</v>
      </c>
      <c r="I126" s="10">
        <f>(EXPENSES!$B:$B)</f>
        <v>0</v>
      </c>
      <c r="J126" s="10">
        <f>(EXPENSES!$C:$C)</f>
        <v>0</v>
      </c>
      <c r="K126" s="10">
        <f>(EXPENSES!$D:$D)</f>
        <v>0</v>
      </c>
      <c r="EM126" s="1" t="e">
        <f>(#REF!)</f>
        <v>#REF!</v>
      </c>
      <c r="EN126" s="9" t="e">
        <f>(#REF!)</f>
        <v>#REF!</v>
      </c>
      <c r="EO126" s="9" t="e">
        <f>(#REF!)</f>
        <v>#REF!</v>
      </c>
      <c r="EP126" s="9" t="e">
        <f>(#REF!)</f>
        <v>#REF!</v>
      </c>
      <c r="ES126" s="10" t="s">
        <v>63</v>
      </c>
      <c r="ET126" s="10">
        <f>IF($D:$D="MATOOKE KGS", 1500, IF($D:$D="SAUSAGES", 30000, IF($D:$D="MILK", 2000, IF($D:$D="SOUP BONES", 5000,  IF($D:$D="YELLOW YOLK EGGS", 20000, IF($D:$D="AVOCADO", 1000, IF($D:$D="BEEF", 16000, IF($D:$D="PLAIN YOGHURT", 4000,IF($D:$D="OFFALS", 12000,IF($D:$D="GOAT", 20000,""))))))))))</f>
        <v>4000</v>
      </c>
    </row>
    <row r="127" spans="1:150" ht="18.75" customHeight="1" x14ac:dyDescent="0.3">
      <c r="A127" s="32" t="str">
        <f>(SALES!$A:$A)</f>
        <v>Friday, 5 January 2024</v>
      </c>
      <c r="B127" s="1">
        <f>(SALES!$C:$C)</f>
        <v>29</v>
      </c>
      <c r="C127" s="1">
        <f>(SALES!$D:$D)</f>
        <v>2</v>
      </c>
      <c r="D127" s="1" t="str">
        <f>(SALES!$E:$E)</f>
        <v>GONJA</v>
      </c>
      <c r="E127" s="1">
        <f>(SALES!$F:$F)</f>
        <v>5000</v>
      </c>
      <c r="F127" s="1">
        <f>(SALES!$G:$G)</f>
        <v>10000</v>
      </c>
      <c r="H127" s="2">
        <f>(EXPENSES!$A:$A)</f>
        <v>0</v>
      </c>
      <c r="I127" s="10">
        <f>(EXPENSES!$B:$B)</f>
        <v>0</v>
      </c>
      <c r="J127" s="10">
        <f>(EXPENSES!$C:$C)</f>
        <v>0</v>
      </c>
      <c r="K127" s="10">
        <f>(EXPENSES!$D:$D)</f>
        <v>0</v>
      </c>
      <c r="EM127" s="1" t="e">
        <f>(#REF!)</f>
        <v>#REF!</v>
      </c>
      <c r="EN127" s="9" t="e">
        <f>(#REF!)</f>
        <v>#REF!</v>
      </c>
      <c r="EO127" s="9" t="e">
        <f>(#REF!)</f>
        <v>#REF!</v>
      </c>
      <c r="EP127" s="9" t="e">
        <f>(#REF!)</f>
        <v>#REF!</v>
      </c>
      <c r="ES127" s="12" t="s">
        <v>64</v>
      </c>
      <c r="ET127" s="12">
        <v>6000</v>
      </c>
    </row>
    <row r="128" spans="1:150" ht="18.75" customHeight="1" x14ac:dyDescent="0.3">
      <c r="A128" s="32" t="str">
        <f>(SALES!$A:$A)</f>
        <v>Friday, 5 January 2024</v>
      </c>
      <c r="B128" s="1">
        <f>(SALES!$C:$C)</f>
        <v>30</v>
      </c>
      <c r="C128" s="1">
        <f>(SALES!$D:$D)</f>
        <v>8</v>
      </c>
      <c r="D128" s="1" t="str">
        <f>(SALES!$E:$E)</f>
        <v>DOG MINCE</v>
      </c>
      <c r="E128" s="1">
        <f>(SALES!$F:$F)</f>
        <v>5000</v>
      </c>
      <c r="F128" s="1">
        <f>(SALES!$G:$G)</f>
        <v>40000</v>
      </c>
      <c r="H128" s="2">
        <f>(EXPENSES!$A:$A)</f>
        <v>0</v>
      </c>
      <c r="I128" s="10">
        <f>(EXPENSES!$B:$B)</f>
        <v>0</v>
      </c>
      <c r="J128" s="10">
        <f>(EXPENSES!$C:$C)</f>
        <v>0</v>
      </c>
      <c r="K128" s="10">
        <f>(EXPENSES!$D:$D)</f>
        <v>0</v>
      </c>
      <c r="EM128" s="1" t="e">
        <f>(#REF!)</f>
        <v>#REF!</v>
      </c>
      <c r="EN128" s="9" t="e">
        <f>(#REF!)</f>
        <v>#REF!</v>
      </c>
      <c r="EO128" s="9" t="e">
        <f>(#REF!)</f>
        <v>#REF!</v>
      </c>
      <c r="EP128" s="9" t="e">
        <f>(#REF!)</f>
        <v>#REF!</v>
      </c>
      <c r="ES128" s="12" t="s">
        <v>64</v>
      </c>
      <c r="ET128" s="10" t="str">
        <f>IF($D:$D="MATOOKE KGS", 1500, IF($D:$D="SAUSAGES", 30000, IF($D:$D="TOMATOES", 3000, IF($D:$D="CHICKEN", 30000, IF($D:$D="LOCAL EGGS", 25000, IF($D:$D="IRISH", 3000, IF($D:$D="MILK", 2000, IF($D:$D="ONIONS", 6000, IF($D:$D="YELLOW YOLK EGGS", 20000, IF($D:$D="AVOCADO", 1000, IF($D:$D="BEEF", 16000, IF($D:$D="PLAIN YOGHURT", 4000, IF($D:$D="GOAT", 19000, "")))))))))))))</f>
        <v/>
      </c>
    </row>
    <row r="129" spans="1:150" ht="18.75" customHeight="1" x14ac:dyDescent="0.3">
      <c r="A129" s="32" t="str">
        <f>(SALES!$A:$A)</f>
        <v>Friday, 5 January 2024</v>
      </c>
      <c r="B129" s="1">
        <f>(SALES!$C:$C)</f>
        <v>31</v>
      </c>
      <c r="C129" s="1">
        <f>(SALES!$D:$D)</f>
        <v>12</v>
      </c>
      <c r="D129" s="1" t="str">
        <f>(SALES!$E:$E)</f>
        <v>DOG BONES</v>
      </c>
      <c r="E129" s="1">
        <f>(SALES!$F:$F)</f>
        <v>4000</v>
      </c>
      <c r="F129" s="1">
        <f>(SALES!$G:$G)</f>
        <v>48000</v>
      </c>
      <c r="H129" s="2">
        <f>(EXPENSES!$A:$A)</f>
        <v>0</v>
      </c>
      <c r="I129" s="10">
        <f>(EXPENSES!$B:$B)</f>
        <v>0</v>
      </c>
      <c r="J129" s="10">
        <f>(EXPENSES!$C:$C)</f>
        <v>0</v>
      </c>
      <c r="K129" s="10">
        <f>(EXPENSES!$D:$D)</f>
        <v>0</v>
      </c>
      <c r="EM129" s="1" t="e">
        <f>(#REF!)</f>
        <v>#REF!</v>
      </c>
      <c r="EN129" s="9" t="e">
        <f>(#REF!)</f>
        <v>#REF!</v>
      </c>
      <c r="EO129" s="9" t="e">
        <f>(#REF!)</f>
        <v>#REF!</v>
      </c>
      <c r="EP129" s="9" t="e">
        <f>(#REF!)</f>
        <v>#REF!</v>
      </c>
      <c r="ES129" s="20" t="s">
        <v>64</v>
      </c>
      <c r="ET129" s="10" t="str">
        <f>IF($D:$D="MATOOKE KGS", 1500, IF($D:$D="SAUSAGES", 30000,  IF($D:$D="TOMATOES", 3000,  IF($D:$D="CHICKEN", 30000, IF($D:$D="LOCAL EGGS", 25000,  IF($D:$D="IRISH", 3000, IF($D:$D="MILK", 2000, IF($D:$D="ONIONS", 6000, IF($D:$D="YELLOW YOLK EGGS", 20000, IF($D:$D="AVOCADO", 1000, IF($D:$D="BEEF", 16000, IF($D:$D="PLAIN YOGHURT", 4000, IF($D:$D="GOAT", 19000, "")))))))))))))</f>
        <v/>
      </c>
    </row>
    <row r="130" spans="1:150" ht="18.75" customHeight="1" x14ac:dyDescent="0.3">
      <c r="A130" s="32" t="str">
        <f>(SALES!$A:$A)</f>
        <v>Friday, 5 January 2024</v>
      </c>
      <c r="B130" s="1">
        <f>(SALES!$C:$C)</f>
        <v>32</v>
      </c>
      <c r="C130" s="1">
        <f>(SALES!$D:$D)</f>
        <v>1</v>
      </c>
      <c r="D130" s="1" t="str">
        <f>(SALES!$E:$E)</f>
        <v>CHICKEN</v>
      </c>
      <c r="E130" s="1">
        <f>(SALES!$F:$F)</f>
        <v>30000</v>
      </c>
      <c r="F130" s="1">
        <f>(SALES!$G:$G)</f>
        <v>30000</v>
      </c>
      <c r="H130" s="2">
        <f>(EXPENSES!$A:$A)</f>
        <v>0</v>
      </c>
      <c r="I130" s="10">
        <f>(EXPENSES!$B:$B)</f>
        <v>0</v>
      </c>
      <c r="J130" s="10">
        <f>(EXPENSES!$C:$C)</f>
        <v>0</v>
      </c>
      <c r="K130" s="10">
        <f>(EXPENSES!$D:$D)</f>
        <v>0</v>
      </c>
      <c r="EM130" s="1" t="e">
        <f>(#REF!)</f>
        <v>#REF!</v>
      </c>
      <c r="EN130" s="9" t="e">
        <f>(#REF!)</f>
        <v>#REF!</v>
      </c>
      <c r="EO130" s="9" t="e">
        <f>(#REF!)</f>
        <v>#REF!</v>
      </c>
      <c r="EP130" s="9" t="e">
        <f>(#REF!)</f>
        <v>#REF!</v>
      </c>
      <c r="ES130" s="12" t="s">
        <v>65</v>
      </c>
      <c r="ET130" s="12">
        <v>6000</v>
      </c>
    </row>
    <row r="131" spans="1:150" ht="18.75" customHeight="1" x14ac:dyDescent="0.3">
      <c r="A131" s="32" t="str">
        <f>(SALES!$A:$A)</f>
        <v>Friday, 5 January 2024</v>
      </c>
      <c r="B131" s="1">
        <f>(SALES!$C:$C)</f>
        <v>33</v>
      </c>
      <c r="C131" s="1">
        <f>(SALES!$D:$D)</f>
        <v>2</v>
      </c>
      <c r="D131" s="1" t="str">
        <f>(SALES!$E:$E)</f>
        <v>MATOOKE KGS</v>
      </c>
      <c r="E131" s="1">
        <f>(SALES!$F:$F)</f>
        <v>1500</v>
      </c>
      <c r="F131" s="1">
        <f>(SALES!$G:$G)</f>
        <v>3000</v>
      </c>
      <c r="H131" s="2">
        <f>(EXPENSES!$A:$A)</f>
        <v>0</v>
      </c>
      <c r="I131" s="10">
        <f>(EXPENSES!$B:$B)</f>
        <v>0</v>
      </c>
      <c r="J131" s="10">
        <f>(EXPENSES!$C:$C)</f>
        <v>0</v>
      </c>
      <c r="K131" s="10">
        <f>(EXPENSES!$D:$D)</f>
        <v>0</v>
      </c>
      <c r="EM131" s="1" t="e">
        <f>(#REF!)</f>
        <v>#REF!</v>
      </c>
      <c r="EN131" s="9" t="e">
        <f>(#REF!)</f>
        <v>#REF!</v>
      </c>
      <c r="EO131" s="9" t="e">
        <f>(#REF!)</f>
        <v>#REF!</v>
      </c>
      <c r="EP131" s="9" t="e">
        <f>(#REF!)</f>
        <v>#REF!</v>
      </c>
      <c r="ES131" s="10" t="s">
        <v>66</v>
      </c>
      <c r="ET131" s="4">
        <v>176000</v>
      </c>
    </row>
    <row r="132" spans="1:150" ht="18.75" customHeight="1" x14ac:dyDescent="0.3">
      <c r="A132" s="32" t="str">
        <f>(SALES!$A:$A)</f>
        <v>Friday, 5 January 2024</v>
      </c>
      <c r="B132" s="1">
        <f>(SALES!$C:$C)</f>
        <v>34</v>
      </c>
      <c r="C132" s="1">
        <f>(SALES!$D:$D)</f>
        <v>1</v>
      </c>
      <c r="D132" s="1" t="str">
        <f>(SALES!$E:$E)</f>
        <v>MATOOKE</v>
      </c>
      <c r="E132" s="1">
        <f>(SALES!$F:$F)</f>
        <v>20000</v>
      </c>
      <c r="F132" s="1">
        <f>(SALES!$G:$G)</f>
        <v>20000</v>
      </c>
      <c r="H132" s="2">
        <f>(EXPENSES!$A:$A)</f>
        <v>0</v>
      </c>
      <c r="I132" s="10">
        <f>(EXPENSES!$B:$B)</f>
        <v>0</v>
      </c>
      <c r="J132" s="10">
        <f>(EXPENSES!$C:$C)</f>
        <v>0</v>
      </c>
      <c r="K132" s="10">
        <f>(EXPENSES!$D:$D)</f>
        <v>0</v>
      </c>
      <c r="EM132" s="1" t="e">
        <f>(#REF!)</f>
        <v>#REF!</v>
      </c>
      <c r="EN132" s="9" t="e">
        <f>(#REF!)</f>
        <v>#REF!</v>
      </c>
      <c r="EO132" s="9" t="e">
        <f>(#REF!)</f>
        <v>#REF!</v>
      </c>
      <c r="EP132" s="9" t="e">
        <f>(#REF!)</f>
        <v>#REF!</v>
      </c>
      <c r="ES132" s="12" t="s">
        <v>67</v>
      </c>
      <c r="ET132" s="12">
        <v>18000</v>
      </c>
    </row>
    <row r="133" spans="1:150" ht="18.75" customHeight="1" x14ac:dyDescent="0.3">
      <c r="A133" s="32" t="str">
        <f>(SALES!$A:$A)</f>
        <v>Friday, 5 January 2024</v>
      </c>
      <c r="B133" s="1">
        <f>(SALES!$C:$C)</f>
        <v>35</v>
      </c>
      <c r="C133" s="1">
        <f>(SALES!$D:$D)</f>
        <v>2</v>
      </c>
      <c r="D133" s="1" t="str">
        <f>(SALES!$E:$E)</f>
        <v>BEEF</v>
      </c>
      <c r="E133" s="1">
        <f>(SALES!$F:$F)</f>
        <v>16000</v>
      </c>
      <c r="F133" s="1">
        <f>(SALES!$G:$G)</f>
        <v>32000</v>
      </c>
      <c r="H133" s="2">
        <f>(EXPENSES!$A:$A)</f>
        <v>0</v>
      </c>
      <c r="I133" s="10">
        <f>(EXPENSES!$B:$B)</f>
        <v>0</v>
      </c>
      <c r="J133" s="10">
        <f>(EXPENSES!$C:$C)</f>
        <v>0</v>
      </c>
      <c r="K133" s="10">
        <f>(EXPENSES!$D:$D)</f>
        <v>0</v>
      </c>
      <c r="EM133" s="1" t="e">
        <f>(#REF!)</f>
        <v>#REF!</v>
      </c>
      <c r="EN133" s="9" t="e">
        <f>(#REF!)</f>
        <v>#REF!</v>
      </c>
      <c r="EO133" s="9" t="e">
        <f>(#REF!)</f>
        <v>#REF!</v>
      </c>
      <c r="EP133" s="9" t="e">
        <f>(#REF!)</f>
        <v>#REF!</v>
      </c>
      <c r="ES133" s="12" t="s">
        <v>68</v>
      </c>
      <c r="ET133" s="12">
        <v>10000</v>
      </c>
    </row>
    <row r="134" spans="1:150" ht="18.75" customHeight="1" x14ac:dyDescent="0.3">
      <c r="A134" s="32" t="str">
        <f>(SALES!$A:$A)</f>
        <v>Friday, 5 January 2024</v>
      </c>
      <c r="B134" s="1">
        <f>(SALES!$C:$C)</f>
        <v>36</v>
      </c>
      <c r="C134" s="1">
        <f>(SALES!$D:$D)</f>
        <v>1.5</v>
      </c>
      <c r="D134" s="1" t="str">
        <f>(SALES!$E:$E)</f>
        <v>BEEF</v>
      </c>
      <c r="E134" s="1">
        <f>(SALES!$F:$F)</f>
        <v>16000</v>
      </c>
      <c r="F134" s="1">
        <f>(SALES!$G:$G)</f>
        <v>24000</v>
      </c>
      <c r="H134" s="2">
        <f>(EXPENSES!$A:$A)</f>
        <v>0</v>
      </c>
      <c r="I134" s="10">
        <f>(EXPENSES!$B:$B)</f>
        <v>0</v>
      </c>
      <c r="J134" s="10">
        <f>(EXPENSES!$C:$C)</f>
        <v>0</v>
      </c>
      <c r="K134" s="10">
        <f>(EXPENSES!$D:$D)</f>
        <v>0</v>
      </c>
      <c r="EM134" s="1" t="e">
        <f>(#REF!)</f>
        <v>#REF!</v>
      </c>
      <c r="EN134" s="9" t="e">
        <f>(#REF!)</f>
        <v>#REF!</v>
      </c>
      <c r="EO134" s="9" t="e">
        <f>(#REF!)</f>
        <v>#REF!</v>
      </c>
      <c r="EP134" s="9" t="e">
        <f>(#REF!)</f>
        <v>#REF!</v>
      </c>
      <c r="ES134" s="12" t="s">
        <v>69</v>
      </c>
      <c r="ET134" s="12">
        <v>4000</v>
      </c>
    </row>
    <row r="135" spans="1:150" ht="18.75" customHeight="1" x14ac:dyDescent="0.3">
      <c r="A135" s="32" t="str">
        <f>(SALES!$A:$A)</f>
        <v>Friday, 5 January 2024</v>
      </c>
      <c r="B135" s="1">
        <f>(SALES!$C:$C)</f>
        <v>37</v>
      </c>
      <c r="C135" s="1">
        <f>(SALES!$D:$D)</f>
        <v>1</v>
      </c>
      <c r="D135" s="1" t="str">
        <f>(SALES!$E:$E)</f>
        <v>DOG BONES</v>
      </c>
      <c r="E135" s="1">
        <f>(SALES!$F:$F)</f>
        <v>4000</v>
      </c>
      <c r="F135" s="1">
        <f>(SALES!$G:$G)</f>
        <v>4000</v>
      </c>
      <c r="H135" s="2">
        <f>(EXPENSES!$A:$A)</f>
        <v>0</v>
      </c>
      <c r="I135" s="10">
        <f>(EXPENSES!$B:$B)</f>
        <v>0</v>
      </c>
      <c r="J135" s="10">
        <f>(EXPENSES!$C:$C)</f>
        <v>0</v>
      </c>
      <c r="K135" s="10">
        <f>(EXPENSES!$D:$D)</f>
        <v>0</v>
      </c>
      <c r="EM135" s="1" t="e">
        <f>(#REF!)</f>
        <v>#REF!</v>
      </c>
      <c r="EN135" s="9" t="e">
        <f>(#REF!)</f>
        <v>#REF!</v>
      </c>
      <c r="EO135" s="9" t="e">
        <f>(#REF!)</f>
        <v>#REF!</v>
      </c>
      <c r="EP135" s="9" t="e">
        <f>(#REF!)</f>
        <v>#REF!</v>
      </c>
      <c r="ES135" s="10" t="s">
        <v>69</v>
      </c>
      <c r="ET135" s="10" t="str">
        <f>IF($D:$D="MATOOKE KGS", 1500, IF($D:$D="SAUSAGES", 30000, IF($D:$D="MILK", 2000, IF($D:$D="YELLOW YOLK EGGS", 20000, IF($D:$D="AVOCADO", 1000, IF($D:$D="BEEF", 16000, IF($D:$D="PLAIN YOGHURT", 4000, "")))))))</f>
        <v/>
      </c>
    </row>
    <row r="136" spans="1:150" ht="18.75" customHeight="1" x14ac:dyDescent="0.35">
      <c r="A136" s="32" t="str">
        <f>(SALES!$A:$A)</f>
        <v>Friday, 5 January 2024</v>
      </c>
      <c r="B136" s="1">
        <f>(SALES!$C:$C)</f>
        <v>38</v>
      </c>
      <c r="C136" s="1">
        <f>(SALES!$D:$D)</f>
        <v>1</v>
      </c>
      <c r="D136" s="1" t="str">
        <f>(SALES!$E:$E)</f>
        <v>MATOOKE</v>
      </c>
      <c r="E136" s="1">
        <f>(SALES!$F:$F)</f>
        <v>20000</v>
      </c>
      <c r="F136" s="1">
        <f>(SALES!$G:$G)</f>
        <v>20000</v>
      </c>
      <c r="H136" s="2">
        <f>(EXPENSES!$A:$A)</f>
        <v>0</v>
      </c>
      <c r="I136" s="10">
        <f>(EXPENSES!$B:$B)</f>
        <v>0</v>
      </c>
      <c r="J136" s="10">
        <f>(EXPENSES!$C:$C)</f>
        <v>0</v>
      </c>
      <c r="K136" s="10">
        <f>(EXPENSES!$D:$D)</f>
        <v>0</v>
      </c>
      <c r="P136" s="50"/>
      <c r="Q136" s="48"/>
      <c r="R136" s="48"/>
      <c r="S136" s="48"/>
      <c r="T136" s="48"/>
      <c r="U136" s="49"/>
      <c r="EM136" s="1" t="e">
        <f>(#REF!)</f>
        <v>#REF!</v>
      </c>
      <c r="EN136" s="9" t="e">
        <f>(#REF!)</f>
        <v>#REF!</v>
      </c>
      <c r="EO136" s="9" t="e">
        <f>(#REF!)</f>
        <v>#REF!</v>
      </c>
      <c r="EP136" s="9" t="e">
        <f>(#REF!)</f>
        <v>#REF!</v>
      </c>
      <c r="ES136" s="12" t="s">
        <v>69</v>
      </c>
      <c r="ET136" s="10" t="str">
        <f>IF($D:$D="MATOOKE KGS", 1500, IF($D:$D="SAUSAGES", 30000, IF($D:$D="TOMATOES", 3000, IF($D:$D="CHICKEN", 30000, IF($D:$D="LOCAL EGGS", 25000, IF($D:$D="IRISH", 3000, IF($D:$D="MILK", 2000, IF($D:$D="ONIONS", 6000, IF($D:$D="YELLOW YOLK EGGS", 20000, IF($D:$D="AVOCADO", 1000, IF($D:$D="BEEF", 16000, IF($D:$D="PLAIN YOGHURT", 4000, ""))))))))))))</f>
        <v/>
      </c>
    </row>
    <row r="137" spans="1:150" ht="18.75" customHeight="1" x14ac:dyDescent="0.3">
      <c r="A137" s="32" t="str">
        <f>(SALES!$A:$A)</f>
        <v>Friday, 5 January 2024</v>
      </c>
      <c r="B137" s="1">
        <f>(SALES!$C:$C)</f>
        <v>39</v>
      </c>
      <c r="C137" s="1">
        <f>(SALES!$D:$D)</f>
        <v>1</v>
      </c>
      <c r="D137" s="1" t="str">
        <f>(SALES!$E:$E)</f>
        <v>DOG MINCE</v>
      </c>
      <c r="E137" s="1">
        <f>(SALES!$F:$F)</f>
        <v>5000</v>
      </c>
      <c r="F137" s="1">
        <f>(SALES!$G:$G)</f>
        <v>5000</v>
      </c>
      <c r="H137" s="2">
        <f>(EXPENSES!$A:$A)</f>
        <v>0</v>
      </c>
      <c r="I137" s="10">
        <f>(EXPENSES!$B:$B)</f>
        <v>0</v>
      </c>
      <c r="J137" s="10">
        <f>(EXPENSES!$C:$C)</f>
        <v>0</v>
      </c>
      <c r="K137" s="10">
        <f>(EXPENSES!$D:$D)</f>
        <v>0</v>
      </c>
      <c r="P137" s="1"/>
      <c r="Q137" s="1"/>
      <c r="R137" s="15"/>
      <c r="S137" s="1"/>
      <c r="T137" s="1"/>
      <c r="U137" s="15"/>
      <c r="EM137" s="1" t="e">
        <f>(#REF!)</f>
        <v>#REF!</v>
      </c>
      <c r="EN137" s="9" t="e">
        <f>(#REF!)</f>
        <v>#REF!</v>
      </c>
      <c r="EO137" s="9" t="e">
        <f>(#REF!)</f>
        <v>#REF!</v>
      </c>
      <c r="EP137" s="9" t="e">
        <f>(#REF!)</f>
        <v>#REF!</v>
      </c>
      <c r="ES137" s="10" t="s">
        <v>70</v>
      </c>
      <c r="ET137" s="10">
        <v>30000</v>
      </c>
    </row>
    <row r="138" spans="1:150" ht="18.75" customHeight="1" x14ac:dyDescent="0.3">
      <c r="A138" s="32" t="str">
        <f>(SALES!$A:$A)</f>
        <v>Friday, 5 January 2024</v>
      </c>
      <c r="B138" s="1">
        <f>(SALES!$C:$C)</f>
        <v>40</v>
      </c>
      <c r="C138" s="1">
        <f>(SALES!$D:$D)</f>
        <v>3</v>
      </c>
      <c r="D138" s="1" t="str">
        <f>(SALES!$E:$E)</f>
        <v>AVOCADO</v>
      </c>
      <c r="E138" s="1">
        <f>(SALES!$F:$F)</f>
        <v>1000</v>
      </c>
      <c r="F138" s="1">
        <f>(SALES!$G:$G)</f>
        <v>3000</v>
      </c>
      <c r="H138" s="2">
        <f>(EXPENSES!$A:$A)</f>
        <v>0</v>
      </c>
      <c r="I138" s="10">
        <f>(EXPENSES!$B:$B)</f>
        <v>0</v>
      </c>
      <c r="J138" s="10">
        <f>(EXPENSES!$C:$C)</f>
        <v>0</v>
      </c>
      <c r="K138" s="10">
        <f>(EXPENSES!$D:$D)</f>
        <v>0</v>
      </c>
      <c r="P138" s="14"/>
      <c r="Q138" s="7"/>
      <c r="R138" s="12"/>
      <c r="S138" s="12"/>
      <c r="T138" s="12"/>
      <c r="U138" s="12"/>
      <c r="EM138" s="1" t="e">
        <f>(#REF!)</f>
        <v>#REF!</v>
      </c>
      <c r="EN138" s="9" t="e">
        <f>(#REF!)</f>
        <v>#REF!</v>
      </c>
      <c r="EO138" s="9" t="e">
        <f>(#REF!)</f>
        <v>#REF!</v>
      </c>
      <c r="EP138" s="9" t="e">
        <f>(#REF!)</f>
        <v>#REF!</v>
      </c>
      <c r="ES138" s="10" t="s">
        <v>70</v>
      </c>
      <c r="ET138" s="10">
        <f>IF($D:$D="MATOOKE KGS", 1500, IF($D:$D="SAUSAGES", 30000, IF($D:$D="MILK", 2000, IF($D:$D="YELLOW YOLK EGGS", 20000, IF($D:$D="AVOCADO", 1000, IF($D:$D="BEEF", 16000, IF($D:$D="PLAIN YOGHURT", 4000, "")))))))</f>
        <v>1000</v>
      </c>
    </row>
    <row r="139" spans="1:150" ht="18.75" customHeight="1" x14ac:dyDescent="0.3">
      <c r="A139" s="32" t="str">
        <f>(SALES!$A:$A)</f>
        <v>Friday, 5 January 2024</v>
      </c>
      <c r="B139" s="1">
        <f>(SALES!$C:$C)</f>
        <v>41</v>
      </c>
      <c r="C139" s="1">
        <f>(SALES!$D:$D)</f>
        <v>1</v>
      </c>
      <c r="D139" s="1" t="str">
        <f>(SALES!$E:$E)</f>
        <v>YELLOW YOLK EGGS</v>
      </c>
      <c r="E139" s="1">
        <f>(SALES!$F:$F)</f>
        <v>20000</v>
      </c>
      <c r="F139" s="1">
        <f>(SALES!$G:$G)</f>
        <v>20000</v>
      </c>
      <c r="H139" s="2">
        <f>(EXPENSES!$A:$A)</f>
        <v>0</v>
      </c>
      <c r="I139" s="10">
        <f>(EXPENSES!$B:$B)</f>
        <v>0</v>
      </c>
      <c r="J139" s="10">
        <f>(EXPENSES!$C:$C)</f>
        <v>0</v>
      </c>
      <c r="K139" s="10">
        <f>(EXPENSES!$D:$D)</f>
        <v>0</v>
      </c>
      <c r="P139" s="14"/>
      <c r="Q139" s="7"/>
      <c r="R139" s="12"/>
      <c r="S139" s="12"/>
      <c r="T139" s="12"/>
      <c r="U139" s="12"/>
      <c r="EM139" s="1" t="e">
        <f>(#REF!)</f>
        <v>#REF!</v>
      </c>
      <c r="EN139" s="9" t="e">
        <f>(#REF!)</f>
        <v>#REF!</v>
      </c>
      <c r="EO139" s="9" t="e">
        <f>(#REF!)</f>
        <v>#REF!</v>
      </c>
      <c r="EP139" s="9" t="e">
        <f>(#REF!)</f>
        <v>#REF!</v>
      </c>
      <c r="ES139" s="10" t="s">
        <v>71</v>
      </c>
      <c r="ET139" s="10">
        <f>IF($D:$D="MATOOKE KGS", 1500, IF($D:$D="SHREDDED BEEF", 24000, IF($D:$D="GOAT LEG", 22000, IF($D:$D="SAUSAGES", 30000, IF($D:$D="MILK", 2000, IF($D:$D="SOUP BONES", 5000,  IF($D:$D="YELLOW YOLK EGGS", 20000, IF($D:$D="AVOCADO", 1000, IF($D:$D="BEEF", 16000, IF($D:$D="PLAIN YOGHURT", 4000,IF($D:$D="OFFALS", 12000,IF($D:$D="GOAT", 20000,""))))))))))))</f>
        <v>20000</v>
      </c>
    </row>
    <row r="140" spans="1:150" ht="18.75" customHeight="1" x14ac:dyDescent="0.3">
      <c r="A140" s="32" t="str">
        <f>(SALES!$A:$A)</f>
        <v>Friday, 5 January 2024</v>
      </c>
      <c r="B140" s="1">
        <f>(SALES!$C:$C)</f>
        <v>42</v>
      </c>
      <c r="C140" s="1">
        <f>(SALES!$D:$D)</f>
        <v>1</v>
      </c>
      <c r="D140" s="1" t="str">
        <f>(SALES!$E:$E)</f>
        <v>MATOOKE</v>
      </c>
      <c r="E140" s="1">
        <f>(SALES!$F:$F)</f>
        <v>10000</v>
      </c>
      <c r="F140" s="1">
        <f>(SALES!$G:$G)</f>
        <v>10000</v>
      </c>
      <c r="H140" s="2">
        <f>(EXPENSES!$A:$A)</f>
        <v>0</v>
      </c>
      <c r="I140" s="10">
        <f>(EXPENSES!$B:$B)</f>
        <v>0</v>
      </c>
      <c r="J140" s="10">
        <f>(EXPENSES!$C:$C)</f>
        <v>0</v>
      </c>
      <c r="K140" s="10">
        <f>(EXPENSES!$D:$D)</f>
        <v>0</v>
      </c>
      <c r="P140" s="14"/>
      <c r="Q140" s="7"/>
      <c r="R140" s="12"/>
      <c r="S140" s="12"/>
      <c r="T140" s="12"/>
      <c r="U140" s="12"/>
      <c r="EM140" s="1" t="e">
        <f>(#REF!)</f>
        <v>#REF!</v>
      </c>
      <c r="EN140" s="9" t="e">
        <f>(#REF!)</f>
        <v>#REF!</v>
      </c>
      <c r="EO140" s="9" t="e">
        <f>(#REF!)</f>
        <v>#REF!</v>
      </c>
      <c r="EP140" s="9" t="e">
        <f>(#REF!)</f>
        <v>#REF!</v>
      </c>
      <c r="ES140" s="10" t="s">
        <v>72</v>
      </c>
      <c r="ET140" s="10">
        <v>71000</v>
      </c>
    </row>
    <row r="141" spans="1:150" ht="18.75" customHeight="1" x14ac:dyDescent="0.3">
      <c r="A141" s="32" t="str">
        <f>(SALES!$A:$A)</f>
        <v>Friday, 5 January 2024</v>
      </c>
      <c r="B141" s="1">
        <f>(SALES!$C:$C)</f>
        <v>43</v>
      </c>
      <c r="C141" s="1">
        <f>(SALES!$D:$D)</f>
        <v>1.3</v>
      </c>
      <c r="D141" s="1" t="str">
        <f>(SALES!$E:$E)</f>
        <v>MATOOKE KGS</v>
      </c>
      <c r="E141" s="1">
        <f>(SALES!$F:$F)</f>
        <v>1500</v>
      </c>
      <c r="F141" s="1">
        <f>(SALES!$G:$G)</f>
        <v>1950</v>
      </c>
      <c r="H141" s="2">
        <f>(EXPENSES!$A:$A)</f>
        <v>0</v>
      </c>
      <c r="I141" s="10">
        <f>(EXPENSES!$B:$B)</f>
        <v>0</v>
      </c>
      <c r="J141" s="10">
        <f>(EXPENSES!$C:$C)</f>
        <v>0</v>
      </c>
      <c r="K141" s="10">
        <f>(EXPENSES!$D:$D)</f>
        <v>0</v>
      </c>
      <c r="P141" s="14"/>
      <c r="Q141" s="7"/>
      <c r="R141" s="12"/>
      <c r="S141" s="12"/>
      <c r="T141" s="12"/>
      <c r="U141" s="12"/>
      <c r="EM141" s="1" t="e">
        <f>(#REF!)</f>
        <v>#REF!</v>
      </c>
      <c r="EN141" s="9" t="e">
        <f>(#REF!)</f>
        <v>#REF!</v>
      </c>
      <c r="EO141" s="9" t="e">
        <f>(#REF!)</f>
        <v>#REF!</v>
      </c>
      <c r="EP141" s="9" t="e">
        <f>(#REF!)</f>
        <v>#REF!</v>
      </c>
      <c r="ES141" s="10" t="s">
        <v>73</v>
      </c>
      <c r="ET141" s="10">
        <f>IF($D:$D="MATOOKE KGS", 1500, IF($D:$D="SAUSAGES", 30000, IF($D:$D="MILK", 2000, IF($D:$D="SOUP BONES", 5000,  IF($D:$D="YELLOW YOLK EGGS", 20000, IF($D:$D="AVOCADO", 1000, IF($D:$D="BEEF", 16000, IF($D:$D="PLAIN YOGHURT", 4000,IF($D:$D="OFFALS", 12000,IF($D:$D="GOAT", 20000,""))))))))))</f>
        <v>1500</v>
      </c>
    </row>
    <row r="142" spans="1:150" ht="18.75" customHeight="1" x14ac:dyDescent="0.3">
      <c r="A142" s="32" t="str">
        <f>(SALES!$A:$A)</f>
        <v>Friday, 5 January 2024</v>
      </c>
      <c r="B142" s="1">
        <f>(SALES!$C:$C)</f>
        <v>44</v>
      </c>
      <c r="C142" s="1">
        <f>(SALES!$D:$D)</f>
        <v>0.5</v>
      </c>
      <c r="D142" s="1" t="str">
        <f>(SALES!$E:$E)</f>
        <v>MILK</v>
      </c>
      <c r="E142" s="1">
        <f>(SALES!$F:$F)</f>
        <v>2000</v>
      </c>
      <c r="F142" s="1">
        <f>(SALES!$G:$G)</f>
        <v>1000</v>
      </c>
      <c r="H142" s="2">
        <f>(EXPENSES!$A:$A)</f>
        <v>0</v>
      </c>
      <c r="I142" s="10">
        <f>(EXPENSES!$B:$B)</f>
        <v>0</v>
      </c>
      <c r="J142" s="10">
        <f>(EXPENSES!$C:$C)</f>
        <v>0</v>
      </c>
      <c r="K142" s="10">
        <f>(EXPENSES!$D:$D)</f>
        <v>0</v>
      </c>
      <c r="P142" s="14"/>
      <c r="Q142" s="7"/>
      <c r="R142" s="12"/>
      <c r="S142" s="12"/>
      <c r="T142" s="12"/>
      <c r="U142" s="12"/>
      <c r="EM142" s="1" t="e">
        <f>(#REF!)</f>
        <v>#REF!</v>
      </c>
      <c r="EN142" s="9" t="e">
        <f>(#REF!)</f>
        <v>#REF!</v>
      </c>
      <c r="EO142" s="9" t="e">
        <f>(#REF!)</f>
        <v>#REF!</v>
      </c>
      <c r="EP142" s="9" t="e">
        <f>(#REF!)</f>
        <v>#REF!</v>
      </c>
      <c r="ES142" s="10" t="s">
        <v>74</v>
      </c>
      <c r="ET142" s="4">
        <v>3000</v>
      </c>
    </row>
    <row r="143" spans="1:150" ht="18.75" customHeight="1" x14ac:dyDescent="0.3">
      <c r="A143" s="32" t="str">
        <f>(SALES!$A:$A)</f>
        <v>Friday, 5 January 2024</v>
      </c>
      <c r="B143" s="1">
        <f>(SALES!$C:$C)</f>
        <v>45</v>
      </c>
      <c r="C143" s="1">
        <f>(SALES!$D:$D)</f>
        <v>1</v>
      </c>
      <c r="D143" s="1" t="str">
        <f>(SALES!$E:$E)</f>
        <v>GOAT LEG</v>
      </c>
      <c r="E143" s="1">
        <f>(SALES!$F:$F)</f>
        <v>22000</v>
      </c>
      <c r="F143" s="1">
        <f>(SALES!$G:$G)</f>
        <v>22000</v>
      </c>
      <c r="H143" s="2">
        <f>(EXPENSES!$A:$A)</f>
        <v>0</v>
      </c>
      <c r="I143" s="10">
        <f>(EXPENSES!$B:$B)</f>
        <v>0</v>
      </c>
      <c r="J143" s="10">
        <f>(EXPENSES!$C:$C)</f>
        <v>0</v>
      </c>
      <c r="K143" s="10">
        <f>(EXPENSES!$D:$D)</f>
        <v>0</v>
      </c>
      <c r="P143" s="14"/>
      <c r="Q143" s="7"/>
      <c r="R143" s="12"/>
      <c r="S143" s="12"/>
      <c r="T143" s="12"/>
      <c r="U143" s="12"/>
      <c r="EM143" s="1" t="e">
        <f>(#REF!)</f>
        <v>#REF!</v>
      </c>
      <c r="EN143" s="9" t="e">
        <f>(#REF!)</f>
        <v>#REF!</v>
      </c>
      <c r="EO143" s="9" t="e">
        <f>(#REF!)</f>
        <v>#REF!</v>
      </c>
      <c r="EP143" s="9" t="e">
        <f>(#REF!)</f>
        <v>#REF!</v>
      </c>
      <c r="ES143" s="12" t="s">
        <v>74</v>
      </c>
      <c r="ET143" s="10" t="str">
        <f>IF($D:$D="MATOOKE KGS", 1500, IF($D:$D="SAUSAGES", 30000, IF($D:$D="TOMATOES", 3000, IF($D:$D="CHICKEN", 30000, IF($D:$D="LOCAL EGGS", 25000, IF($D:$D="IRISH", 3000, IF($D:$D="MILK", 2000, IF($D:$D="ONIONS", 6000, IF($D:$D="YELLOW YOLK EGGS", 20000, IF($D:$D="AVOCADO", 1000, IF($D:$D="BEEF", 16000, IF($D:$D="PLAIN YOGHURT", 4000, ""))))))))))))</f>
        <v/>
      </c>
    </row>
    <row r="144" spans="1:150" ht="18.75" customHeight="1" x14ac:dyDescent="0.3">
      <c r="A144" s="32" t="str">
        <f>(SALES!$A:$A)</f>
        <v>Friday, 5 January 2024</v>
      </c>
      <c r="B144" s="1">
        <f>(SALES!$C:$C)</f>
        <v>46</v>
      </c>
      <c r="C144" s="1">
        <f>(SALES!$D:$D)</f>
        <v>2</v>
      </c>
      <c r="D144" s="1" t="str">
        <f>(SALES!$E:$E)</f>
        <v>MATOOKE</v>
      </c>
      <c r="E144" s="1">
        <f>(SALES!$F:$F)</f>
        <v>10000</v>
      </c>
      <c r="F144" s="1">
        <f>(SALES!$G:$G)</f>
        <v>20000</v>
      </c>
      <c r="H144" s="2">
        <f>(EXPENSES!$A:$A)</f>
        <v>0</v>
      </c>
      <c r="I144" s="10">
        <f>(EXPENSES!$B:$B)</f>
        <v>0</v>
      </c>
      <c r="J144" s="10">
        <f>(EXPENSES!$C:$C)</f>
        <v>0</v>
      </c>
      <c r="K144" s="10">
        <f>(EXPENSES!$D:$D)</f>
        <v>0</v>
      </c>
      <c r="P144" s="14"/>
      <c r="Q144" s="7"/>
      <c r="R144" s="12"/>
      <c r="S144" s="12"/>
      <c r="T144" s="12"/>
      <c r="U144" s="12"/>
      <c r="EM144" s="1" t="e">
        <f>(#REF!)</f>
        <v>#REF!</v>
      </c>
      <c r="EN144" s="9" t="e">
        <f>(#REF!)</f>
        <v>#REF!</v>
      </c>
      <c r="EO144" s="9" t="e">
        <f>(#REF!)</f>
        <v>#REF!</v>
      </c>
      <c r="EP144" s="9" t="e">
        <f>(#REF!)</f>
        <v>#REF!</v>
      </c>
      <c r="ES144" s="12" t="s">
        <v>74</v>
      </c>
      <c r="ET144" s="10" t="str">
        <f>IF($D:$D="MATOOKE KGS", 1500, IF($D:$D="SAUSAGES", 30000,  IF($D:$D="TOMATOES", 3000,  IF($D:$D="CHICKEN", 30000, IF($D:$D="LOCAL EGGS", 25000,  IF($D:$D="IRISH", 3000, IF($D:$D="MILK", 2000, IF($D:$D="ONIONS", 6000, IF($D:$D="YELLOW YOLK EGGS", 20000, IF($D:$D="AVOCADO", 1000, IF($D:$D="BEEF", 16000, IF($D:$D="PLAIN YOGHURT", 4000, ""))))))))))))</f>
        <v/>
      </c>
    </row>
    <row r="145" spans="1:150" ht="18.75" customHeight="1" x14ac:dyDescent="0.3">
      <c r="A145" s="32" t="str">
        <f>(SALES!$A:$A)</f>
        <v>Friday, 5 January 2024</v>
      </c>
      <c r="B145" s="1">
        <f>(SALES!$C:$C)</f>
        <v>47</v>
      </c>
      <c r="C145" s="1">
        <f>(SALES!$D:$D)</f>
        <v>2</v>
      </c>
      <c r="D145" s="1" t="str">
        <f>(SALES!$E:$E)</f>
        <v>AVOCADO</v>
      </c>
      <c r="E145" s="1">
        <f>(SALES!$F:$F)</f>
        <v>1000</v>
      </c>
      <c r="F145" s="1">
        <f>(SALES!$G:$G)</f>
        <v>2000</v>
      </c>
      <c r="H145" s="2">
        <f>(EXPENSES!$A:$A)</f>
        <v>0</v>
      </c>
      <c r="I145" s="10">
        <f>(EXPENSES!$B:$B)</f>
        <v>0</v>
      </c>
      <c r="J145" s="10">
        <f>(EXPENSES!$C:$C)</f>
        <v>0</v>
      </c>
      <c r="K145" s="10">
        <f>(EXPENSES!$D:$D)</f>
        <v>0</v>
      </c>
      <c r="P145" s="14"/>
      <c r="Q145" s="7"/>
      <c r="R145" s="12"/>
      <c r="S145" s="12"/>
      <c r="T145" s="12"/>
      <c r="U145" s="12"/>
      <c r="EM145" s="1" t="e">
        <f>(#REF!)</f>
        <v>#REF!</v>
      </c>
      <c r="EN145" s="9" t="e">
        <f>(#REF!)</f>
        <v>#REF!</v>
      </c>
      <c r="EO145" s="9" t="e">
        <f>(#REF!)</f>
        <v>#REF!</v>
      </c>
      <c r="EP145" s="9" t="e">
        <f>(#REF!)</f>
        <v>#REF!</v>
      </c>
      <c r="ES145" s="12" t="s">
        <v>74</v>
      </c>
      <c r="ET145" s="10">
        <f>IF($D:$D="MATOOKE KGS", 1500, IF($D:$D="SAUSAGES", 30000, IF($D:$D="TOMATOES", 3000, IF($D:$D="CHICKEN", 30000, IF($D:$D="LOCAL EGGS", 25000, IF($D:$D="IRISH", 3000, IF($D:$D="MILK", 2000, IF($D:$D="ONIONS", 6000, IF($D:$D="YELLOW YOLK EGGS", 20000, IF($D:$D="AVOCADO", 1000, IF($D:$D="BEEF", 16000, IF($D:$D="PLAIN YOGHURT", 4000, ""))))))))))))</f>
        <v>1000</v>
      </c>
    </row>
    <row r="146" spans="1:150" ht="18.75" customHeight="1" x14ac:dyDescent="0.3">
      <c r="A146" s="32" t="str">
        <f>(SALES!$A:$A)</f>
        <v>Friday, 5 January 2024</v>
      </c>
      <c r="B146" s="1">
        <f>(SALES!$C:$C)</f>
        <v>48</v>
      </c>
      <c r="C146" s="1">
        <f>(SALES!$D:$D)</f>
        <v>1.3</v>
      </c>
      <c r="D146" s="1" t="str">
        <f>(SALES!$E:$E)</f>
        <v>MATOOKE KGS</v>
      </c>
      <c r="E146" s="1">
        <f>(SALES!$F:$F)</f>
        <v>1500</v>
      </c>
      <c r="F146" s="1">
        <f>(SALES!$G:$G)</f>
        <v>1950</v>
      </c>
      <c r="H146" s="2">
        <f>(EXPENSES!$A:$A)</f>
        <v>0</v>
      </c>
      <c r="I146" s="10">
        <f>(EXPENSES!$B:$B)</f>
        <v>0</v>
      </c>
      <c r="J146" s="10">
        <f>(EXPENSES!$C:$C)</f>
        <v>0</v>
      </c>
      <c r="K146" s="10">
        <f>(EXPENSES!$D:$D)</f>
        <v>0</v>
      </c>
      <c r="P146" s="14"/>
      <c r="Q146" s="7"/>
      <c r="R146" s="12"/>
      <c r="S146" s="12"/>
      <c r="T146" s="12"/>
      <c r="U146" s="12"/>
      <c r="EM146" s="1" t="e">
        <f>(#REF!)</f>
        <v>#REF!</v>
      </c>
      <c r="EN146" s="9" t="e">
        <f>(#REF!)</f>
        <v>#REF!</v>
      </c>
      <c r="EO146" s="9" t="e">
        <f>(#REF!)</f>
        <v>#REF!</v>
      </c>
      <c r="EP146" s="9" t="e">
        <f>(#REF!)</f>
        <v>#REF!</v>
      </c>
      <c r="ES146" s="12" t="s">
        <v>75</v>
      </c>
      <c r="ET146" s="12">
        <v>18000</v>
      </c>
    </row>
    <row r="147" spans="1:150" ht="18.75" customHeight="1" x14ac:dyDescent="0.3">
      <c r="A147" s="32" t="str">
        <f>(SALES!$A:$A)</f>
        <v>Friday, 5 January 2024</v>
      </c>
      <c r="B147" s="1">
        <f>(SALES!$C:$C)</f>
        <v>49</v>
      </c>
      <c r="C147" s="1">
        <f>(SALES!$D:$D)</f>
        <v>0.5</v>
      </c>
      <c r="D147" s="1" t="str">
        <f>(SALES!$E:$E)</f>
        <v>GOAT</v>
      </c>
      <c r="E147" s="1">
        <f>(SALES!$F:$F)</f>
        <v>20000</v>
      </c>
      <c r="F147" s="1">
        <f>(SALES!$G:$G)</f>
        <v>10000</v>
      </c>
      <c r="H147" s="2">
        <f>(EXPENSES!$A:$A)</f>
        <v>0</v>
      </c>
      <c r="I147" s="10">
        <f>(EXPENSES!$B:$B)</f>
        <v>0</v>
      </c>
      <c r="J147" s="10">
        <f>(EXPENSES!$C:$C)</f>
        <v>0</v>
      </c>
      <c r="K147" s="10">
        <f>(EXPENSES!$D:$D)</f>
        <v>0</v>
      </c>
      <c r="P147" s="14"/>
      <c r="Q147" s="7"/>
      <c r="R147" s="12"/>
      <c r="S147" s="12"/>
      <c r="T147" s="12"/>
      <c r="U147" s="12"/>
      <c r="EM147" s="1" t="e">
        <f>(#REF!)</f>
        <v>#REF!</v>
      </c>
      <c r="EN147" s="9" t="e">
        <f>(#REF!)</f>
        <v>#REF!</v>
      </c>
      <c r="EO147" s="9" t="e">
        <f>(#REF!)</f>
        <v>#REF!</v>
      </c>
      <c r="EP147" s="9" t="e">
        <f>(#REF!)</f>
        <v>#REF!</v>
      </c>
      <c r="ES147" s="10" t="s">
        <v>75</v>
      </c>
      <c r="ET147" s="10">
        <v>20000</v>
      </c>
    </row>
    <row r="148" spans="1:150" ht="18.75" customHeight="1" x14ac:dyDescent="0.3">
      <c r="A148" s="32" t="str">
        <f>(SALES!$A:$A)</f>
        <v>Friday, 5 January 2024</v>
      </c>
      <c r="B148" s="1">
        <f>(SALES!$C:$C)</f>
        <v>50</v>
      </c>
      <c r="C148" s="1">
        <f>(SALES!$D:$D)</f>
        <v>1</v>
      </c>
      <c r="D148" s="1" t="str">
        <f>(SALES!$E:$E)</f>
        <v>MILK</v>
      </c>
      <c r="E148" s="1">
        <f>(SALES!$F:$F)</f>
        <v>2000</v>
      </c>
      <c r="F148" s="1">
        <f>(SALES!$G:$G)</f>
        <v>2000</v>
      </c>
      <c r="H148" s="2">
        <f>(EXPENSES!$A:$A)</f>
        <v>0</v>
      </c>
      <c r="I148" s="10">
        <f>(EXPENSES!$B:$B)</f>
        <v>0</v>
      </c>
      <c r="J148" s="10">
        <f>(EXPENSES!$C:$C)</f>
        <v>0</v>
      </c>
      <c r="K148" s="10">
        <f>(EXPENSES!$D:$D)</f>
        <v>0</v>
      </c>
      <c r="P148" s="14"/>
      <c r="Q148" s="7"/>
      <c r="R148" s="12"/>
      <c r="S148" s="12"/>
      <c r="T148" s="12"/>
      <c r="U148" s="12"/>
      <c r="EM148" s="1" t="e">
        <f>(#REF!)</f>
        <v>#REF!</v>
      </c>
      <c r="EN148" s="9" t="e">
        <f>(#REF!)</f>
        <v>#REF!</v>
      </c>
      <c r="EO148" s="9" t="e">
        <f>(#REF!)</f>
        <v>#REF!</v>
      </c>
      <c r="EP148" s="9" t="e">
        <f>(#REF!)</f>
        <v>#REF!</v>
      </c>
      <c r="ES148" s="10" t="s">
        <v>75</v>
      </c>
      <c r="ET148" s="10">
        <f>IF($D:$D="MATOOKE KGS", 1500, IF($D:$D="SAUSAGES", 30000, IF($D:$D="MILK", 2000, IF($D:$D="YELLOW YOLK EGGS", 20000, ""))))</f>
        <v>2000</v>
      </c>
    </row>
    <row r="149" spans="1:150" ht="18.75" customHeight="1" x14ac:dyDescent="0.3">
      <c r="A149" s="32" t="str">
        <f>(SALES!$A:$A)</f>
        <v>Friday, 5 January 2024</v>
      </c>
      <c r="B149" s="1">
        <f>(SALES!$C:$C)</f>
        <v>51</v>
      </c>
      <c r="C149" s="1">
        <f>(SALES!$D:$D)</f>
        <v>1</v>
      </c>
      <c r="D149" s="1" t="str">
        <f>(SALES!$E:$E)</f>
        <v>MILK</v>
      </c>
      <c r="E149" s="1">
        <f>(SALES!$F:$F)</f>
        <v>2000</v>
      </c>
      <c r="F149" s="1">
        <f>(SALES!$G:$G)</f>
        <v>2000</v>
      </c>
      <c r="H149" s="2">
        <f>(EXPENSES!$A:$A)</f>
        <v>0</v>
      </c>
      <c r="I149" s="10">
        <f>(EXPENSES!$B:$B)</f>
        <v>0</v>
      </c>
      <c r="J149" s="10">
        <f>(EXPENSES!$C:$C)</f>
        <v>0</v>
      </c>
      <c r="K149" s="10">
        <f>(EXPENSES!$D:$D)</f>
        <v>0</v>
      </c>
      <c r="P149" s="14"/>
      <c r="Q149" s="7"/>
      <c r="R149" s="12"/>
      <c r="S149" s="12"/>
      <c r="T149" s="12"/>
      <c r="U149" s="12"/>
      <c r="EM149" s="1" t="e">
        <f>(#REF!)</f>
        <v>#REF!</v>
      </c>
      <c r="EN149" s="9" t="e">
        <f>(#REF!)</f>
        <v>#REF!</v>
      </c>
      <c r="EO149" s="9" t="e">
        <f>(#REF!)</f>
        <v>#REF!</v>
      </c>
      <c r="EP149" s="9" t="e">
        <f>(#REF!)</f>
        <v>#REF!</v>
      </c>
      <c r="ES149" s="10" t="s">
        <v>75</v>
      </c>
      <c r="ET149" s="10">
        <f>IF($D:$D="MATOOKE KGS", 1500, IF($D:$D="SAUSAGES", 30000, IF($D:$D="MILK", 2000, IF($D:$D="YELLOW YOLK EGGS", 20000, IF($D:$D="AVOCADO", 1000, IF($D:$D="BEEF", 16000, IF($D:$D="PLAIN YOGHURT", 4000, "")))))))</f>
        <v>2000</v>
      </c>
    </row>
    <row r="150" spans="1:150" ht="18.75" customHeight="1" x14ac:dyDescent="0.3">
      <c r="A150" s="32" t="str">
        <f>(SALES!$A:$A)</f>
        <v>Friday, 5 January 2024</v>
      </c>
      <c r="B150" s="1">
        <f>(SALES!$C:$C)</f>
        <v>1</v>
      </c>
      <c r="C150" s="1">
        <f>(SALES!$D:$D)</f>
        <v>4</v>
      </c>
      <c r="D150" s="1" t="str">
        <f>(SALES!$E:$E)</f>
        <v>MATOOKE KGS</v>
      </c>
      <c r="E150" s="1">
        <f>(SALES!$F:$F)</f>
        <v>1500</v>
      </c>
      <c r="F150" s="1">
        <f>(SALES!$G:$G)</f>
        <v>6000</v>
      </c>
      <c r="H150" s="2">
        <f>(EXPENSES!$A:$A)</f>
        <v>0</v>
      </c>
      <c r="I150" s="10">
        <f>(EXPENSES!$B:$B)</f>
        <v>0</v>
      </c>
      <c r="J150" s="10">
        <f>(EXPENSES!$C:$C)</f>
        <v>0</v>
      </c>
      <c r="K150" s="10">
        <f>(EXPENSES!$D:$D)</f>
        <v>0</v>
      </c>
      <c r="P150" s="14"/>
      <c r="Q150" s="7"/>
      <c r="R150" s="12"/>
      <c r="S150" s="12"/>
      <c r="T150" s="12"/>
      <c r="U150" s="12"/>
      <c r="EM150" s="1" t="e">
        <f>(#REF!)</f>
        <v>#REF!</v>
      </c>
      <c r="EN150" s="9" t="e">
        <f>(#REF!)</f>
        <v>#REF!</v>
      </c>
      <c r="EO150" s="9" t="e">
        <f>(#REF!)</f>
        <v>#REF!</v>
      </c>
      <c r="EP150" s="9" t="e">
        <f>(#REF!)</f>
        <v>#REF!</v>
      </c>
      <c r="ES150" s="10" t="s">
        <v>75</v>
      </c>
      <c r="ET150" s="10">
        <f>IF($D:$D="MATOOKE KGS", 1500, IF($D:$D="SHREDDED BEEF", 24000, IF($D:$D="GOAT LEG", 22000, IF($D:$D="SAUSAGES", 30000, IF($D:$D="MILK", 2000, IF($D:$D="SOUP BONES", 5000,  IF($D:$D="YELLOW YOLK EGGS", 20000, IF($D:$D="AVOCADO", 1000, IF($D:$D="BEEF", 16000, IF($D:$D="PLAIN YOGHURT", 4000,IF($D:$D="OFFALS", 12000,IF($D:$D="GOAT", 20000,""))))))))))))</f>
        <v>1500</v>
      </c>
    </row>
    <row r="151" spans="1:150" ht="18.75" customHeight="1" x14ac:dyDescent="0.3">
      <c r="A151" s="32" t="str">
        <f>(SALES!$A:$A)</f>
        <v>Saturday, 6 January 2024</v>
      </c>
      <c r="B151" s="1">
        <f>(SALES!$C:$C)</f>
        <v>2</v>
      </c>
      <c r="C151" s="1">
        <f>(SALES!$D:$D)</f>
        <v>6.7</v>
      </c>
      <c r="D151" s="1" t="str">
        <f>(SALES!$E:$E)</f>
        <v>MATOOKE KGS</v>
      </c>
      <c r="E151" s="1">
        <f>(SALES!$F:$F)</f>
        <v>1500</v>
      </c>
      <c r="F151" s="1">
        <f>(SALES!$G:$G)</f>
        <v>10050</v>
      </c>
      <c r="H151" s="2">
        <f>(EXPENSES!$A:$A)</f>
        <v>0</v>
      </c>
      <c r="I151" s="10">
        <f>(EXPENSES!$B:$B)</f>
        <v>0</v>
      </c>
      <c r="J151" s="10">
        <f>(EXPENSES!$C:$C)</f>
        <v>0</v>
      </c>
      <c r="K151" s="10">
        <f>(EXPENSES!$D:$D)</f>
        <v>0</v>
      </c>
      <c r="P151" s="14"/>
      <c r="Q151" s="7"/>
      <c r="R151" s="12"/>
      <c r="S151" s="12"/>
      <c r="T151" s="12"/>
      <c r="U151" s="12"/>
      <c r="EM151" s="1" t="e">
        <f>(#REF!)</f>
        <v>#REF!</v>
      </c>
      <c r="EN151" s="9" t="e">
        <f>(#REF!)</f>
        <v>#REF!</v>
      </c>
      <c r="EO151" s="9" t="e">
        <f>(#REF!)</f>
        <v>#REF!</v>
      </c>
      <c r="EP151" s="9" t="e">
        <f>(#REF!)</f>
        <v>#REF!</v>
      </c>
      <c r="ES151" s="12" t="s">
        <v>75</v>
      </c>
      <c r="ET151" s="10">
        <f>IF($D:$D="MATOOKE KGS", 1500, IF($D:$D="SAUSAGES", 30000, IF($D:$D="TOMATOES", 3000, IF($D:$D="CHICKEN", 30000, IF($D:$D="LOCAL EGGS", 25000, IF($D:$D="IRISH", 3000, IF($D:$D="MILK", 2000, IF($D:$D="ONIONS", 6000, IF($D:$D="YELLOW YOLK EGGS", 20000, IF($D:$D="AVOCADO", 1000, IF($D:$D="BEEF", 16000, IF($D:$D="PLAIN YOGHURT", 4000, ""))))))))))))</f>
        <v>1500</v>
      </c>
    </row>
    <row r="152" spans="1:150" ht="18.75" customHeight="1" x14ac:dyDescent="0.3">
      <c r="A152" s="32" t="str">
        <f>(SALES!$A:$A)</f>
        <v>Saturday, 6 January 2024</v>
      </c>
      <c r="B152" s="1">
        <f>(SALES!$C:$C)</f>
        <v>3</v>
      </c>
      <c r="C152" s="1">
        <f>(SALES!$D:$D)</f>
        <v>1.3</v>
      </c>
      <c r="D152" s="1" t="str">
        <f>(SALES!$E:$E)</f>
        <v>MATOOKE KGS</v>
      </c>
      <c r="E152" s="1">
        <f>(SALES!$F:$F)</f>
        <v>1500</v>
      </c>
      <c r="F152" s="1">
        <f>(SALES!$G:$G)</f>
        <v>1950</v>
      </c>
      <c r="H152" s="2">
        <f>(EXPENSES!$A:$A)</f>
        <v>0</v>
      </c>
      <c r="I152" s="10">
        <f>(EXPENSES!$B:$B)</f>
        <v>0</v>
      </c>
      <c r="J152" s="10">
        <f>(EXPENSES!$C:$C)</f>
        <v>0</v>
      </c>
      <c r="K152" s="10">
        <f>(EXPENSES!$D:$D)</f>
        <v>0</v>
      </c>
      <c r="P152" s="14"/>
      <c r="Q152" s="7"/>
      <c r="R152" s="12"/>
      <c r="S152" s="12"/>
      <c r="T152" s="12"/>
      <c r="U152" s="12"/>
      <c r="EM152" s="1" t="e">
        <f>(#REF!)</f>
        <v>#REF!</v>
      </c>
      <c r="EN152" s="9" t="e">
        <f>(#REF!)</f>
        <v>#REF!</v>
      </c>
      <c r="EO152" s="9" t="e">
        <f>(#REF!)</f>
        <v>#REF!</v>
      </c>
      <c r="EP152" s="9" t="e">
        <f>(#REF!)</f>
        <v>#REF!</v>
      </c>
      <c r="ES152" s="20" t="s">
        <v>75</v>
      </c>
      <c r="ET152" s="10">
        <f>IF($D:$D="MATOOKE KGS", 1500, IF($D:$D="SAUSAGES", 30000, IF($D:$D="MARINATED CHICKEN", 25000, IF($D:$D="MARINATED GOAT", 28000, IF($D:$D="TOMATOES", 3000,  IF($D:$D="CHICKEN", 30000, IF($D:$D="LOCAL EGGS", 25000,  IF($D:$D="IRISH", 3000, IF($D:$D="MILK", 2000, IF($D:$D="ONIONS", 6000, IF($D:$D="YELLOW YOLK EGGS", 20000, IF($D:$D="AVOCADO", 1000, IF($D:$D="BEEF", 16000, IF($D:$D="PLAIN YOGHURT", 4000, IF($D:$D="DOG MEAT", 4000, IF($D:$D="GOAT", 19000, ""))))))))))))))))</f>
        <v>1500</v>
      </c>
    </row>
    <row r="153" spans="1:150" ht="18.75" customHeight="1" x14ac:dyDescent="0.3">
      <c r="A153" s="32" t="str">
        <f>(SALES!$A:$A)</f>
        <v>Saturday, 6 January 2024</v>
      </c>
      <c r="B153" s="1">
        <f>(SALES!$C:$C)</f>
        <v>4</v>
      </c>
      <c r="C153" s="1">
        <f>(SALES!$D:$D)</f>
        <v>2</v>
      </c>
      <c r="D153" s="1" t="str">
        <f>(SALES!$E:$E)</f>
        <v>MATOOKE KGS</v>
      </c>
      <c r="E153" s="1">
        <f>(SALES!$F:$F)</f>
        <v>1500</v>
      </c>
      <c r="F153" s="1">
        <f>(SALES!$G:$G)</f>
        <v>3000</v>
      </c>
      <c r="H153" s="2">
        <f>(EXPENSES!$A:$A)</f>
        <v>0</v>
      </c>
      <c r="I153" s="10">
        <f>(EXPENSES!$B:$B)</f>
        <v>0</v>
      </c>
      <c r="J153" s="10">
        <f>(EXPENSES!$C:$C)</f>
        <v>0</v>
      </c>
      <c r="K153" s="10">
        <f>(EXPENSES!$D:$D)</f>
        <v>0</v>
      </c>
      <c r="P153" s="14"/>
      <c r="Q153" s="7"/>
      <c r="R153" s="12"/>
      <c r="S153" s="12"/>
      <c r="T153" s="12"/>
      <c r="U153" s="12"/>
      <c r="EM153" s="1" t="e">
        <f>(#REF!)</f>
        <v>#REF!</v>
      </c>
      <c r="EN153" s="9" t="e">
        <f>(#REF!)</f>
        <v>#REF!</v>
      </c>
      <c r="EO153" s="9" t="e">
        <f>(#REF!)</f>
        <v>#REF!</v>
      </c>
      <c r="EP153" s="9" t="e">
        <f>(#REF!)</f>
        <v>#REF!</v>
      </c>
      <c r="ES153" s="20" t="s">
        <v>76</v>
      </c>
      <c r="ET153" s="10">
        <v>20000</v>
      </c>
    </row>
    <row r="154" spans="1:150" ht="18.75" customHeight="1" x14ac:dyDescent="0.3">
      <c r="A154" s="32" t="str">
        <f>(SALES!$A:$A)</f>
        <v>Saturday, 6 January 2024</v>
      </c>
      <c r="B154" s="1">
        <f>(SALES!$C:$C)</f>
        <v>5</v>
      </c>
      <c r="C154" s="1">
        <f>(SALES!$D:$D)</f>
        <v>1</v>
      </c>
      <c r="D154" s="1" t="str">
        <f>(SALES!$E:$E)</f>
        <v>MATOOKE</v>
      </c>
      <c r="E154" s="1">
        <f>(SALES!$F:$F)</f>
        <v>20000</v>
      </c>
      <c r="F154" s="1">
        <f>(SALES!$G:$G)</f>
        <v>20000</v>
      </c>
      <c r="H154" s="2">
        <f>(EXPENSES!$A:$A)</f>
        <v>0</v>
      </c>
      <c r="I154" s="10">
        <f>(EXPENSES!$B:$B)</f>
        <v>0</v>
      </c>
      <c r="J154" s="10">
        <f>(EXPENSES!$C:$C)</f>
        <v>0</v>
      </c>
      <c r="K154" s="10">
        <f>(EXPENSES!$D:$D)</f>
        <v>0</v>
      </c>
      <c r="P154" s="14"/>
      <c r="Q154" s="7"/>
      <c r="R154" s="12"/>
      <c r="S154" s="12"/>
      <c r="T154" s="12"/>
      <c r="U154" s="12"/>
      <c r="EM154" s="1" t="e">
        <f>(#REF!)</f>
        <v>#REF!</v>
      </c>
      <c r="EN154" s="9" t="e">
        <f>(#REF!)</f>
        <v>#REF!</v>
      </c>
      <c r="EO154" s="9" t="e">
        <f>(#REF!)</f>
        <v>#REF!</v>
      </c>
      <c r="EP154" s="9" t="e">
        <f>(#REF!)</f>
        <v>#REF!</v>
      </c>
      <c r="ES154" s="20" t="s">
        <v>77</v>
      </c>
      <c r="ET154" s="10">
        <v>30000</v>
      </c>
    </row>
    <row r="155" spans="1:150" ht="18.75" customHeight="1" x14ac:dyDescent="0.3">
      <c r="A155" s="32" t="str">
        <f>(SALES!$A:$A)</f>
        <v>Saturday, 6 January 2024</v>
      </c>
      <c r="B155" s="1">
        <f>(SALES!$C:$C)</f>
        <v>6</v>
      </c>
      <c r="C155" s="1">
        <f>(SALES!$D:$D)</f>
        <v>1</v>
      </c>
      <c r="D155" s="1" t="str">
        <f>(SALES!$E:$E)</f>
        <v>MATOOKE</v>
      </c>
      <c r="E155" s="1">
        <f>(SALES!$F:$F)</f>
        <v>15000</v>
      </c>
      <c r="F155" s="1">
        <f>(SALES!$G:$G)</f>
        <v>15000</v>
      </c>
      <c r="H155" s="2">
        <f>(EXPENSES!$A:$A)</f>
        <v>0</v>
      </c>
      <c r="I155" s="10">
        <f>(EXPENSES!$B:$B)</f>
        <v>0</v>
      </c>
      <c r="J155" s="10">
        <f>(EXPENSES!$C:$C)</f>
        <v>0</v>
      </c>
      <c r="K155" s="10">
        <f>(EXPENSES!$D:$D)</f>
        <v>0</v>
      </c>
      <c r="P155" s="14"/>
      <c r="Q155" s="7"/>
      <c r="R155" s="12"/>
      <c r="S155" s="12"/>
      <c r="T155" s="12"/>
      <c r="U155" s="12"/>
      <c r="EM155" s="1" t="e">
        <f>(#REF!)</f>
        <v>#REF!</v>
      </c>
      <c r="EN155" s="9" t="e">
        <f>(#REF!)</f>
        <v>#REF!</v>
      </c>
      <c r="EO155" s="9" t="e">
        <f>(#REF!)</f>
        <v>#REF!</v>
      </c>
      <c r="EP155" s="9" t="e">
        <f>(#REF!)</f>
        <v>#REF!</v>
      </c>
      <c r="ES155" s="20"/>
      <c r="ET155" s="10" t="str">
        <f>IF($D:$D="MATOOKE KGS", 1500, IF($D:$D="SAUSAGES", 30000, IF($D:$D="MARINATED CHICKEN", 25000, IF($D:$D="MARINATED GOAT", 28000, IF($D:$D="TOMATOES", 3000,  IF($D:$D="CHICKEN", 30000, IF($D:$D="LOCAL EGGS", 25000,  IF($D:$D="IRISH", 3000, IF($D:$D="MILK", 2000, IF($D:$D="ONIONS", 6000, IF($D:$D="YELLOW YOLK EGGS", 20000, IF($D:$D="AVOCADO", 1000, IF($D:$D="BEEF", 16000, IF($D:$D="PLAIN YOGHURT", 4000, IF($D:$D="DOG BONES", 4000, IF($D:$D="GOAT", 19000, ""))))))))))))))))</f>
        <v/>
      </c>
    </row>
    <row r="156" spans="1:150" ht="18.75" customHeight="1" x14ac:dyDescent="0.3">
      <c r="A156" s="32" t="str">
        <f>(SALES!$A:$A)</f>
        <v>Saturday, 6 January 2024</v>
      </c>
      <c r="B156" s="1">
        <f>(SALES!$C:$C)</f>
        <v>7</v>
      </c>
      <c r="C156" s="1">
        <f>(SALES!$D:$D)</f>
        <v>2.7</v>
      </c>
      <c r="D156" s="1" t="str">
        <f>(SALES!$E:$E)</f>
        <v>MATOOKE KGS</v>
      </c>
      <c r="E156" s="1">
        <f>(SALES!$F:$F)</f>
        <v>1500</v>
      </c>
      <c r="F156" s="1">
        <f>(SALES!$G:$G)</f>
        <v>4050.0000000000005</v>
      </c>
      <c r="H156" s="2">
        <f>(EXPENSES!$A:$A)</f>
        <v>0</v>
      </c>
      <c r="I156" s="10">
        <f>(EXPENSES!$B:$B)</f>
        <v>0</v>
      </c>
      <c r="J156" s="10">
        <f>(EXPENSES!$C:$C)</f>
        <v>0</v>
      </c>
      <c r="K156" s="10">
        <f>(EXPENSES!$D:$D)</f>
        <v>0</v>
      </c>
      <c r="P156" s="14"/>
      <c r="Q156" s="7"/>
      <c r="R156" s="12"/>
      <c r="S156" s="12"/>
      <c r="T156" s="12"/>
      <c r="U156" s="12"/>
      <c r="EM156" s="1" t="e">
        <f>(#REF!)</f>
        <v>#REF!</v>
      </c>
      <c r="EN156" s="9" t="e">
        <f>(#REF!)</f>
        <v>#REF!</v>
      </c>
      <c r="EO156" s="9" t="e">
        <f>(#REF!)</f>
        <v>#REF!</v>
      </c>
      <c r="EP156" s="9" t="e">
        <f>(#REF!)</f>
        <v>#REF!</v>
      </c>
    </row>
    <row r="157" spans="1:150" ht="18.75" customHeight="1" x14ac:dyDescent="0.3">
      <c r="A157" s="32" t="str">
        <f>(SALES!$A:$A)</f>
        <v>Saturday, 6 January 2024</v>
      </c>
      <c r="B157" s="1">
        <f>(SALES!$C:$C)</f>
        <v>8</v>
      </c>
      <c r="C157" s="1">
        <f>(SALES!$D:$D)</f>
        <v>2.7</v>
      </c>
      <c r="D157" s="1" t="str">
        <f>(SALES!$E:$E)</f>
        <v>MATOOKE KGS</v>
      </c>
      <c r="E157" s="1">
        <f>(SALES!$F:$F)</f>
        <v>1500</v>
      </c>
      <c r="F157" s="1">
        <f>(SALES!$G:$G)</f>
        <v>4050.0000000000005</v>
      </c>
      <c r="H157" s="2">
        <f>(EXPENSES!$A:$A)</f>
        <v>0</v>
      </c>
      <c r="I157" s="10">
        <f>(EXPENSES!$B:$B)</f>
        <v>0</v>
      </c>
      <c r="J157" s="10">
        <f>(EXPENSES!$C:$C)</f>
        <v>0</v>
      </c>
      <c r="K157" s="10">
        <f>(EXPENSES!$D:$D)</f>
        <v>0</v>
      </c>
      <c r="P157" s="14"/>
      <c r="Q157" s="7"/>
      <c r="R157" s="12"/>
      <c r="S157" s="12"/>
      <c r="T157" s="12"/>
      <c r="U157" s="12"/>
      <c r="EM157" s="1" t="e">
        <f>(#REF!)</f>
        <v>#REF!</v>
      </c>
      <c r="EN157" s="9" t="e">
        <f>(#REF!)</f>
        <v>#REF!</v>
      </c>
      <c r="EO157" s="9" t="e">
        <f>(#REF!)</f>
        <v>#REF!</v>
      </c>
      <c r="EP157" s="9" t="e">
        <f>(#REF!)</f>
        <v>#REF!</v>
      </c>
    </row>
    <row r="158" spans="1:150" ht="18.75" customHeight="1" x14ac:dyDescent="0.3">
      <c r="A158" s="32" t="str">
        <f>(SALES!$A:$A)</f>
        <v>Saturday, 6 January 2024</v>
      </c>
      <c r="B158" s="1">
        <f>(SALES!$C:$C)</f>
        <v>9</v>
      </c>
      <c r="C158" s="1">
        <f>(SALES!$D:$D)</f>
        <v>2.7</v>
      </c>
      <c r="D158" s="1" t="str">
        <f>(SALES!$E:$E)</f>
        <v>MATOOKE KGS</v>
      </c>
      <c r="E158" s="1">
        <f>(SALES!$F:$F)</f>
        <v>1500</v>
      </c>
      <c r="F158" s="1">
        <f>(SALES!$G:$G)</f>
        <v>4050.0000000000005</v>
      </c>
      <c r="H158" s="2">
        <f>(EXPENSES!$A:$A)</f>
        <v>0</v>
      </c>
      <c r="I158" s="10">
        <f>(EXPENSES!$B:$B)</f>
        <v>0</v>
      </c>
      <c r="J158" s="10">
        <f>(EXPENSES!$C:$C)</f>
        <v>0</v>
      </c>
      <c r="K158" s="10">
        <f>(EXPENSES!$D:$D)</f>
        <v>0</v>
      </c>
      <c r="P158" s="14"/>
      <c r="Q158" s="7"/>
      <c r="R158" s="12"/>
      <c r="S158" s="12"/>
      <c r="T158" s="12"/>
      <c r="U158" s="12"/>
      <c r="EM158" s="1" t="e">
        <f>(#REF!)</f>
        <v>#REF!</v>
      </c>
      <c r="EN158" s="9" t="e">
        <f>(#REF!)</f>
        <v>#REF!</v>
      </c>
      <c r="EO158" s="9" t="e">
        <f>(#REF!)</f>
        <v>#REF!</v>
      </c>
      <c r="EP158" s="9" t="e">
        <f>(#REF!)</f>
        <v>#REF!</v>
      </c>
    </row>
    <row r="159" spans="1:150" ht="18.75" customHeight="1" x14ac:dyDescent="0.3">
      <c r="A159" s="32" t="str">
        <f>(SALES!$A:$A)</f>
        <v>Saturday, 6 January 2024</v>
      </c>
      <c r="B159" s="1">
        <f>(SALES!$C:$C)</f>
        <v>10</v>
      </c>
      <c r="C159" s="1">
        <f>(SALES!$D:$D)</f>
        <v>2</v>
      </c>
      <c r="D159" s="1" t="str">
        <f>(SALES!$E:$E)</f>
        <v>BEEF</v>
      </c>
      <c r="E159" s="1">
        <f>(SALES!$F:$F)</f>
        <v>16000</v>
      </c>
      <c r="F159" s="1">
        <f>(SALES!$G:$G)</f>
        <v>32000</v>
      </c>
      <c r="H159" s="2">
        <f>(EXPENSES!$A:$A)</f>
        <v>0</v>
      </c>
      <c r="I159" s="10">
        <f>(EXPENSES!$B:$B)</f>
        <v>0</v>
      </c>
      <c r="J159" s="10">
        <f>(EXPENSES!$C:$C)</f>
        <v>0</v>
      </c>
      <c r="K159" s="10">
        <f>(EXPENSES!$D:$D)</f>
        <v>0</v>
      </c>
      <c r="P159" s="14"/>
      <c r="Q159" s="7"/>
      <c r="R159" s="12"/>
      <c r="S159" s="12"/>
      <c r="T159" s="12"/>
      <c r="U159" s="12"/>
      <c r="EM159" s="1" t="e">
        <f>(#REF!)</f>
        <v>#REF!</v>
      </c>
      <c r="EN159" s="9" t="e">
        <f>(#REF!)</f>
        <v>#REF!</v>
      </c>
      <c r="EO159" s="9" t="e">
        <f>(#REF!)</f>
        <v>#REF!</v>
      </c>
      <c r="EP159" s="9" t="e">
        <f>(#REF!)</f>
        <v>#REF!</v>
      </c>
    </row>
    <row r="160" spans="1:150" ht="18.75" customHeight="1" x14ac:dyDescent="0.3">
      <c r="A160" s="32" t="str">
        <f>(SALES!$A:$A)</f>
        <v>Saturday, 6 January 2024</v>
      </c>
      <c r="B160" s="1">
        <f>(SALES!$C:$C)</f>
        <v>11</v>
      </c>
      <c r="C160" s="1">
        <f>(SALES!$D:$D)</f>
        <v>1</v>
      </c>
      <c r="D160" s="1" t="str">
        <f>(SALES!$E:$E)</f>
        <v>SOUP BONES</v>
      </c>
      <c r="E160" s="1">
        <f>(SALES!$F:$F)</f>
        <v>5000</v>
      </c>
      <c r="F160" s="1">
        <f>(SALES!$G:$G)</f>
        <v>5000</v>
      </c>
      <c r="H160" s="2">
        <f>(EXPENSES!$A:$A)</f>
        <v>0</v>
      </c>
      <c r="I160" s="10">
        <f>(EXPENSES!$B:$B)</f>
        <v>0</v>
      </c>
      <c r="J160" s="10">
        <f>(EXPENSES!$C:$C)</f>
        <v>0</v>
      </c>
      <c r="K160" s="10">
        <f>(EXPENSES!$D:$D)</f>
        <v>0</v>
      </c>
      <c r="P160" s="14"/>
      <c r="Q160" s="7"/>
      <c r="R160" s="12"/>
      <c r="S160" s="12"/>
      <c r="T160" s="12"/>
      <c r="U160" s="12"/>
      <c r="EM160" s="1" t="e">
        <f>(#REF!)</f>
        <v>#REF!</v>
      </c>
      <c r="EN160" s="9" t="e">
        <f>(#REF!)</f>
        <v>#REF!</v>
      </c>
      <c r="EO160" s="9" t="e">
        <f>(#REF!)</f>
        <v>#REF!</v>
      </c>
      <c r="EP160" s="9" t="e">
        <f>(#REF!)</f>
        <v>#REF!</v>
      </c>
    </row>
    <row r="161" spans="1:146" ht="18.75" customHeight="1" x14ac:dyDescent="0.3">
      <c r="A161" s="32" t="str">
        <f>(SALES!$A:$A)</f>
        <v>Saturday, 6 January 2024</v>
      </c>
      <c r="B161" s="1">
        <f>(SALES!$C:$C)</f>
        <v>12</v>
      </c>
      <c r="C161" s="1">
        <f>(SALES!$D:$D)</f>
        <v>3.4</v>
      </c>
      <c r="D161" s="1" t="str">
        <f>(SALES!$E:$E)</f>
        <v>MATOOKE KGS</v>
      </c>
      <c r="E161" s="1">
        <f>(SALES!$F:$F)</f>
        <v>1500</v>
      </c>
      <c r="F161" s="1">
        <f>(SALES!$G:$G)</f>
        <v>5100</v>
      </c>
      <c r="H161" s="2">
        <f>(EXPENSES!$A:$A)</f>
        <v>0</v>
      </c>
      <c r="I161" s="10">
        <f>(EXPENSES!$B:$B)</f>
        <v>0</v>
      </c>
      <c r="J161" s="10">
        <f>(EXPENSES!$C:$C)</f>
        <v>0</v>
      </c>
      <c r="K161" s="10">
        <f>(EXPENSES!$D:$D)</f>
        <v>0</v>
      </c>
      <c r="P161" s="14"/>
      <c r="Q161" s="7"/>
      <c r="R161" s="12"/>
      <c r="S161" s="12"/>
      <c r="T161" s="12"/>
      <c r="U161" s="12"/>
      <c r="EM161" s="1" t="e">
        <f>(#REF!)</f>
        <v>#REF!</v>
      </c>
      <c r="EN161" s="9" t="e">
        <f>(#REF!)</f>
        <v>#REF!</v>
      </c>
      <c r="EO161" s="9" t="e">
        <f>(#REF!)</f>
        <v>#REF!</v>
      </c>
      <c r="EP161" s="9" t="e">
        <f>(#REF!)</f>
        <v>#REF!</v>
      </c>
    </row>
    <row r="162" spans="1:146" ht="18.75" customHeight="1" x14ac:dyDescent="0.3">
      <c r="A162" s="32" t="str">
        <f>(SALES!$A:$A)</f>
        <v>Saturday, 6 January 2024</v>
      </c>
      <c r="B162" s="1">
        <f>(SALES!$C:$C)</f>
        <v>13</v>
      </c>
      <c r="C162" s="1">
        <f>(SALES!$D:$D)</f>
        <v>2</v>
      </c>
      <c r="D162" s="1" t="str">
        <f>(SALES!$E:$E)</f>
        <v>MATOOKE KGS</v>
      </c>
      <c r="E162" s="1">
        <f>(SALES!$F:$F)</f>
        <v>1500</v>
      </c>
      <c r="F162" s="1">
        <f>(SALES!$G:$G)</f>
        <v>3000</v>
      </c>
      <c r="H162" s="2">
        <f>(EXPENSES!$A:$A)</f>
        <v>0</v>
      </c>
      <c r="I162" s="10">
        <f>(EXPENSES!$B:$B)</f>
        <v>0</v>
      </c>
      <c r="J162" s="10">
        <f>(EXPENSES!$C:$C)</f>
        <v>0</v>
      </c>
      <c r="K162" s="10">
        <f>(EXPENSES!$D:$D)</f>
        <v>0</v>
      </c>
      <c r="P162" s="14"/>
      <c r="Q162" s="7"/>
      <c r="R162" s="12"/>
      <c r="S162" s="12"/>
      <c r="T162" s="12"/>
      <c r="U162" s="12"/>
      <c r="EM162" s="1" t="e">
        <f>(#REF!)</f>
        <v>#REF!</v>
      </c>
      <c r="EN162" s="9" t="e">
        <f>(#REF!)</f>
        <v>#REF!</v>
      </c>
      <c r="EO162" s="9" t="e">
        <f>(#REF!)</f>
        <v>#REF!</v>
      </c>
      <c r="EP162" s="9" t="e">
        <f>(#REF!)</f>
        <v>#REF!</v>
      </c>
    </row>
    <row r="163" spans="1:146" ht="18.75" customHeight="1" x14ac:dyDescent="0.3">
      <c r="A163" s="32" t="str">
        <f>(SALES!$A:$A)</f>
        <v>Saturday, 6 January 2024</v>
      </c>
      <c r="B163" s="1">
        <f>(SALES!$C:$C)</f>
        <v>14</v>
      </c>
      <c r="C163" s="1">
        <f>(SALES!$D:$D)</f>
        <v>1</v>
      </c>
      <c r="D163" s="1" t="str">
        <f>(SALES!$E:$E)</f>
        <v>MATOOKE</v>
      </c>
      <c r="E163" s="1">
        <f>(SALES!$F:$F)</f>
        <v>10000</v>
      </c>
      <c r="F163" s="1">
        <f>(SALES!$G:$G)</f>
        <v>10000</v>
      </c>
      <c r="H163" s="2">
        <f>(EXPENSES!$A:$A)</f>
        <v>0</v>
      </c>
      <c r="I163" s="10">
        <f>(EXPENSES!$B:$B)</f>
        <v>0</v>
      </c>
      <c r="J163" s="10">
        <f>(EXPENSES!$C:$C)</f>
        <v>0</v>
      </c>
      <c r="K163" s="10">
        <f>(EXPENSES!$D:$D)</f>
        <v>0</v>
      </c>
      <c r="P163" s="14"/>
      <c r="Q163" s="7"/>
      <c r="R163" s="12"/>
      <c r="S163" s="12"/>
      <c r="T163" s="12"/>
      <c r="U163" s="12"/>
      <c r="EM163" s="1" t="e">
        <f>(#REF!)</f>
        <v>#REF!</v>
      </c>
      <c r="EN163" s="9" t="e">
        <f>(#REF!)</f>
        <v>#REF!</v>
      </c>
      <c r="EO163" s="9" t="e">
        <f>(#REF!)</f>
        <v>#REF!</v>
      </c>
      <c r="EP163" s="9" t="e">
        <f>(#REF!)</f>
        <v>#REF!</v>
      </c>
    </row>
    <row r="164" spans="1:146" ht="18.75" customHeight="1" x14ac:dyDescent="0.3">
      <c r="A164" s="32" t="str">
        <f>(SALES!$A:$A)</f>
        <v>Saturday, 6 January 2024</v>
      </c>
      <c r="B164" s="1">
        <f>(SALES!$C:$C)</f>
        <v>15</v>
      </c>
      <c r="C164" s="1">
        <f>(SALES!$D:$D)</f>
        <v>4.7</v>
      </c>
      <c r="D164" s="1" t="str">
        <f>(SALES!$E:$E)</f>
        <v>MATOOKE KGS</v>
      </c>
      <c r="E164" s="1">
        <f>(SALES!$F:$F)</f>
        <v>1500</v>
      </c>
      <c r="F164" s="1">
        <f>(SALES!$G:$G)</f>
        <v>7050</v>
      </c>
      <c r="H164" s="2">
        <f>(EXPENSES!$A:$A)</f>
        <v>0</v>
      </c>
      <c r="I164" s="10">
        <f>(EXPENSES!$B:$B)</f>
        <v>0</v>
      </c>
      <c r="J164" s="10">
        <f>(EXPENSES!$C:$C)</f>
        <v>0</v>
      </c>
      <c r="K164" s="10">
        <f>(EXPENSES!$D:$D)</f>
        <v>0</v>
      </c>
      <c r="P164" s="14"/>
      <c r="Q164" s="7"/>
      <c r="R164" s="12"/>
      <c r="S164" s="12"/>
      <c r="T164" s="12"/>
      <c r="U164" s="12"/>
      <c r="EM164" s="1" t="e">
        <f>(#REF!)</f>
        <v>#REF!</v>
      </c>
      <c r="EN164" s="9" t="e">
        <f>(#REF!)</f>
        <v>#REF!</v>
      </c>
      <c r="EO164" s="9" t="e">
        <f>(#REF!)</f>
        <v>#REF!</v>
      </c>
      <c r="EP164" s="9" t="e">
        <f>(#REF!)</f>
        <v>#REF!</v>
      </c>
    </row>
    <row r="165" spans="1:146" ht="18.75" customHeight="1" x14ac:dyDescent="0.3">
      <c r="A165" s="32" t="str">
        <f>(SALES!$A:$A)</f>
        <v>Saturday, 6 January 2024</v>
      </c>
      <c r="B165" s="1">
        <f>(SALES!$C:$C)</f>
        <v>17</v>
      </c>
      <c r="C165" s="1">
        <f>(SALES!$D:$D)</f>
        <v>2</v>
      </c>
      <c r="D165" s="1" t="str">
        <f>(SALES!$E:$E)</f>
        <v>MATOOKE</v>
      </c>
      <c r="E165" s="1">
        <f>(SALES!$F:$F)</f>
        <v>17500</v>
      </c>
      <c r="F165" s="1">
        <f>(SALES!$G:$G)</f>
        <v>35000</v>
      </c>
      <c r="H165" s="2">
        <f>(EXPENSES!$A:$A)</f>
        <v>0</v>
      </c>
      <c r="I165" s="10">
        <f>(EXPENSES!$B:$B)</f>
        <v>0</v>
      </c>
      <c r="J165" s="10">
        <f>(EXPENSES!$C:$C)</f>
        <v>0</v>
      </c>
      <c r="K165" s="10">
        <f>(EXPENSES!$D:$D)</f>
        <v>0</v>
      </c>
      <c r="P165" s="14"/>
      <c r="Q165" s="7"/>
      <c r="R165" s="12"/>
      <c r="S165" s="12"/>
      <c r="T165" s="12"/>
      <c r="U165" s="12"/>
      <c r="EM165" s="1" t="e">
        <f>(#REF!)</f>
        <v>#REF!</v>
      </c>
      <c r="EN165" s="9" t="e">
        <f>(#REF!)</f>
        <v>#REF!</v>
      </c>
      <c r="EO165" s="9" t="e">
        <f>(#REF!)</f>
        <v>#REF!</v>
      </c>
      <c r="EP165" s="9" t="e">
        <f>(#REF!)</f>
        <v>#REF!</v>
      </c>
    </row>
    <row r="166" spans="1:146" ht="18.75" customHeight="1" x14ac:dyDescent="0.3">
      <c r="A166" s="32" t="str">
        <f>(SALES!$A:$A)</f>
        <v>Saturday, 6 January 2024</v>
      </c>
      <c r="B166" s="1">
        <f>(SALES!$C:$C)</f>
        <v>18</v>
      </c>
      <c r="C166" s="1">
        <f>(SALES!$D:$D)</f>
        <v>1</v>
      </c>
      <c r="D166" s="1" t="str">
        <f>(SALES!$E:$E)</f>
        <v>MATOOKE</v>
      </c>
      <c r="E166" s="1">
        <f>(SALES!$F:$F)</f>
        <v>10000</v>
      </c>
      <c r="F166" s="1">
        <f>(SALES!$G:$G)</f>
        <v>10000</v>
      </c>
      <c r="H166" s="2">
        <f>(EXPENSES!$A:$A)</f>
        <v>0</v>
      </c>
      <c r="I166" s="10">
        <f>(EXPENSES!$B:$B)</f>
        <v>0</v>
      </c>
      <c r="J166" s="10">
        <f>(EXPENSES!$C:$C)</f>
        <v>0</v>
      </c>
      <c r="K166" s="10">
        <f>(EXPENSES!$D:$D)</f>
        <v>0</v>
      </c>
      <c r="P166" s="14"/>
      <c r="Q166" s="7"/>
      <c r="R166" s="12"/>
      <c r="S166" s="12"/>
      <c r="T166" s="12"/>
      <c r="U166" s="12"/>
      <c r="EM166" s="1" t="e">
        <f>(#REF!)</f>
        <v>#REF!</v>
      </c>
      <c r="EN166" s="9" t="e">
        <f>(#REF!)</f>
        <v>#REF!</v>
      </c>
      <c r="EO166" s="9" t="e">
        <f>(#REF!)</f>
        <v>#REF!</v>
      </c>
      <c r="EP166" s="9" t="e">
        <f>(#REF!)</f>
        <v>#REF!</v>
      </c>
    </row>
    <row r="167" spans="1:146" ht="18.75" customHeight="1" x14ac:dyDescent="0.3">
      <c r="A167" s="32" t="str">
        <f>(SALES!$A:$A)</f>
        <v>Saturday, 6 January 2024</v>
      </c>
      <c r="B167" s="1">
        <f>(SALES!$C:$C)</f>
        <v>19</v>
      </c>
      <c r="C167" s="1">
        <f>(SALES!$D:$D)</f>
        <v>4</v>
      </c>
      <c r="D167" s="1" t="str">
        <f>(SALES!$E:$E)</f>
        <v>MILK</v>
      </c>
      <c r="E167" s="1">
        <f>(SALES!$F:$F)</f>
        <v>2000</v>
      </c>
      <c r="F167" s="1">
        <f>(SALES!$G:$G)</f>
        <v>8000</v>
      </c>
      <c r="H167" s="2">
        <f>(EXPENSES!$A:$A)</f>
        <v>0</v>
      </c>
      <c r="I167" s="10">
        <f>(EXPENSES!$B:$B)</f>
        <v>0</v>
      </c>
      <c r="J167" s="10">
        <f>(EXPENSES!$C:$C)</f>
        <v>0</v>
      </c>
      <c r="K167" s="10">
        <f>(EXPENSES!$D:$D)</f>
        <v>0</v>
      </c>
      <c r="P167" s="14"/>
      <c r="Q167" s="7"/>
      <c r="R167" s="12"/>
      <c r="S167" s="12"/>
      <c r="T167" s="12"/>
      <c r="U167" s="12"/>
      <c r="EM167" s="1" t="e">
        <f>(#REF!)</f>
        <v>#REF!</v>
      </c>
      <c r="EN167" s="9" t="e">
        <f>(#REF!)</f>
        <v>#REF!</v>
      </c>
      <c r="EO167" s="9" t="e">
        <f>(#REF!)</f>
        <v>#REF!</v>
      </c>
      <c r="EP167" s="9" t="e">
        <f>(#REF!)</f>
        <v>#REF!</v>
      </c>
    </row>
    <row r="168" spans="1:146" ht="18.75" customHeight="1" x14ac:dyDescent="0.3">
      <c r="A168" s="32" t="str">
        <f>(SALES!$A:$A)</f>
        <v>Saturday, 6 January 2024</v>
      </c>
      <c r="B168" s="1">
        <f>(SALES!$C:$C)</f>
        <v>20</v>
      </c>
      <c r="C168" s="1">
        <f>(SALES!$D:$D)</f>
        <v>5</v>
      </c>
      <c r="D168" s="1" t="str">
        <f>(SALES!$E:$E)</f>
        <v>MILK</v>
      </c>
      <c r="E168" s="1">
        <f>(SALES!$F:$F)</f>
        <v>2000</v>
      </c>
      <c r="F168" s="1">
        <f>(SALES!$G:$G)</f>
        <v>10000</v>
      </c>
      <c r="H168" s="2">
        <f>(EXPENSES!$A:$A)</f>
        <v>0</v>
      </c>
      <c r="I168" s="10">
        <f>(EXPENSES!$B:$B)</f>
        <v>0</v>
      </c>
      <c r="J168" s="10">
        <f>(EXPENSES!$C:$C)</f>
        <v>0</v>
      </c>
      <c r="K168" s="10">
        <f>(EXPENSES!$D:$D)</f>
        <v>0</v>
      </c>
      <c r="P168" s="14"/>
      <c r="Q168" s="7"/>
      <c r="R168" s="12"/>
      <c r="S168" s="12"/>
      <c r="T168" s="12"/>
      <c r="U168" s="12"/>
      <c r="EM168" s="1" t="e">
        <f>(#REF!)</f>
        <v>#REF!</v>
      </c>
      <c r="EN168" s="9" t="e">
        <f>(#REF!)</f>
        <v>#REF!</v>
      </c>
      <c r="EO168" s="9" t="e">
        <f>(#REF!)</f>
        <v>#REF!</v>
      </c>
      <c r="EP168" s="9" t="e">
        <f>(#REF!)</f>
        <v>#REF!</v>
      </c>
    </row>
    <row r="169" spans="1:146" ht="18.75" customHeight="1" x14ac:dyDescent="0.3">
      <c r="A169" s="32" t="str">
        <f>(SALES!$A:$A)</f>
        <v>Saturday, 6 January 2024</v>
      </c>
      <c r="B169" s="1">
        <f>(SALES!$C:$C)</f>
        <v>21</v>
      </c>
      <c r="C169" s="1">
        <f>(SALES!$D:$D)</f>
        <v>1</v>
      </c>
      <c r="D169" s="1" t="str">
        <f>(SALES!$E:$E)</f>
        <v>OFFALS</v>
      </c>
      <c r="E169" s="1">
        <f>(SALES!$F:$F)</f>
        <v>12000</v>
      </c>
      <c r="F169" s="1">
        <f>(SALES!$G:$G)</f>
        <v>12000</v>
      </c>
      <c r="H169" s="2">
        <f>(EXPENSES!$A:$A)</f>
        <v>0</v>
      </c>
      <c r="I169" s="10">
        <f>(EXPENSES!$B:$B)</f>
        <v>0</v>
      </c>
      <c r="J169" s="10">
        <f>(EXPENSES!$C:$C)</f>
        <v>0</v>
      </c>
      <c r="K169" s="10">
        <f>(EXPENSES!$D:$D)</f>
        <v>0</v>
      </c>
      <c r="P169" s="14"/>
      <c r="Q169" s="7"/>
      <c r="R169" s="12"/>
      <c r="S169" s="12"/>
      <c r="T169" s="12"/>
      <c r="U169" s="12"/>
      <c r="EM169" s="1" t="e">
        <f>(#REF!)</f>
        <v>#REF!</v>
      </c>
      <c r="EN169" s="9" t="e">
        <f>(#REF!)</f>
        <v>#REF!</v>
      </c>
      <c r="EO169" s="9" t="e">
        <f>(#REF!)</f>
        <v>#REF!</v>
      </c>
      <c r="EP169" s="9" t="e">
        <f>(#REF!)</f>
        <v>#REF!</v>
      </c>
    </row>
    <row r="170" spans="1:146" ht="18.75" customHeight="1" x14ac:dyDescent="0.3">
      <c r="A170" s="32" t="str">
        <f>(SALES!$A:$A)</f>
        <v>Saturday, 6 January 2024</v>
      </c>
      <c r="B170" s="1">
        <f>(SALES!$C:$C)</f>
        <v>22</v>
      </c>
      <c r="C170" s="1">
        <f>(SALES!$D:$D)</f>
        <v>15.6</v>
      </c>
      <c r="D170" s="1" t="str">
        <f>(SALES!$E:$E)</f>
        <v>GOAT</v>
      </c>
      <c r="E170" s="1">
        <f>(SALES!$F:$F)</f>
        <v>20000</v>
      </c>
      <c r="F170" s="1">
        <f>(SALES!$G:$G)</f>
        <v>312000</v>
      </c>
      <c r="H170" s="2">
        <f>(EXPENSES!$A:$A)</f>
        <v>0</v>
      </c>
      <c r="I170" s="10">
        <f>(EXPENSES!$B:$B)</f>
        <v>0</v>
      </c>
      <c r="J170" s="10">
        <f>(EXPENSES!$C:$C)</f>
        <v>0</v>
      </c>
      <c r="K170" s="10">
        <f>(EXPENSES!$D:$D)</f>
        <v>0</v>
      </c>
      <c r="P170" s="14"/>
      <c r="Q170" s="7"/>
      <c r="R170" s="12"/>
      <c r="S170" s="12"/>
      <c r="T170" s="12"/>
      <c r="U170" s="12"/>
      <c r="EM170" s="1" t="e">
        <f>(#REF!)</f>
        <v>#REF!</v>
      </c>
      <c r="EN170" s="9" t="e">
        <f>(#REF!)</f>
        <v>#REF!</v>
      </c>
      <c r="EO170" s="9" t="e">
        <f>(#REF!)</f>
        <v>#REF!</v>
      </c>
      <c r="EP170" s="9" t="e">
        <f>(#REF!)</f>
        <v>#REF!</v>
      </c>
    </row>
    <row r="171" spans="1:146" ht="18.75" customHeight="1" x14ac:dyDescent="0.3">
      <c r="A171" s="32" t="str">
        <f>(SALES!$A:$A)</f>
        <v>Saturday, 6 January 2024</v>
      </c>
      <c r="B171" s="1">
        <f>(SALES!$C:$C)</f>
        <v>23</v>
      </c>
      <c r="C171" s="1">
        <f>(SALES!$D:$D)</f>
        <v>3.3</v>
      </c>
      <c r="D171" s="1" t="str">
        <f>(SALES!$E:$E)</f>
        <v>MATOOKE KGS</v>
      </c>
      <c r="E171" s="1">
        <f>(SALES!$F:$F)</f>
        <v>1500</v>
      </c>
      <c r="F171" s="1">
        <f>(SALES!$G:$G)</f>
        <v>4950</v>
      </c>
      <c r="H171" s="2">
        <f>(EXPENSES!$A:$A)</f>
        <v>0</v>
      </c>
      <c r="I171" s="10">
        <f>(EXPENSES!$B:$B)</f>
        <v>0</v>
      </c>
      <c r="J171" s="10">
        <f>(EXPENSES!$C:$C)</f>
        <v>0</v>
      </c>
      <c r="K171" s="10">
        <f>(EXPENSES!$D:$D)</f>
        <v>0</v>
      </c>
      <c r="P171" s="14"/>
      <c r="Q171" s="7"/>
      <c r="R171" s="12"/>
      <c r="S171" s="12"/>
      <c r="T171" s="12"/>
      <c r="U171" s="12"/>
      <c r="EM171" s="1" t="e">
        <f>(#REF!)</f>
        <v>#REF!</v>
      </c>
      <c r="EN171" s="9" t="e">
        <f>(#REF!)</f>
        <v>#REF!</v>
      </c>
      <c r="EO171" s="9" t="e">
        <f>(#REF!)</f>
        <v>#REF!</v>
      </c>
      <c r="EP171" s="9" t="e">
        <f>(#REF!)</f>
        <v>#REF!</v>
      </c>
    </row>
    <row r="172" spans="1:146" ht="18.75" customHeight="1" x14ac:dyDescent="0.3">
      <c r="A172" s="32" t="str">
        <f>(SALES!$A:$A)</f>
        <v>Saturday, 6 January 2024</v>
      </c>
      <c r="B172" s="1">
        <f>(SALES!$C:$C)</f>
        <v>24</v>
      </c>
      <c r="C172" s="1">
        <f>(SALES!$D:$D)</f>
        <v>1</v>
      </c>
      <c r="D172" s="1" t="str">
        <f>(SALES!$E:$E)</f>
        <v>BEEF</v>
      </c>
      <c r="E172" s="1">
        <f>(SALES!$F:$F)</f>
        <v>16000</v>
      </c>
      <c r="F172" s="1">
        <f>(SALES!$G:$G)</f>
        <v>16000</v>
      </c>
      <c r="H172" s="2">
        <f>(EXPENSES!$A:$A)</f>
        <v>0</v>
      </c>
      <c r="I172" s="10">
        <f>(EXPENSES!$B:$B)</f>
        <v>0</v>
      </c>
      <c r="J172" s="10">
        <f>(EXPENSES!$C:$C)</f>
        <v>0</v>
      </c>
      <c r="K172" s="10">
        <f>(EXPENSES!$D:$D)</f>
        <v>0</v>
      </c>
      <c r="P172" s="14"/>
      <c r="Q172" s="7"/>
      <c r="R172" s="12"/>
      <c r="S172" s="12"/>
      <c r="T172" s="12"/>
      <c r="U172" s="12"/>
      <c r="EM172" s="1" t="e">
        <f>(#REF!)</f>
        <v>#REF!</v>
      </c>
      <c r="EN172" s="9" t="e">
        <f>(#REF!)</f>
        <v>#REF!</v>
      </c>
      <c r="EO172" s="9" t="e">
        <f>(#REF!)</f>
        <v>#REF!</v>
      </c>
      <c r="EP172" s="9" t="e">
        <f>(#REF!)</f>
        <v>#REF!</v>
      </c>
    </row>
    <row r="173" spans="1:146" ht="18.75" customHeight="1" x14ac:dyDescent="0.3">
      <c r="A173" s="32" t="str">
        <f>(SALES!$A:$A)</f>
        <v>Saturday, 6 January 2024</v>
      </c>
      <c r="B173" s="1">
        <f>(SALES!$C:$C)</f>
        <v>25</v>
      </c>
      <c r="C173" s="1">
        <f>(SALES!$D:$D)</f>
        <v>2</v>
      </c>
      <c r="D173" s="1" t="str">
        <f>(SALES!$E:$E)</f>
        <v>MINCED BEEF</v>
      </c>
      <c r="E173" s="1">
        <f>(SALES!$F:$F)</f>
        <v>22000</v>
      </c>
      <c r="F173" s="1">
        <f>(SALES!$G:$G)</f>
        <v>44000</v>
      </c>
      <c r="H173" s="2">
        <f>(EXPENSES!$A:$A)</f>
        <v>0</v>
      </c>
      <c r="I173" s="10">
        <f>(EXPENSES!$B:$B)</f>
        <v>0</v>
      </c>
      <c r="J173" s="10">
        <f>(EXPENSES!$C:$C)</f>
        <v>0</v>
      </c>
      <c r="K173" s="10">
        <f>(EXPENSES!$D:$D)</f>
        <v>0</v>
      </c>
      <c r="P173" s="14"/>
      <c r="Q173" s="7"/>
      <c r="R173" s="12"/>
      <c r="S173" s="12"/>
      <c r="T173" s="12"/>
      <c r="U173" s="12"/>
      <c r="EM173" s="1" t="e">
        <f>(#REF!)</f>
        <v>#REF!</v>
      </c>
      <c r="EN173" s="9" t="e">
        <f>(#REF!)</f>
        <v>#REF!</v>
      </c>
      <c r="EO173" s="9" t="e">
        <f>(#REF!)</f>
        <v>#REF!</v>
      </c>
      <c r="EP173" s="9" t="e">
        <f>(#REF!)</f>
        <v>#REF!</v>
      </c>
    </row>
    <row r="174" spans="1:146" ht="18.75" customHeight="1" x14ac:dyDescent="0.3">
      <c r="A174" s="32" t="str">
        <f>(SALES!$A:$A)</f>
        <v>Saturday, 6 January 2024</v>
      </c>
      <c r="B174" s="1">
        <f>(SALES!$C:$C)</f>
        <v>26</v>
      </c>
      <c r="C174" s="1">
        <f>(SALES!$D:$D)</f>
        <v>2</v>
      </c>
      <c r="D174" s="1" t="str">
        <f>(SALES!$E:$E)</f>
        <v>SHREDDED BEEF</v>
      </c>
      <c r="E174" s="1">
        <f>(SALES!$F:$F)</f>
        <v>24000</v>
      </c>
      <c r="F174" s="1">
        <f>(SALES!$G:$G)</f>
        <v>48000</v>
      </c>
      <c r="H174" s="2">
        <f>(EXPENSES!$A:$A)</f>
        <v>0</v>
      </c>
      <c r="I174" s="10">
        <f>(EXPENSES!$B:$B)</f>
        <v>0</v>
      </c>
      <c r="J174" s="10">
        <f>(EXPENSES!$C:$C)</f>
        <v>0</v>
      </c>
      <c r="K174" s="10">
        <f>(EXPENSES!$D:$D)</f>
        <v>0</v>
      </c>
      <c r="P174" s="14"/>
      <c r="Q174" s="7"/>
      <c r="R174" s="12"/>
      <c r="S174" s="12"/>
      <c r="T174" s="12"/>
      <c r="U174" s="12"/>
      <c r="EM174" s="1" t="e">
        <f>(#REF!)</f>
        <v>#REF!</v>
      </c>
      <c r="EN174" s="9" t="e">
        <f>(#REF!)</f>
        <v>#REF!</v>
      </c>
      <c r="EO174" s="9" t="e">
        <f>(#REF!)</f>
        <v>#REF!</v>
      </c>
      <c r="EP174" s="9" t="e">
        <f>(#REF!)</f>
        <v>#REF!</v>
      </c>
    </row>
    <row r="175" spans="1:146" ht="18.75" customHeight="1" x14ac:dyDescent="0.3">
      <c r="A175" s="32" t="str">
        <f>(SALES!$A:$A)</f>
        <v>Saturday, 6 January 2024</v>
      </c>
      <c r="B175" s="1">
        <f>(SALES!$C:$C)</f>
        <v>27</v>
      </c>
      <c r="C175" s="1">
        <f>(SALES!$D:$D)</f>
        <v>2</v>
      </c>
      <c r="D175" s="1" t="str">
        <f>(SALES!$E:$E)</f>
        <v>MILK</v>
      </c>
      <c r="E175" s="1">
        <f>(SALES!$F:$F)</f>
        <v>2000</v>
      </c>
      <c r="F175" s="1">
        <f>(SALES!$G:$G)</f>
        <v>4000</v>
      </c>
      <c r="H175" s="2">
        <f>(EXPENSES!$A:$A)</f>
        <v>0</v>
      </c>
      <c r="I175" s="10">
        <f>(EXPENSES!$B:$B)</f>
        <v>0</v>
      </c>
      <c r="J175" s="10">
        <f>(EXPENSES!$C:$C)</f>
        <v>0</v>
      </c>
      <c r="K175" s="10">
        <f>(EXPENSES!$D:$D)</f>
        <v>0</v>
      </c>
      <c r="P175" s="14"/>
      <c r="Q175" s="7"/>
      <c r="R175" s="12"/>
      <c r="S175" s="12"/>
      <c r="T175" s="12"/>
      <c r="U175" s="12"/>
      <c r="EM175" s="1" t="e">
        <f>(#REF!)</f>
        <v>#REF!</v>
      </c>
      <c r="EN175" s="9" t="e">
        <f>(#REF!)</f>
        <v>#REF!</v>
      </c>
      <c r="EO175" s="9" t="e">
        <f>(#REF!)</f>
        <v>#REF!</v>
      </c>
      <c r="EP175" s="9" t="e">
        <f>(#REF!)</f>
        <v>#REF!</v>
      </c>
    </row>
    <row r="176" spans="1:146" ht="18.75" customHeight="1" x14ac:dyDescent="0.3">
      <c r="A176" s="32" t="str">
        <f>(SALES!$A:$A)</f>
        <v>Saturday, 6 January 2024</v>
      </c>
      <c r="B176" s="1">
        <f>(SALES!$C:$C)</f>
        <v>28</v>
      </c>
      <c r="C176" s="1">
        <f>(SALES!$D:$D)</f>
        <v>1</v>
      </c>
      <c r="D176" s="1" t="str">
        <f>(SALES!$E:$E)</f>
        <v>GOAT LEG</v>
      </c>
      <c r="E176" s="1">
        <f>(SALES!$F:$F)</f>
        <v>22000</v>
      </c>
      <c r="F176" s="1">
        <f>(SALES!$G:$G)</f>
        <v>22000</v>
      </c>
      <c r="H176" s="2">
        <f>(EXPENSES!$A:$A)</f>
        <v>0</v>
      </c>
      <c r="I176" s="10">
        <f>(EXPENSES!$B:$B)</f>
        <v>0</v>
      </c>
      <c r="J176" s="10">
        <f>(EXPENSES!$C:$C)</f>
        <v>0</v>
      </c>
      <c r="K176" s="10">
        <f>(EXPENSES!$D:$D)</f>
        <v>0</v>
      </c>
      <c r="P176" s="14"/>
      <c r="Q176" s="7"/>
      <c r="R176" s="12"/>
      <c r="S176" s="12"/>
      <c r="T176" s="12"/>
      <c r="U176" s="12"/>
      <c r="EM176" s="1" t="e">
        <f>(#REF!)</f>
        <v>#REF!</v>
      </c>
      <c r="EN176" s="9" t="e">
        <f>(#REF!)</f>
        <v>#REF!</v>
      </c>
      <c r="EO176" s="9" t="e">
        <f>(#REF!)</f>
        <v>#REF!</v>
      </c>
      <c r="EP176" s="9" t="e">
        <f>(#REF!)</f>
        <v>#REF!</v>
      </c>
    </row>
    <row r="177" spans="1:21" ht="18.75" customHeight="1" x14ac:dyDescent="0.3">
      <c r="A177" s="32" t="str">
        <f>(SALES!$A:$A)</f>
        <v>Saturday, 6 January 2024</v>
      </c>
      <c r="B177" s="1">
        <f>(SALES!$C:$C)</f>
        <v>29</v>
      </c>
      <c r="C177" s="1">
        <f>(SALES!$D:$D)</f>
        <v>3.4</v>
      </c>
      <c r="D177" s="1" t="str">
        <f>(SALES!$E:$E)</f>
        <v>MATOOKE KGS</v>
      </c>
      <c r="E177" s="1">
        <f>(SALES!$F:$F)</f>
        <v>1500</v>
      </c>
      <c r="F177" s="1">
        <f>(SALES!$G:$G)</f>
        <v>5100</v>
      </c>
      <c r="H177" s="2">
        <f>(EXPENSES!$A:$A)</f>
        <v>0</v>
      </c>
      <c r="I177" s="10">
        <f>(EXPENSES!$B:$B)</f>
        <v>0</v>
      </c>
      <c r="J177" s="10">
        <f>(EXPENSES!$C:$C)</f>
        <v>0</v>
      </c>
      <c r="K177" s="10">
        <f>(EXPENSES!$D:$D)</f>
        <v>0</v>
      </c>
      <c r="P177" s="14"/>
      <c r="Q177" s="7"/>
      <c r="R177" s="12"/>
      <c r="S177" s="12"/>
      <c r="T177" s="12"/>
      <c r="U177" s="12"/>
    </row>
    <row r="178" spans="1:21" ht="18.75" customHeight="1" x14ac:dyDescent="0.3">
      <c r="A178" s="32" t="str">
        <f>(SALES!$A:$A)</f>
        <v>Saturday, 6 January 2024</v>
      </c>
      <c r="B178" s="1">
        <f>(SALES!$C:$C)</f>
        <v>30</v>
      </c>
      <c r="C178" s="1">
        <f>(SALES!$D:$D)</f>
        <v>2</v>
      </c>
      <c r="D178" s="1" t="str">
        <f>(SALES!$E:$E)</f>
        <v>MATOOKE KGS</v>
      </c>
      <c r="E178" s="1">
        <f>(SALES!$F:$F)</f>
        <v>1500</v>
      </c>
      <c r="F178" s="1">
        <f>(SALES!$G:$G)</f>
        <v>3000</v>
      </c>
      <c r="H178" s="2">
        <f>(EXPENSES!$A:$A)</f>
        <v>0</v>
      </c>
      <c r="I178" s="10">
        <f>(EXPENSES!$B:$B)</f>
        <v>0</v>
      </c>
      <c r="J178" s="10">
        <f>(EXPENSES!$C:$C)</f>
        <v>0</v>
      </c>
      <c r="K178" s="10">
        <f>(EXPENSES!$D:$D)</f>
        <v>0</v>
      </c>
      <c r="P178" s="14"/>
      <c r="Q178" s="7"/>
      <c r="R178" s="12"/>
      <c r="S178" s="12"/>
      <c r="T178" s="12"/>
      <c r="U178" s="12"/>
    </row>
    <row r="179" spans="1:21" ht="18.75" customHeight="1" x14ac:dyDescent="0.3">
      <c r="A179" s="32" t="str">
        <f>(SALES!$A:$A)</f>
        <v>Saturday, 6 January 2024</v>
      </c>
      <c r="B179" s="1">
        <f>(SALES!$C:$C)</f>
        <v>31</v>
      </c>
      <c r="C179" s="1">
        <f>(SALES!$D:$D)</f>
        <v>1</v>
      </c>
      <c r="D179" s="1" t="str">
        <f>(SALES!$E:$E)</f>
        <v>GONJA</v>
      </c>
      <c r="E179" s="1">
        <f>(SALES!$F:$F)</f>
        <v>5000</v>
      </c>
      <c r="F179" s="1">
        <f>(SALES!$G:$G)</f>
        <v>5000</v>
      </c>
      <c r="H179" s="2">
        <f>(EXPENSES!$A:$A)</f>
        <v>0</v>
      </c>
      <c r="I179" s="10">
        <f>(EXPENSES!$B:$B)</f>
        <v>0</v>
      </c>
      <c r="J179" s="10">
        <f>(EXPENSES!$C:$C)</f>
        <v>0</v>
      </c>
      <c r="K179" s="10">
        <f>(EXPENSES!$D:$D)</f>
        <v>0</v>
      </c>
      <c r="P179" s="14"/>
      <c r="Q179" s="7"/>
      <c r="R179" s="12"/>
      <c r="S179" s="12"/>
      <c r="T179" s="12"/>
      <c r="U179" s="12"/>
    </row>
    <row r="180" spans="1:21" ht="18.75" customHeight="1" x14ac:dyDescent="0.3">
      <c r="A180" s="32" t="str">
        <f>(SALES!$A:$A)</f>
        <v>Saturday, 6 January 2024</v>
      </c>
      <c r="B180" s="1">
        <f>(SALES!$C:$C)</f>
        <v>33</v>
      </c>
      <c r="C180" s="1">
        <f>(SALES!$D:$D)</f>
        <v>1</v>
      </c>
      <c r="D180" s="1" t="str">
        <f>(SALES!$E:$E)</f>
        <v>MATOOKE</v>
      </c>
      <c r="E180" s="1">
        <f>(SALES!$F:$F)</f>
        <v>10000</v>
      </c>
      <c r="F180" s="1">
        <f>(SALES!$G:$G)</f>
        <v>10000</v>
      </c>
      <c r="H180" s="2">
        <f>(EXPENSES!$A:$A)</f>
        <v>0</v>
      </c>
      <c r="I180" s="10">
        <f>(EXPENSES!$B:$B)</f>
        <v>0</v>
      </c>
      <c r="J180" s="10">
        <f>(EXPENSES!$C:$C)</f>
        <v>0</v>
      </c>
      <c r="K180" s="10">
        <f>(EXPENSES!$D:$D)</f>
        <v>0</v>
      </c>
      <c r="P180" s="14"/>
      <c r="Q180" s="7"/>
      <c r="R180" s="12"/>
      <c r="S180" s="12"/>
      <c r="T180" s="12"/>
      <c r="U180" s="12"/>
    </row>
    <row r="181" spans="1:21" ht="18.75" customHeight="1" x14ac:dyDescent="0.3">
      <c r="A181" s="32" t="str">
        <f>(SALES!$A:$A)</f>
        <v>Saturday, 6 January 2024</v>
      </c>
      <c r="B181" s="1">
        <f>(SALES!$C:$C)</f>
        <v>35</v>
      </c>
      <c r="C181" s="1">
        <f>(SALES!$D:$D)</f>
        <v>0.5</v>
      </c>
      <c r="D181" s="1" t="str">
        <f>(SALES!$E:$E)</f>
        <v>BONELESS BEEF</v>
      </c>
      <c r="E181" s="1">
        <f>(SALES!$F:$F)</f>
        <v>22000</v>
      </c>
      <c r="F181" s="1">
        <f>(SALES!$G:$G)</f>
        <v>11000</v>
      </c>
      <c r="H181" s="2">
        <f>(EXPENSES!$A:$A)</f>
        <v>0</v>
      </c>
      <c r="I181" s="10">
        <f>(EXPENSES!$B:$B)</f>
        <v>0</v>
      </c>
      <c r="J181" s="10">
        <f>(EXPENSES!$C:$C)</f>
        <v>0</v>
      </c>
      <c r="K181" s="10">
        <f>(EXPENSES!$D:$D)</f>
        <v>0</v>
      </c>
      <c r="P181" s="14"/>
      <c r="Q181" s="7"/>
      <c r="R181" s="12"/>
      <c r="S181" s="12"/>
      <c r="T181" s="12"/>
      <c r="U181" s="12"/>
    </row>
    <row r="182" spans="1:21" ht="18.75" customHeight="1" x14ac:dyDescent="0.3">
      <c r="A182" s="32" t="str">
        <f>(SALES!$A:$A)</f>
        <v>Saturday, 6 January 2024</v>
      </c>
      <c r="B182" s="1">
        <f>(SALES!$C:$C)</f>
        <v>36</v>
      </c>
      <c r="C182" s="1">
        <f>(SALES!$D:$D)</f>
        <v>1</v>
      </c>
      <c r="D182" s="1" t="str">
        <f>(SALES!$E:$E)</f>
        <v>YELLOW YOLK EGGS</v>
      </c>
      <c r="E182" s="1">
        <f>(SALES!$F:$F)</f>
        <v>20000</v>
      </c>
      <c r="F182" s="1">
        <f>(SALES!$G:$G)</f>
        <v>20000</v>
      </c>
      <c r="H182" s="2">
        <f>(EXPENSES!$A:$A)</f>
        <v>0</v>
      </c>
      <c r="I182" s="10">
        <f>(EXPENSES!$B:$B)</f>
        <v>0</v>
      </c>
      <c r="J182" s="10">
        <f>(EXPENSES!$C:$C)</f>
        <v>0</v>
      </c>
      <c r="K182" s="10">
        <f>(EXPENSES!$D:$D)</f>
        <v>0</v>
      </c>
      <c r="P182" s="14"/>
      <c r="Q182" s="7"/>
      <c r="R182" s="12"/>
      <c r="S182" s="12"/>
      <c r="T182" s="12"/>
      <c r="U182" s="12"/>
    </row>
    <row r="183" spans="1:21" ht="18.75" customHeight="1" x14ac:dyDescent="0.3">
      <c r="A183" s="32" t="str">
        <f>(SALES!$A:$A)</f>
        <v>Saturday, 6 January 2024</v>
      </c>
      <c r="B183" s="1">
        <f>(SALES!$C:$C)</f>
        <v>37</v>
      </c>
      <c r="C183" s="1">
        <f>(SALES!$D:$D)</f>
        <v>1</v>
      </c>
      <c r="D183" s="1" t="str">
        <f>(SALES!$E:$E)</f>
        <v>PLAIN YOGHURT</v>
      </c>
      <c r="E183" s="1">
        <f>(SALES!$F:$F)</f>
        <v>4000</v>
      </c>
      <c r="F183" s="1">
        <f>(SALES!$G:$G)</f>
        <v>4000</v>
      </c>
      <c r="H183" s="2">
        <f>(EXPENSES!$A:$A)</f>
        <v>0</v>
      </c>
      <c r="I183" s="10">
        <f>(EXPENSES!$B:$B)</f>
        <v>0</v>
      </c>
      <c r="J183" s="10">
        <f>(EXPENSES!$C:$C)</f>
        <v>0</v>
      </c>
      <c r="K183" s="10">
        <f>(EXPENSES!$D:$D)</f>
        <v>0</v>
      </c>
      <c r="P183" s="14"/>
      <c r="Q183" s="7"/>
      <c r="R183" s="12"/>
      <c r="S183" s="12"/>
      <c r="T183" s="12"/>
      <c r="U183" s="12"/>
    </row>
    <row r="184" spans="1:21" ht="18.75" customHeight="1" x14ac:dyDescent="0.3">
      <c r="A184" s="32" t="str">
        <f>(SALES!$A:$A)</f>
        <v>Saturday, 6 January 2024</v>
      </c>
      <c r="B184" s="1">
        <f>(SALES!$C:$C)</f>
        <v>38</v>
      </c>
      <c r="C184" s="1">
        <f>(SALES!$D:$D)</f>
        <v>2</v>
      </c>
      <c r="D184" s="1" t="str">
        <f>(SALES!$E:$E)</f>
        <v>PLAIN YOGHURT</v>
      </c>
      <c r="E184" s="1">
        <f>(SALES!$F:$F)</f>
        <v>4000</v>
      </c>
      <c r="F184" s="1">
        <f>(SALES!$G:$G)</f>
        <v>8000</v>
      </c>
      <c r="H184" s="2">
        <f>(EXPENSES!$A:$A)</f>
        <v>0</v>
      </c>
      <c r="I184" s="10">
        <f>(EXPENSES!$B:$B)</f>
        <v>0</v>
      </c>
      <c r="J184" s="10">
        <f>(EXPENSES!$C:$C)</f>
        <v>0</v>
      </c>
      <c r="K184" s="10">
        <f>(EXPENSES!$D:$D)</f>
        <v>0</v>
      </c>
      <c r="P184" s="14"/>
      <c r="Q184" s="7"/>
      <c r="R184" s="12"/>
      <c r="S184" s="12"/>
      <c r="T184" s="12"/>
      <c r="U184" s="12"/>
    </row>
    <row r="185" spans="1:21" ht="18.75" customHeight="1" x14ac:dyDescent="0.3">
      <c r="A185" s="32" t="str">
        <f>(SALES!$A:$A)</f>
        <v>Saturday, 6 January 2024</v>
      </c>
      <c r="B185" s="1">
        <f>(SALES!$C:$C)</f>
        <v>39</v>
      </c>
      <c r="C185" s="1">
        <f>(SALES!$D:$D)</f>
        <v>0.5</v>
      </c>
      <c r="D185" s="1" t="str">
        <f>(SALES!$E:$E)</f>
        <v>MILK</v>
      </c>
      <c r="E185" s="1">
        <f>(SALES!$F:$F)</f>
        <v>2000</v>
      </c>
      <c r="F185" s="1">
        <f>(SALES!$G:$G)</f>
        <v>1000</v>
      </c>
      <c r="H185" s="2">
        <f>(EXPENSES!$A:$A)</f>
        <v>0</v>
      </c>
      <c r="I185" s="10">
        <f>(EXPENSES!$B:$B)</f>
        <v>0</v>
      </c>
      <c r="J185" s="10">
        <f>(EXPENSES!$C:$C)</f>
        <v>0</v>
      </c>
      <c r="K185" s="10">
        <f>(EXPENSES!$D:$D)</f>
        <v>0</v>
      </c>
      <c r="P185" s="14"/>
      <c r="Q185" s="7"/>
      <c r="R185" s="12"/>
      <c r="S185" s="12"/>
      <c r="T185" s="12"/>
      <c r="U185" s="12"/>
    </row>
    <row r="186" spans="1:21" ht="18.75" customHeight="1" x14ac:dyDescent="0.3">
      <c r="A186" s="32" t="str">
        <f>(SALES!$A:$A)</f>
        <v>Saturday, 6 January 2024</v>
      </c>
      <c r="B186" s="1">
        <f>(SALES!$C:$C)</f>
        <v>40</v>
      </c>
      <c r="C186" s="1">
        <f>(SALES!$D:$D)</f>
        <v>1</v>
      </c>
      <c r="D186" s="1" t="str">
        <f>(SALES!$E:$E)</f>
        <v>MATOOKE</v>
      </c>
      <c r="E186" s="1">
        <f>(SALES!$F:$F)</f>
        <v>10000</v>
      </c>
      <c r="F186" s="1">
        <f>(SALES!$G:$G)</f>
        <v>10000</v>
      </c>
      <c r="H186" s="2">
        <f>(EXPENSES!$A:$A)</f>
        <v>0</v>
      </c>
      <c r="I186" s="10">
        <f>(EXPENSES!$B:$B)</f>
        <v>0</v>
      </c>
      <c r="J186" s="10">
        <f>(EXPENSES!$C:$C)</f>
        <v>0</v>
      </c>
      <c r="K186" s="10">
        <f>(EXPENSES!$D:$D)</f>
        <v>0</v>
      </c>
      <c r="P186" s="14"/>
      <c r="Q186" s="7"/>
      <c r="R186" s="12"/>
      <c r="S186" s="12"/>
      <c r="T186" s="12"/>
      <c r="U186" s="12"/>
    </row>
    <row r="187" spans="1:21" ht="18.75" customHeight="1" x14ac:dyDescent="0.3">
      <c r="A187" s="32" t="str">
        <f>(SALES!$A:$A)</f>
        <v>Saturday, 6 January 2024</v>
      </c>
      <c r="B187" s="1">
        <f>(SALES!$C:$C)</f>
        <v>41</v>
      </c>
      <c r="C187" s="1">
        <f>(SALES!$D:$D)</f>
        <v>2</v>
      </c>
      <c r="D187" s="1" t="str">
        <f>(SALES!$E:$E)</f>
        <v>MATOOKE</v>
      </c>
      <c r="E187" s="1">
        <f>(SALES!$F:$F)</f>
        <v>17500</v>
      </c>
      <c r="F187" s="1">
        <f>(SALES!$G:$G)</f>
        <v>35000</v>
      </c>
      <c r="H187" s="2">
        <f>(EXPENSES!$A:$A)</f>
        <v>0</v>
      </c>
      <c r="I187" s="10">
        <f>(EXPENSES!$B:$B)</f>
        <v>0</v>
      </c>
      <c r="J187" s="10">
        <f>(EXPENSES!$C:$C)</f>
        <v>0</v>
      </c>
      <c r="K187" s="10">
        <f>(EXPENSES!$D:$D)</f>
        <v>0</v>
      </c>
      <c r="P187" s="14"/>
      <c r="Q187" s="7"/>
      <c r="R187" s="12"/>
      <c r="S187" s="12"/>
      <c r="T187" s="12"/>
      <c r="U187" s="12"/>
    </row>
    <row r="188" spans="1:21" ht="18.75" customHeight="1" x14ac:dyDescent="0.3">
      <c r="A188" s="32" t="str">
        <f>(SALES!$A:$A)</f>
        <v>Saturday, 6 January 2024</v>
      </c>
      <c r="B188" s="1">
        <f>(SALES!$C:$C)</f>
        <v>42</v>
      </c>
      <c r="C188" s="1">
        <f>(SALES!$D:$D)</f>
        <v>1</v>
      </c>
      <c r="D188" s="1" t="str">
        <f>(SALES!$E:$E)</f>
        <v>MATOOKE</v>
      </c>
      <c r="E188" s="1">
        <f>(SALES!$F:$F)</f>
        <v>15000</v>
      </c>
      <c r="F188" s="1">
        <f>(SALES!$G:$G)</f>
        <v>15000</v>
      </c>
      <c r="H188" s="2">
        <f>(EXPENSES!$A:$A)</f>
        <v>0</v>
      </c>
      <c r="I188" s="10">
        <f>(EXPENSES!$B:$B)</f>
        <v>0</v>
      </c>
      <c r="J188" s="10">
        <f>(EXPENSES!$C:$C)</f>
        <v>0</v>
      </c>
      <c r="K188" s="10">
        <f>(EXPENSES!$D:$D)</f>
        <v>0</v>
      </c>
      <c r="P188" s="14"/>
      <c r="Q188" s="7"/>
      <c r="R188" s="12"/>
      <c r="S188" s="12"/>
      <c r="T188" s="12"/>
      <c r="U188" s="12"/>
    </row>
    <row r="189" spans="1:21" ht="18.75" customHeight="1" x14ac:dyDescent="0.3">
      <c r="A189" s="32" t="str">
        <f>(SALES!$A:$A)</f>
        <v>Saturday, 6 January 2024</v>
      </c>
      <c r="B189" s="1">
        <f>(SALES!$C:$C)</f>
        <v>43</v>
      </c>
      <c r="C189" s="1">
        <f>(SALES!$D:$D)</f>
        <v>1</v>
      </c>
      <c r="D189" s="1" t="str">
        <f>(SALES!$E:$E)</f>
        <v>YELLOW YOLK EGGS</v>
      </c>
      <c r="E189" s="1">
        <f>(SALES!$F:$F)</f>
        <v>20000</v>
      </c>
      <c r="F189" s="1">
        <f>(SALES!$G:$G)</f>
        <v>20000</v>
      </c>
      <c r="H189" s="2">
        <f>(EXPENSES!$A:$A)</f>
        <v>0</v>
      </c>
      <c r="I189" s="10">
        <f>(EXPENSES!$B:$B)</f>
        <v>0</v>
      </c>
      <c r="J189" s="10">
        <f>(EXPENSES!$C:$C)</f>
        <v>0</v>
      </c>
      <c r="K189" s="10">
        <f>(EXPENSES!$D:$D)</f>
        <v>0</v>
      </c>
      <c r="P189" s="14"/>
      <c r="Q189" s="7"/>
      <c r="R189" s="12"/>
      <c r="S189" s="12"/>
      <c r="T189" s="12"/>
      <c r="U189" s="12"/>
    </row>
    <row r="190" spans="1:21" ht="18.75" customHeight="1" x14ac:dyDescent="0.3">
      <c r="A190" s="32" t="str">
        <f>(SALES!$A:$A)</f>
        <v>Saturday, 6 January 2024</v>
      </c>
      <c r="B190" s="1">
        <f>(SALES!$C:$C)</f>
        <v>44</v>
      </c>
      <c r="C190" s="1">
        <f>(SALES!$D:$D)</f>
        <v>0.5</v>
      </c>
      <c r="D190" s="1" t="str">
        <f>(SALES!$E:$E)</f>
        <v>GOAT LEG</v>
      </c>
      <c r="E190" s="1">
        <f>(SALES!$F:$F)</f>
        <v>22000</v>
      </c>
      <c r="F190" s="1">
        <f>(SALES!$G:$G)</f>
        <v>11000</v>
      </c>
      <c r="H190" s="2">
        <f>(EXPENSES!$A:$A)</f>
        <v>0</v>
      </c>
      <c r="I190" s="10">
        <f>(EXPENSES!$B:$B)</f>
        <v>0</v>
      </c>
      <c r="J190" s="10">
        <f>(EXPENSES!$C:$C)</f>
        <v>0</v>
      </c>
      <c r="K190" s="10">
        <f>(EXPENSES!$D:$D)</f>
        <v>0</v>
      </c>
      <c r="P190" s="14"/>
      <c r="Q190" s="7"/>
      <c r="R190" s="12"/>
      <c r="S190" s="12"/>
      <c r="T190" s="12"/>
      <c r="U190" s="12"/>
    </row>
    <row r="191" spans="1:21" ht="18.75" customHeight="1" x14ac:dyDescent="0.3">
      <c r="A191" s="32" t="str">
        <f>(SALES!$A:$A)</f>
        <v>Saturday, 6 January 2024</v>
      </c>
      <c r="B191" s="1">
        <f>(SALES!$C:$C)</f>
        <v>1</v>
      </c>
      <c r="C191" s="1">
        <f>(SALES!$D:$D)</f>
        <v>1</v>
      </c>
      <c r="D191" s="1" t="str">
        <f>(SALES!$E:$E)</f>
        <v>YELLOW YOLK EGGS</v>
      </c>
      <c r="E191" s="1">
        <f>(SALES!$F:$F)</f>
        <v>20000</v>
      </c>
      <c r="F191" s="1">
        <f>(SALES!$G:$G)</f>
        <v>20000</v>
      </c>
      <c r="H191" s="2">
        <f>(EXPENSES!$A:$A)</f>
        <v>0</v>
      </c>
      <c r="I191" s="10">
        <f>(EXPENSES!$B:$B)</f>
        <v>0</v>
      </c>
      <c r="J191" s="10">
        <f>(EXPENSES!$C:$C)</f>
        <v>0</v>
      </c>
      <c r="K191" s="10">
        <f>(EXPENSES!$D:$D)</f>
        <v>0</v>
      </c>
      <c r="P191" s="14"/>
      <c r="Q191" s="7"/>
      <c r="R191" s="12"/>
      <c r="S191" s="12"/>
      <c r="T191" s="12"/>
      <c r="U191" s="12"/>
    </row>
    <row r="192" spans="1:21" ht="18.75" customHeight="1" x14ac:dyDescent="0.3">
      <c r="A192" s="32" t="str">
        <f>(SALES!$A:$A)</f>
        <v>Sunday, 7 January 2024</v>
      </c>
      <c r="B192" s="1">
        <f>(SALES!$C:$C)</f>
        <v>2</v>
      </c>
      <c r="C192" s="1">
        <f>(SALES!$D:$D)</f>
        <v>1</v>
      </c>
      <c r="D192" s="1" t="str">
        <f>(SALES!$E:$E)</f>
        <v>MATOOKE</v>
      </c>
      <c r="E192" s="1">
        <f>(SALES!$F:$F)</f>
        <v>25000</v>
      </c>
      <c r="F192" s="1">
        <f>(SALES!$G:$G)</f>
        <v>25000</v>
      </c>
      <c r="H192" s="2">
        <f>(EXPENSES!$A:$A)</f>
        <v>0</v>
      </c>
      <c r="I192" s="10">
        <f>(EXPENSES!$B:$B)</f>
        <v>0</v>
      </c>
      <c r="J192" s="10">
        <f>(EXPENSES!$C:$C)</f>
        <v>0</v>
      </c>
      <c r="K192" s="10">
        <f>(EXPENSES!$D:$D)</f>
        <v>0</v>
      </c>
      <c r="P192" s="14"/>
      <c r="Q192" s="7"/>
      <c r="R192" s="12"/>
      <c r="S192" s="12"/>
      <c r="T192" s="12"/>
      <c r="U192" s="12"/>
    </row>
    <row r="193" spans="1:21" ht="18.75" customHeight="1" x14ac:dyDescent="0.3">
      <c r="A193" s="32" t="str">
        <f>(SALES!$A:$A)</f>
        <v>Sunday, 7 January 2024</v>
      </c>
      <c r="B193" s="1">
        <f>(SALES!$C:$C)</f>
        <v>3</v>
      </c>
      <c r="C193" s="1">
        <f>(SALES!$D:$D)</f>
        <v>3.3</v>
      </c>
      <c r="D193" s="1" t="str">
        <f>(SALES!$E:$E)</f>
        <v>MATOOKE KGS</v>
      </c>
      <c r="E193" s="1">
        <f>(SALES!$F:$F)</f>
        <v>1500</v>
      </c>
      <c r="F193" s="1">
        <f>(SALES!$G:$G)</f>
        <v>4950</v>
      </c>
      <c r="H193" s="2">
        <f>(EXPENSES!$A:$A)</f>
        <v>0</v>
      </c>
      <c r="I193" s="10">
        <f>(EXPENSES!$B:$B)</f>
        <v>0</v>
      </c>
      <c r="J193" s="10">
        <f>(EXPENSES!$C:$C)</f>
        <v>0</v>
      </c>
      <c r="K193" s="10">
        <f>(EXPENSES!$D:$D)</f>
        <v>0</v>
      </c>
      <c r="P193" s="14"/>
      <c r="Q193" s="7"/>
      <c r="R193" s="12"/>
      <c r="S193" s="12"/>
      <c r="T193" s="12"/>
      <c r="U193" s="12"/>
    </row>
    <row r="194" spans="1:21" ht="18.75" customHeight="1" x14ac:dyDescent="0.3">
      <c r="A194" s="32" t="str">
        <f>(SALES!$A:$A)</f>
        <v>Sunday, 7 January 2024</v>
      </c>
      <c r="B194" s="1">
        <f>(SALES!$C:$C)</f>
        <v>4</v>
      </c>
      <c r="C194" s="1">
        <f>(SALES!$D:$D)</f>
        <v>1</v>
      </c>
      <c r="D194" s="1" t="str">
        <f>(SALES!$E:$E)</f>
        <v>BEEF</v>
      </c>
      <c r="E194" s="1">
        <f>(SALES!$F:$F)</f>
        <v>16000</v>
      </c>
      <c r="F194" s="1">
        <f>(SALES!$G:$G)</f>
        <v>16000</v>
      </c>
      <c r="H194" s="2">
        <f>(EXPENSES!$A:$A)</f>
        <v>0</v>
      </c>
      <c r="I194" s="10">
        <f>(EXPENSES!$B:$B)</f>
        <v>0</v>
      </c>
      <c r="J194" s="10">
        <f>(EXPENSES!$C:$C)</f>
        <v>0</v>
      </c>
      <c r="K194" s="10">
        <f>(EXPENSES!$D:$D)</f>
        <v>0</v>
      </c>
      <c r="P194" s="14"/>
      <c r="Q194" s="7"/>
      <c r="R194" s="12"/>
      <c r="S194" s="12"/>
      <c r="T194" s="12"/>
      <c r="U194" s="12"/>
    </row>
    <row r="195" spans="1:21" ht="18.75" customHeight="1" x14ac:dyDescent="0.3">
      <c r="A195" s="32" t="str">
        <f>(SALES!$A:$A)</f>
        <v>Sunday, 7 January 2024</v>
      </c>
      <c r="B195" s="1">
        <f>(SALES!$C:$C)</f>
        <v>5</v>
      </c>
      <c r="C195" s="1">
        <f>(SALES!$D:$D)</f>
        <v>5</v>
      </c>
      <c r="D195" s="1" t="str">
        <f>(SALES!$E:$E)</f>
        <v>GOAT LEG</v>
      </c>
      <c r="E195" s="1">
        <f>(SALES!$F:$F)</f>
        <v>22000</v>
      </c>
      <c r="F195" s="1">
        <f>(SALES!$G:$G)</f>
        <v>110000</v>
      </c>
      <c r="H195" s="2">
        <f>(EXPENSES!$A:$A)</f>
        <v>0</v>
      </c>
      <c r="I195" s="10">
        <f>(EXPENSES!$B:$B)</f>
        <v>0</v>
      </c>
      <c r="J195" s="10">
        <f>(EXPENSES!$C:$C)</f>
        <v>0</v>
      </c>
      <c r="K195" s="10">
        <f>(EXPENSES!$D:$D)</f>
        <v>0</v>
      </c>
      <c r="P195" s="14"/>
      <c r="Q195" s="7"/>
      <c r="R195" s="12"/>
      <c r="S195" s="12"/>
      <c r="T195" s="12"/>
      <c r="U195" s="12"/>
    </row>
    <row r="196" spans="1:21" ht="18.75" customHeight="1" x14ac:dyDescent="0.3">
      <c r="A196" s="32" t="str">
        <f>(SALES!$A:$A)</f>
        <v>Sunday, 7 January 2024</v>
      </c>
      <c r="B196" s="1">
        <f>(SALES!$C:$C)</f>
        <v>6</v>
      </c>
      <c r="C196" s="1">
        <f>(SALES!$D:$D)</f>
        <v>2</v>
      </c>
      <c r="D196" s="1" t="str">
        <f>(SALES!$E:$E)</f>
        <v>MATOOKE KGS</v>
      </c>
      <c r="E196" s="1">
        <f>(SALES!$F:$F)</f>
        <v>1500</v>
      </c>
      <c r="F196" s="1">
        <f>(SALES!$G:$G)</f>
        <v>3000</v>
      </c>
      <c r="H196" s="2">
        <f>(EXPENSES!$A:$A)</f>
        <v>0</v>
      </c>
      <c r="I196" s="10">
        <f>(EXPENSES!$B:$B)</f>
        <v>0</v>
      </c>
      <c r="J196" s="10">
        <f>(EXPENSES!$C:$C)</f>
        <v>0</v>
      </c>
      <c r="K196" s="10">
        <f>(EXPENSES!$D:$D)</f>
        <v>0</v>
      </c>
      <c r="P196" s="14"/>
      <c r="Q196" s="7"/>
      <c r="R196" s="12"/>
      <c r="S196" s="12"/>
      <c r="T196" s="12"/>
      <c r="U196" s="12"/>
    </row>
    <row r="197" spans="1:21" ht="18.75" customHeight="1" x14ac:dyDescent="0.3">
      <c r="A197" s="32" t="str">
        <f>(SALES!$A:$A)</f>
        <v>Sunday, 7 January 2024</v>
      </c>
      <c r="B197" s="1">
        <f>(SALES!$C:$C)</f>
        <v>7</v>
      </c>
      <c r="C197" s="1">
        <f>(SALES!$D:$D)</f>
        <v>4</v>
      </c>
      <c r="D197" s="1" t="str">
        <f>(SALES!$E:$E)</f>
        <v>MATOOKE KGS</v>
      </c>
      <c r="E197" s="1">
        <f>(SALES!$F:$F)</f>
        <v>1500</v>
      </c>
      <c r="F197" s="1">
        <f>(SALES!$G:$G)</f>
        <v>6000</v>
      </c>
      <c r="H197" s="2">
        <f>(EXPENSES!$A:$A)</f>
        <v>0</v>
      </c>
      <c r="I197" s="10">
        <f>(EXPENSES!$B:$B)</f>
        <v>0</v>
      </c>
      <c r="J197" s="10">
        <f>(EXPENSES!$C:$C)</f>
        <v>0</v>
      </c>
      <c r="K197" s="10">
        <f>(EXPENSES!$D:$D)</f>
        <v>0</v>
      </c>
      <c r="P197" s="14"/>
      <c r="Q197" s="7"/>
      <c r="R197" s="12"/>
      <c r="S197" s="12"/>
      <c r="T197" s="12"/>
      <c r="U197" s="12"/>
    </row>
    <row r="198" spans="1:21" ht="18.75" customHeight="1" x14ac:dyDescent="0.3">
      <c r="A198" s="32" t="str">
        <f>(SALES!$A:$A)</f>
        <v>Monday, 8 January 2024</v>
      </c>
      <c r="B198" s="1">
        <f>(SALES!$C:$C)</f>
        <v>9</v>
      </c>
      <c r="C198" s="1">
        <f>(SALES!$D:$D)</f>
        <v>10</v>
      </c>
      <c r="D198" s="1" t="str">
        <f>(SALES!$E:$E)</f>
        <v>LOCAL EGGS</v>
      </c>
      <c r="E198" s="1">
        <f>(SALES!$F:$F)</f>
        <v>25000</v>
      </c>
      <c r="F198" s="1">
        <f>(SALES!$G:$G)</f>
        <v>250000</v>
      </c>
      <c r="H198" s="2">
        <f>(EXPENSES!$A:$A)</f>
        <v>0</v>
      </c>
      <c r="I198" s="10">
        <f>(EXPENSES!$B:$B)</f>
        <v>0</v>
      </c>
      <c r="J198" s="10">
        <f>(EXPENSES!$C:$C)</f>
        <v>0</v>
      </c>
      <c r="K198" s="10">
        <f>(EXPENSES!$D:$D)</f>
        <v>0</v>
      </c>
      <c r="P198" s="14"/>
      <c r="Q198" s="7"/>
      <c r="R198" s="12"/>
      <c r="S198" s="12"/>
      <c r="T198" s="12"/>
      <c r="U198" s="12"/>
    </row>
    <row r="199" spans="1:21" ht="18.75" customHeight="1" x14ac:dyDescent="0.3">
      <c r="A199" s="32" t="str">
        <f>(SALES!$A:$A)</f>
        <v>Monday, 8 January 2024</v>
      </c>
      <c r="B199" s="1">
        <f>(SALES!$C:$C)</f>
        <v>1</v>
      </c>
      <c r="C199" s="1">
        <f>(SALES!$D:$D)</f>
        <v>1</v>
      </c>
      <c r="D199" s="1" t="str">
        <f>(SALES!$E:$E)</f>
        <v>AVOCADO</v>
      </c>
      <c r="E199" s="1">
        <f>(SALES!$F:$F)</f>
        <v>1000</v>
      </c>
      <c r="F199" s="1">
        <f>(SALES!$G:$G)</f>
        <v>1000</v>
      </c>
      <c r="H199" s="2">
        <f>(EXPENSES!$A:$A)</f>
        <v>0</v>
      </c>
      <c r="I199" s="10">
        <f>(EXPENSES!$B:$B)</f>
        <v>0</v>
      </c>
      <c r="J199" s="10">
        <f>(EXPENSES!$C:$C)</f>
        <v>0</v>
      </c>
      <c r="K199" s="10">
        <f>(EXPENSES!$D:$D)</f>
        <v>0</v>
      </c>
      <c r="P199" s="14"/>
      <c r="Q199" s="7"/>
      <c r="R199" s="12"/>
      <c r="S199" s="12"/>
      <c r="T199" s="12"/>
      <c r="U199" s="12"/>
    </row>
    <row r="200" spans="1:21" ht="18.75" customHeight="1" x14ac:dyDescent="0.3">
      <c r="A200" s="32" t="str">
        <f>(SALES!$A:$A)</f>
        <v>Monday, 8 January 2024</v>
      </c>
      <c r="B200" s="1">
        <f>(SALES!$C:$C)</f>
        <v>2</v>
      </c>
      <c r="C200" s="1">
        <f>(SALES!$D:$D)</f>
        <v>1</v>
      </c>
      <c r="D200" s="1" t="str">
        <f>(SALES!$E:$E)</f>
        <v>MILK</v>
      </c>
      <c r="E200" s="1">
        <f>(SALES!$F:$F)</f>
        <v>2000</v>
      </c>
      <c r="F200" s="1">
        <f>(SALES!$G:$G)</f>
        <v>2000</v>
      </c>
      <c r="H200" s="2">
        <f>(EXPENSES!$A:$A)</f>
        <v>0</v>
      </c>
      <c r="I200" s="10">
        <f>(EXPENSES!$B:$B)</f>
        <v>0</v>
      </c>
      <c r="J200" s="10">
        <f>(EXPENSES!$C:$C)</f>
        <v>0</v>
      </c>
      <c r="K200" s="10">
        <f>(EXPENSES!$D:$D)</f>
        <v>0</v>
      </c>
      <c r="P200" s="14"/>
      <c r="Q200" s="7"/>
      <c r="R200" s="12"/>
      <c r="S200" s="12"/>
      <c r="T200" s="12"/>
      <c r="U200" s="12"/>
    </row>
    <row r="201" spans="1:21" ht="18.75" customHeight="1" x14ac:dyDescent="0.3">
      <c r="A201" s="32" t="str">
        <f>(SALES!$A:$A)</f>
        <v>Monday, 8 January 2024</v>
      </c>
      <c r="B201" s="1">
        <f>(SALES!$C:$C)</f>
        <v>3</v>
      </c>
      <c r="C201" s="1">
        <f>(SALES!$D:$D)</f>
        <v>3.4</v>
      </c>
      <c r="D201" s="1" t="str">
        <f>(SALES!$E:$E)</f>
        <v>MATOOKE KGS</v>
      </c>
      <c r="E201" s="1">
        <f>(SALES!$F:$F)</f>
        <v>1500</v>
      </c>
      <c r="F201" s="1">
        <f>(SALES!$G:$G)</f>
        <v>5100</v>
      </c>
      <c r="H201" s="2">
        <f>(EXPENSES!$A:$A)</f>
        <v>0</v>
      </c>
      <c r="I201" s="10">
        <f>(EXPENSES!$B:$B)</f>
        <v>0</v>
      </c>
      <c r="J201" s="10">
        <f>(EXPENSES!$C:$C)</f>
        <v>0</v>
      </c>
      <c r="K201" s="10">
        <f>(EXPENSES!$D:$D)</f>
        <v>0</v>
      </c>
      <c r="P201" s="14"/>
      <c r="Q201" s="7"/>
      <c r="R201" s="12"/>
      <c r="S201" s="12"/>
      <c r="T201" s="12"/>
      <c r="U201" s="12"/>
    </row>
    <row r="202" spans="1:21" ht="18.75" customHeight="1" x14ac:dyDescent="0.3">
      <c r="A202" s="32" t="str">
        <f>(SALES!$A:$A)</f>
        <v>Monday, 8 January 2024</v>
      </c>
      <c r="B202" s="1">
        <f>(SALES!$C:$C)</f>
        <v>4</v>
      </c>
      <c r="C202" s="1">
        <f>(SALES!$D:$D)</f>
        <v>2.7</v>
      </c>
      <c r="D202" s="1" t="str">
        <f>(SALES!$E:$E)</f>
        <v>MATOOKE KGS</v>
      </c>
      <c r="E202" s="1">
        <f>(SALES!$F:$F)</f>
        <v>1500</v>
      </c>
      <c r="F202" s="1">
        <f>(SALES!$G:$G)</f>
        <v>4050.0000000000005</v>
      </c>
      <c r="H202" s="2">
        <f>(EXPENSES!$A:$A)</f>
        <v>0</v>
      </c>
      <c r="I202" s="10">
        <f>(EXPENSES!$B:$B)</f>
        <v>0</v>
      </c>
      <c r="J202" s="10">
        <f>(EXPENSES!$C:$C)</f>
        <v>0</v>
      </c>
      <c r="K202" s="10">
        <f>(EXPENSES!$D:$D)</f>
        <v>0</v>
      </c>
      <c r="P202" s="14"/>
      <c r="Q202" s="7"/>
      <c r="R202" s="12"/>
      <c r="S202" s="12"/>
      <c r="T202" s="12"/>
      <c r="U202" s="12"/>
    </row>
    <row r="203" spans="1:21" ht="18.75" customHeight="1" x14ac:dyDescent="0.3">
      <c r="A203" s="32" t="str">
        <f>(SALES!$A:$A)</f>
        <v>Monday, 8 January 2024</v>
      </c>
      <c r="B203" s="1">
        <f>(SALES!$C:$C)</f>
        <v>5</v>
      </c>
      <c r="C203" s="1">
        <f>(SALES!$D:$D)</f>
        <v>2.7</v>
      </c>
      <c r="D203" s="1" t="str">
        <f>(SALES!$E:$E)</f>
        <v>MATOOKE KGS</v>
      </c>
      <c r="E203" s="1">
        <f>(SALES!$F:$F)</f>
        <v>1500</v>
      </c>
      <c r="F203" s="1">
        <f>(SALES!$G:$G)</f>
        <v>4050.0000000000005</v>
      </c>
      <c r="H203" s="2">
        <f>(EXPENSES!$A:$A)</f>
        <v>0</v>
      </c>
      <c r="I203" s="10">
        <f>(EXPENSES!$B:$B)</f>
        <v>0</v>
      </c>
      <c r="J203" s="10">
        <f>(EXPENSES!$C:$C)</f>
        <v>0</v>
      </c>
      <c r="K203" s="10">
        <f>(EXPENSES!$D:$D)</f>
        <v>0</v>
      </c>
      <c r="P203" s="14"/>
      <c r="Q203" s="7"/>
      <c r="R203" s="12"/>
      <c r="S203" s="12"/>
      <c r="T203" s="12"/>
      <c r="U203" s="12"/>
    </row>
    <row r="204" spans="1:21" ht="18.75" customHeight="1" x14ac:dyDescent="0.3">
      <c r="A204" s="32" t="str">
        <f>(SALES!$A:$A)</f>
        <v>Monday, 8 January 2024</v>
      </c>
      <c r="B204" s="1">
        <f>(SALES!$C:$C)</f>
        <v>6</v>
      </c>
      <c r="C204" s="1">
        <f>(SALES!$D:$D)</f>
        <v>1</v>
      </c>
      <c r="D204" s="1" t="str">
        <f>(SALES!$E:$E)</f>
        <v>MATOOKE</v>
      </c>
      <c r="E204" s="1">
        <f>(SALES!$F:$F)</f>
        <v>10000</v>
      </c>
      <c r="F204" s="1">
        <f>(SALES!$G:$G)</f>
        <v>10000</v>
      </c>
      <c r="H204" s="2">
        <f>(EXPENSES!$A:$A)</f>
        <v>0</v>
      </c>
      <c r="I204" s="10">
        <f>(EXPENSES!$B:$B)</f>
        <v>0</v>
      </c>
      <c r="J204" s="10">
        <f>(EXPENSES!$C:$C)</f>
        <v>0</v>
      </c>
      <c r="K204" s="10">
        <f>(EXPENSES!$D:$D)</f>
        <v>0</v>
      </c>
      <c r="P204" s="14"/>
      <c r="Q204" s="7"/>
      <c r="R204" s="12"/>
      <c r="S204" s="12"/>
      <c r="T204" s="12"/>
      <c r="U204" s="12"/>
    </row>
    <row r="205" spans="1:21" ht="18.75" customHeight="1" x14ac:dyDescent="0.3">
      <c r="A205" s="32" t="str">
        <f>(SALES!$A:$A)</f>
        <v>Monday, 8 January 2024</v>
      </c>
      <c r="B205" s="1">
        <f>(SALES!$C:$C)</f>
        <v>8</v>
      </c>
      <c r="C205" s="1">
        <f>(SALES!$D:$D)</f>
        <v>3</v>
      </c>
      <c r="D205" s="1" t="str">
        <f>(SALES!$E:$E)</f>
        <v>MILK</v>
      </c>
      <c r="E205" s="1">
        <f>(SALES!$F:$F)</f>
        <v>2000</v>
      </c>
      <c r="F205" s="1">
        <f>(SALES!$G:$G)</f>
        <v>6000</v>
      </c>
      <c r="H205" s="2">
        <f>(EXPENSES!$A:$A)</f>
        <v>0</v>
      </c>
      <c r="I205" s="10">
        <f>(EXPENSES!$B:$B)</f>
        <v>0</v>
      </c>
      <c r="J205" s="10">
        <f>(EXPENSES!$C:$C)</f>
        <v>0</v>
      </c>
      <c r="K205" s="10">
        <f>(EXPENSES!$D:$D)</f>
        <v>0</v>
      </c>
      <c r="P205" s="14"/>
      <c r="Q205" s="7"/>
      <c r="R205" s="12"/>
      <c r="S205" s="12"/>
      <c r="T205" s="12"/>
      <c r="U205" s="12"/>
    </row>
    <row r="206" spans="1:21" ht="18.75" customHeight="1" x14ac:dyDescent="0.3">
      <c r="A206" s="32" t="str">
        <f>(SALES!$A:$A)</f>
        <v>Monday, 8 January 2024</v>
      </c>
      <c r="B206" s="1">
        <f>(SALES!$C:$C)</f>
        <v>9</v>
      </c>
      <c r="C206" s="1">
        <f>(SALES!$D:$D)</f>
        <v>3.4</v>
      </c>
      <c r="D206" s="1" t="str">
        <f>(SALES!$E:$E)</f>
        <v>MATOOKE KGS</v>
      </c>
      <c r="E206" s="1">
        <f>(SALES!$F:$F)</f>
        <v>1500</v>
      </c>
      <c r="F206" s="1">
        <f>(SALES!$G:$G)</f>
        <v>5100</v>
      </c>
      <c r="H206" s="2">
        <f>(EXPENSES!$A:$A)</f>
        <v>0</v>
      </c>
      <c r="I206" s="10">
        <f>(EXPENSES!$B:$B)</f>
        <v>0</v>
      </c>
      <c r="J206" s="10">
        <f>(EXPENSES!$C:$C)</f>
        <v>0</v>
      </c>
      <c r="K206" s="10">
        <f>(EXPENSES!$D:$D)</f>
        <v>0</v>
      </c>
      <c r="P206" s="14"/>
      <c r="Q206" s="7"/>
      <c r="R206" s="12"/>
      <c r="S206" s="12"/>
      <c r="T206" s="12"/>
      <c r="U206" s="12"/>
    </row>
    <row r="207" spans="1:21" ht="18.75" customHeight="1" x14ac:dyDescent="0.3">
      <c r="A207" s="32" t="str">
        <f>(SALES!$A:$A)</f>
        <v>Monday, 8 January 2024</v>
      </c>
      <c r="B207" s="1">
        <f>(SALES!$C:$C)</f>
        <v>10</v>
      </c>
      <c r="C207" s="1">
        <f>(SALES!$D:$D)</f>
        <v>1.4</v>
      </c>
      <c r="D207" s="1" t="str">
        <f>(SALES!$E:$E)</f>
        <v>MATOOKE KGS</v>
      </c>
      <c r="E207" s="1">
        <f>(SALES!$F:$F)</f>
        <v>1500</v>
      </c>
      <c r="F207" s="1">
        <f>(SALES!$G:$G)</f>
        <v>2100</v>
      </c>
      <c r="H207" s="2">
        <f>(EXPENSES!$A:$A)</f>
        <v>0</v>
      </c>
      <c r="I207" s="10">
        <f>(EXPENSES!$B:$B)</f>
        <v>0</v>
      </c>
      <c r="J207" s="10">
        <f>(EXPENSES!$C:$C)</f>
        <v>0</v>
      </c>
      <c r="K207" s="10">
        <f>(EXPENSES!$D:$D)</f>
        <v>0</v>
      </c>
      <c r="P207" s="14"/>
      <c r="Q207" s="7"/>
      <c r="R207" s="12"/>
      <c r="S207" s="12"/>
      <c r="T207" s="12"/>
      <c r="U207" s="12"/>
    </row>
    <row r="208" spans="1:21" ht="18.75" customHeight="1" x14ac:dyDescent="0.3">
      <c r="A208" s="32" t="str">
        <f>(SALES!$A:$A)</f>
        <v>Monday, 8 January 2024</v>
      </c>
      <c r="B208" s="1">
        <f>(SALES!$C:$C)</f>
        <v>11</v>
      </c>
      <c r="C208" s="1">
        <f>(SALES!$D:$D)</f>
        <v>1</v>
      </c>
      <c r="D208" s="1" t="str">
        <f>(SALES!$E:$E)</f>
        <v>MILK</v>
      </c>
      <c r="E208" s="1">
        <f>(SALES!$F:$F)</f>
        <v>2000</v>
      </c>
      <c r="F208" s="1">
        <f>(SALES!$G:$G)</f>
        <v>2000</v>
      </c>
      <c r="H208" s="2">
        <f>(EXPENSES!$A:$A)</f>
        <v>0</v>
      </c>
      <c r="I208" s="10">
        <f>(EXPENSES!$B:$B)</f>
        <v>0</v>
      </c>
      <c r="J208" s="10">
        <f>(EXPENSES!$C:$C)</f>
        <v>0</v>
      </c>
      <c r="K208" s="10">
        <f>(EXPENSES!$D:$D)</f>
        <v>0</v>
      </c>
      <c r="P208" s="14"/>
      <c r="Q208" s="7"/>
      <c r="R208" s="12"/>
      <c r="S208" s="12"/>
      <c r="T208" s="12"/>
      <c r="U208" s="12"/>
    </row>
    <row r="209" spans="1:21" ht="18.75" customHeight="1" x14ac:dyDescent="0.3">
      <c r="A209" s="32" t="str">
        <f>(SALES!$A:$A)</f>
        <v>Monday, 8 January 2024</v>
      </c>
      <c r="B209" s="1">
        <f>(SALES!$C:$C)</f>
        <v>12</v>
      </c>
      <c r="C209" s="1">
        <f>(SALES!$D:$D)</f>
        <v>0.5</v>
      </c>
      <c r="D209" s="1" t="str">
        <f>(SALES!$E:$E)</f>
        <v>BEEF</v>
      </c>
      <c r="E209" s="1">
        <f>(SALES!$F:$F)</f>
        <v>16000</v>
      </c>
      <c r="F209" s="1">
        <f>(SALES!$G:$G)</f>
        <v>8000</v>
      </c>
      <c r="H209" s="2">
        <f>(EXPENSES!$A:$A)</f>
        <v>0</v>
      </c>
      <c r="I209" s="10">
        <f>(EXPENSES!$B:$B)</f>
        <v>0</v>
      </c>
      <c r="J209" s="10">
        <f>(EXPENSES!$C:$C)</f>
        <v>0</v>
      </c>
      <c r="K209" s="10">
        <f>(EXPENSES!$D:$D)</f>
        <v>0</v>
      </c>
      <c r="P209" s="14"/>
      <c r="Q209" s="7"/>
      <c r="R209" s="12"/>
      <c r="S209" s="12"/>
      <c r="T209" s="12"/>
      <c r="U209" s="12"/>
    </row>
    <row r="210" spans="1:21" ht="18.75" customHeight="1" x14ac:dyDescent="0.3">
      <c r="A210" s="32" t="str">
        <f>(SALES!$A:$A)</f>
        <v>Monday, 8 January 2024</v>
      </c>
      <c r="B210" s="1">
        <f>(SALES!$C:$C)</f>
        <v>13</v>
      </c>
      <c r="C210" s="1">
        <f>(SALES!$D:$D)</f>
        <v>2</v>
      </c>
      <c r="D210" s="1" t="str">
        <f>(SALES!$E:$E)</f>
        <v>MATOOKE KGS</v>
      </c>
      <c r="E210" s="1">
        <f>(SALES!$F:$F)</f>
        <v>1500</v>
      </c>
      <c r="F210" s="1">
        <f>(SALES!$G:$G)</f>
        <v>3000</v>
      </c>
      <c r="H210" s="2">
        <f>(EXPENSES!$A:$A)</f>
        <v>0</v>
      </c>
      <c r="I210" s="10">
        <f>(EXPENSES!$B:$B)</f>
        <v>0</v>
      </c>
      <c r="J210" s="10">
        <f>(EXPENSES!$C:$C)</f>
        <v>0</v>
      </c>
      <c r="K210" s="10">
        <f>(EXPENSES!$D:$D)</f>
        <v>0</v>
      </c>
      <c r="P210" s="2"/>
      <c r="Q210" s="7"/>
      <c r="R210" s="17"/>
      <c r="U210" s="17"/>
    </row>
    <row r="211" spans="1:21" ht="18.75" customHeight="1" x14ac:dyDescent="0.3">
      <c r="A211" s="32" t="str">
        <f>(SALES!$A:$A)</f>
        <v>Monday, 8 January 2024</v>
      </c>
      <c r="B211" s="1">
        <f>(SALES!$C:$C)</f>
        <v>14</v>
      </c>
      <c r="C211" s="1">
        <f>(SALES!$D:$D)</f>
        <v>1</v>
      </c>
      <c r="D211" s="1" t="str">
        <f>(SALES!$E:$E)</f>
        <v>MATOOKE</v>
      </c>
      <c r="E211" s="1">
        <f>(SALES!$F:$F)</f>
        <v>10000</v>
      </c>
      <c r="F211" s="1">
        <f>(SALES!$G:$G)</f>
        <v>10000</v>
      </c>
      <c r="H211" s="2">
        <f>(EXPENSES!$A:$A)</f>
        <v>0</v>
      </c>
      <c r="I211" s="10">
        <f>(EXPENSES!$B:$B)</f>
        <v>0</v>
      </c>
      <c r="J211" s="10">
        <f>(EXPENSES!$C:$C)</f>
        <v>0</v>
      </c>
      <c r="K211" s="10">
        <f>(EXPENSES!$D:$D)</f>
        <v>0</v>
      </c>
      <c r="P211" s="2"/>
      <c r="Q211" s="7"/>
      <c r="R211" s="17"/>
      <c r="U211" s="17"/>
    </row>
    <row r="212" spans="1:21" ht="18.75" customHeight="1" x14ac:dyDescent="0.3">
      <c r="A212" s="32" t="str">
        <f>(SALES!$A:$A)</f>
        <v>Monday, 8 January 2024</v>
      </c>
      <c r="B212" s="1">
        <f>(SALES!$C:$C)</f>
        <v>15</v>
      </c>
      <c r="C212" s="1">
        <f>(SALES!$D:$D)</f>
        <v>0.5</v>
      </c>
      <c r="D212" s="1" t="str">
        <f>(SALES!$E:$E)</f>
        <v>MILK</v>
      </c>
      <c r="E212" s="1">
        <f>(SALES!$F:$F)</f>
        <v>2000</v>
      </c>
      <c r="F212" s="1">
        <f>(SALES!$G:$G)</f>
        <v>1000</v>
      </c>
      <c r="H212" s="2">
        <f>(EXPENSES!$A:$A)</f>
        <v>0</v>
      </c>
      <c r="I212" s="10">
        <f>(EXPENSES!$B:$B)</f>
        <v>0</v>
      </c>
      <c r="J212" s="10">
        <f>(EXPENSES!$C:$C)</f>
        <v>0</v>
      </c>
      <c r="K212" s="10">
        <f>(EXPENSES!$D:$D)</f>
        <v>0</v>
      </c>
      <c r="P212" s="2"/>
      <c r="Q212" s="7"/>
      <c r="R212" s="17"/>
      <c r="U212" s="17"/>
    </row>
    <row r="213" spans="1:21" ht="18.75" customHeight="1" x14ac:dyDescent="0.3">
      <c r="A213" s="32" t="str">
        <f>(SALES!$A:$A)</f>
        <v>Monday, 8 January 2024</v>
      </c>
      <c r="B213" s="1">
        <f>(SALES!$C:$C)</f>
        <v>16</v>
      </c>
      <c r="C213" s="1">
        <f>(SALES!$D:$D)</f>
        <v>4.7</v>
      </c>
      <c r="D213" s="1" t="str">
        <f>(SALES!$E:$E)</f>
        <v>MATOOKE KGS</v>
      </c>
      <c r="E213" s="1">
        <f>(SALES!$F:$F)</f>
        <v>1500</v>
      </c>
      <c r="F213" s="1">
        <f>(SALES!$G:$G)</f>
        <v>7050</v>
      </c>
      <c r="H213" s="2">
        <f>(EXPENSES!$A:$A)</f>
        <v>0</v>
      </c>
      <c r="I213" s="10">
        <f>(EXPENSES!$B:$B)</f>
        <v>0</v>
      </c>
      <c r="J213" s="10">
        <f>(EXPENSES!$C:$C)</f>
        <v>0</v>
      </c>
      <c r="K213" s="10">
        <f>(EXPENSES!$D:$D)</f>
        <v>0</v>
      </c>
      <c r="P213" s="2"/>
      <c r="Q213" s="7"/>
      <c r="R213" s="17"/>
      <c r="U213" s="17"/>
    </row>
    <row r="214" spans="1:21" ht="18.75" customHeight="1" x14ac:dyDescent="0.3">
      <c r="A214" s="32" t="str">
        <f>(SALES!$A:$A)</f>
        <v>Monday, 8 January 2024</v>
      </c>
      <c r="B214" s="1">
        <f>(SALES!$C:$C)</f>
        <v>17</v>
      </c>
      <c r="C214" s="1">
        <f>(SALES!$D:$D)</f>
        <v>2</v>
      </c>
      <c r="D214" s="1" t="str">
        <f>(SALES!$E:$E)</f>
        <v>GONJA</v>
      </c>
      <c r="E214" s="1">
        <f>(SALES!$F:$F)</f>
        <v>7500</v>
      </c>
      <c r="F214" s="1">
        <f>(SALES!$G:$G)</f>
        <v>15000</v>
      </c>
      <c r="H214" s="2">
        <f>(EXPENSES!$A:$A)</f>
        <v>0</v>
      </c>
      <c r="I214" s="10">
        <f>(EXPENSES!$B:$B)</f>
        <v>0</v>
      </c>
      <c r="J214" s="10">
        <f>(EXPENSES!$C:$C)</f>
        <v>0</v>
      </c>
      <c r="K214" s="10">
        <f>(EXPENSES!$D:$D)</f>
        <v>0</v>
      </c>
      <c r="P214" s="2"/>
      <c r="Q214" s="7"/>
      <c r="R214" s="17"/>
      <c r="U214" s="17"/>
    </row>
    <row r="215" spans="1:21" ht="18.75" customHeight="1" x14ac:dyDescent="0.3">
      <c r="A215" s="32" t="str">
        <f>(SALES!$A:$A)</f>
        <v>Monday, 8 January 2024</v>
      </c>
      <c r="B215" s="1">
        <f>(SALES!$C:$C)</f>
        <v>18</v>
      </c>
      <c r="C215" s="1">
        <f>(SALES!$D:$D)</f>
        <v>2</v>
      </c>
      <c r="D215" s="1" t="str">
        <f>(SALES!$E:$E)</f>
        <v>MATOOKE KGS</v>
      </c>
      <c r="E215" s="1">
        <f>(SALES!$F:$F)</f>
        <v>1500</v>
      </c>
      <c r="F215" s="1">
        <f>(SALES!$G:$G)</f>
        <v>3000</v>
      </c>
      <c r="H215" s="2">
        <f>(EXPENSES!$A:$A)</f>
        <v>0</v>
      </c>
      <c r="I215" s="10">
        <f>(EXPENSES!$B:$B)</f>
        <v>0</v>
      </c>
      <c r="J215" s="10">
        <f>(EXPENSES!$C:$C)</f>
        <v>0</v>
      </c>
      <c r="K215" s="10">
        <f>(EXPENSES!$D:$D)</f>
        <v>0</v>
      </c>
      <c r="P215" s="2"/>
      <c r="Q215" s="7"/>
      <c r="R215" s="17"/>
      <c r="U215" s="17"/>
    </row>
    <row r="216" spans="1:21" ht="18.75" customHeight="1" x14ac:dyDescent="0.3">
      <c r="A216" s="32" t="str">
        <f>(SALES!$A:$A)</f>
        <v>Monday, 8 January 2024</v>
      </c>
      <c r="B216" s="1">
        <f>(SALES!$C:$C)</f>
        <v>19</v>
      </c>
      <c r="C216" s="1">
        <f>(SALES!$D:$D)</f>
        <v>2.7</v>
      </c>
      <c r="D216" s="1" t="str">
        <f>(SALES!$E:$E)</f>
        <v>MATOOKE KGS</v>
      </c>
      <c r="E216" s="1">
        <f>(SALES!$F:$F)</f>
        <v>1500</v>
      </c>
      <c r="F216" s="1">
        <f>(SALES!$G:$G)</f>
        <v>4050.0000000000005</v>
      </c>
      <c r="H216" s="2">
        <f>(EXPENSES!$A:$A)</f>
        <v>0</v>
      </c>
      <c r="I216" s="10">
        <f>(EXPENSES!$B:$B)</f>
        <v>0</v>
      </c>
      <c r="J216" s="10">
        <f>(EXPENSES!$C:$C)</f>
        <v>0</v>
      </c>
      <c r="K216" s="10">
        <f>(EXPENSES!$D:$D)</f>
        <v>0</v>
      </c>
      <c r="P216" s="2"/>
      <c r="Q216" s="7"/>
      <c r="R216" s="17"/>
      <c r="U216" s="17"/>
    </row>
    <row r="217" spans="1:21" ht="18.75" customHeight="1" x14ac:dyDescent="0.3">
      <c r="A217" s="32" t="str">
        <f>(SALES!$A:$A)</f>
        <v>Monday, 8 January 2024</v>
      </c>
      <c r="B217" s="1">
        <f>(SALES!$C:$C)</f>
        <v>20</v>
      </c>
      <c r="C217" s="1">
        <f>(SALES!$D:$D)</f>
        <v>2</v>
      </c>
      <c r="D217" s="1" t="str">
        <f>(SALES!$E:$E)</f>
        <v>MATOOKE KGS</v>
      </c>
      <c r="E217" s="1">
        <f>(SALES!$F:$F)</f>
        <v>1500</v>
      </c>
      <c r="F217" s="1">
        <f>(SALES!$G:$G)</f>
        <v>3000</v>
      </c>
      <c r="H217" s="2">
        <f>(EXPENSES!$A:$A)</f>
        <v>0</v>
      </c>
      <c r="I217" s="10">
        <f>(EXPENSES!$B:$B)</f>
        <v>0</v>
      </c>
      <c r="J217" s="10">
        <f>(EXPENSES!$C:$C)</f>
        <v>0</v>
      </c>
      <c r="K217" s="10">
        <f>(EXPENSES!$D:$D)</f>
        <v>0</v>
      </c>
      <c r="P217" s="2"/>
      <c r="Q217" s="7"/>
      <c r="R217" s="17"/>
      <c r="U217" s="17"/>
    </row>
    <row r="218" spans="1:21" ht="18.75" customHeight="1" x14ac:dyDescent="0.3">
      <c r="A218" s="32" t="str">
        <f>(SALES!$A:$A)</f>
        <v>Monday, 8 January 2024</v>
      </c>
      <c r="B218" s="1">
        <f>(SALES!$C:$C)</f>
        <v>21</v>
      </c>
      <c r="C218" s="1">
        <f>(SALES!$D:$D)</f>
        <v>1</v>
      </c>
      <c r="D218" s="1" t="str">
        <f>(SALES!$E:$E)</f>
        <v>CHICKEN</v>
      </c>
      <c r="E218" s="1">
        <f>(SALES!$F:$F)</f>
        <v>30000</v>
      </c>
      <c r="F218" s="1">
        <f>(SALES!$G:$G)</f>
        <v>30000</v>
      </c>
      <c r="H218" s="2">
        <f>(EXPENSES!$A:$A)</f>
        <v>0</v>
      </c>
      <c r="I218" s="10">
        <f>(EXPENSES!$B:$B)</f>
        <v>0</v>
      </c>
      <c r="J218" s="10">
        <f>(EXPENSES!$C:$C)</f>
        <v>0</v>
      </c>
      <c r="K218" s="10">
        <f>(EXPENSES!$D:$D)</f>
        <v>0</v>
      </c>
      <c r="P218" s="2"/>
      <c r="Q218" s="7"/>
      <c r="R218" s="17"/>
      <c r="U218" s="17"/>
    </row>
    <row r="219" spans="1:21" ht="18.75" customHeight="1" x14ac:dyDescent="0.3">
      <c r="A219" s="32" t="str">
        <f>(SALES!$A:$A)</f>
        <v>Monday, 8 January 2024</v>
      </c>
      <c r="B219" s="1">
        <f>(SALES!$C:$C)</f>
        <v>22</v>
      </c>
      <c r="C219" s="1">
        <f>(SALES!$D:$D)</f>
        <v>1</v>
      </c>
      <c r="D219" s="1" t="str">
        <f>(SALES!$E:$E)</f>
        <v>GONJA</v>
      </c>
      <c r="E219" s="1">
        <f>(SALES!$F:$F)</f>
        <v>5000</v>
      </c>
      <c r="F219" s="1">
        <f>(SALES!$G:$G)</f>
        <v>5000</v>
      </c>
      <c r="H219" s="2">
        <f>(EXPENSES!$A:$A)</f>
        <v>0</v>
      </c>
      <c r="I219" s="10">
        <f>(EXPENSES!$B:$B)</f>
        <v>0</v>
      </c>
      <c r="J219" s="10">
        <f>(EXPENSES!$C:$C)</f>
        <v>0</v>
      </c>
      <c r="K219" s="10">
        <f>(EXPENSES!$D:$D)</f>
        <v>0</v>
      </c>
      <c r="P219" s="2"/>
      <c r="Q219" s="7"/>
      <c r="R219" s="17"/>
      <c r="U219" s="17"/>
    </row>
    <row r="220" spans="1:21" ht="18.75" customHeight="1" x14ac:dyDescent="0.3">
      <c r="A220" s="32" t="str">
        <f>(SALES!$A:$A)</f>
        <v>Monday, 8 January 2024</v>
      </c>
      <c r="B220" s="1">
        <f>(SALES!$C:$C)</f>
        <v>23</v>
      </c>
      <c r="C220" s="1">
        <f>(SALES!$D:$D)</f>
        <v>2</v>
      </c>
      <c r="D220" s="1" t="str">
        <f>(SALES!$E:$E)</f>
        <v>MATOOKE KGS</v>
      </c>
      <c r="E220" s="1">
        <f>(SALES!$F:$F)</f>
        <v>1500</v>
      </c>
      <c r="F220" s="1">
        <f>(SALES!$G:$G)</f>
        <v>3000</v>
      </c>
      <c r="H220" s="2">
        <f>(EXPENSES!$A:$A)</f>
        <v>0</v>
      </c>
      <c r="I220" s="10">
        <f>(EXPENSES!$B:$B)</f>
        <v>0</v>
      </c>
      <c r="J220" s="10">
        <f>(EXPENSES!$C:$C)</f>
        <v>0</v>
      </c>
      <c r="K220" s="10">
        <f>(EXPENSES!$D:$D)</f>
        <v>0</v>
      </c>
      <c r="P220" s="2"/>
      <c r="Q220" s="7"/>
      <c r="R220" s="17"/>
      <c r="U220" s="17"/>
    </row>
    <row r="221" spans="1:21" ht="18.75" customHeight="1" x14ac:dyDescent="0.3">
      <c r="A221" s="32" t="str">
        <f>(SALES!$A:$A)</f>
        <v>Monday, 8 January 2024</v>
      </c>
      <c r="B221" s="1">
        <f>(SALES!$C:$C)</f>
        <v>24</v>
      </c>
      <c r="C221" s="1">
        <f>(SALES!$D:$D)</f>
        <v>2</v>
      </c>
      <c r="D221" s="1" t="str">
        <f>(SALES!$E:$E)</f>
        <v>DOG BONES</v>
      </c>
      <c r="E221" s="1">
        <f>(SALES!$F:$F)</f>
        <v>4000</v>
      </c>
      <c r="F221" s="1">
        <f>(SALES!$G:$G)</f>
        <v>8000</v>
      </c>
      <c r="H221" s="2">
        <f>(EXPENSES!$A:$A)</f>
        <v>0</v>
      </c>
      <c r="I221" s="10">
        <f>(EXPENSES!$B:$B)</f>
        <v>0</v>
      </c>
      <c r="J221" s="10">
        <f>(EXPENSES!$C:$C)</f>
        <v>0</v>
      </c>
      <c r="K221" s="10">
        <f>(EXPENSES!$D:$D)</f>
        <v>0</v>
      </c>
      <c r="P221" s="2"/>
      <c r="Q221" s="7"/>
      <c r="R221" s="17"/>
      <c r="U221" s="17"/>
    </row>
    <row r="222" spans="1:21" ht="18.75" customHeight="1" x14ac:dyDescent="0.3">
      <c r="A222" s="32" t="str">
        <f>(SALES!$A:$A)</f>
        <v>Monday, 8 January 2024</v>
      </c>
      <c r="B222" s="1">
        <f>(SALES!$C:$C)</f>
        <v>25</v>
      </c>
      <c r="C222" s="1">
        <f>(SALES!$D:$D)</f>
        <v>2</v>
      </c>
      <c r="D222" s="1" t="str">
        <f>(SALES!$E:$E)</f>
        <v>MATOOKE</v>
      </c>
      <c r="E222" s="1">
        <f>(SALES!$F:$F)</f>
        <v>10000</v>
      </c>
      <c r="F222" s="1">
        <f>(SALES!$G:$G)</f>
        <v>20000</v>
      </c>
      <c r="H222" s="2">
        <f>(EXPENSES!$A:$A)</f>
        <v>0</v>
      </c>
      <c r="I222" s="10">
        <f>(EXPENSES!$B:$B)</f>
        <v>0</v>
      </c>
      <c r="J222" s="10">
        <f>(EXPENSES!$C:$C)</f>
        <v>0</v>
      </c>
      <c r="K222" s="10">
        <f>(EXPENSES!$D:$D)</f>
        <v>0</v>
      </c>
      <c r="P222" s="2"/>
      <c r="Q222" s="7"/>
      <c r="R222" s="17"/>
      <c r="U222" s="17"/>
    </row>
    <row r="223" spans="1:21" ht="18.75" customHeight="1" x14ac:dyDescent="0.3">
      <c r="A223" s="32" t="str">
        <f>(SALES!$A:$A)</f>
        <v>Monday, 8 January 2024</v>
      </c>
      <c r="B223" s="1">
        <f>(SALES!$C:$C)</f>
        <v>26</v>
      </c>
      <c r="C223" s="1">
        <f>(SALES!$D:$D)</f>
        <v>2</v>
      </c>
      <c r="D223" s="1" t="str">
        <f>(SALES!$E:$E)</f>
        <v>MATOOKE KGS</v>
      </c>
      <c r="E223" s="1">
        <f>(SALES!$F:$F)</f>
        <v>1500</v>
      </c>
      <c r="F223" s="1">
        <f>(SALES!$G:$G)</f>
        <v>3000</v>
      </c>
      <c r="H223" s="2">
        <f>(EXPENSES!$A:$A)</f>
        <v>0</v>
      </c>
      <c r="I223" s="10">
        <f>(EXPENSES!$B:$B)</f>
        <v>0</v>
      </c>
      <c r="J223" s="10">
        <f>(EXPENSES!$C:$C)</f>
        <v>0</v>
      </c>
      <c r="K223" s="10">
        <f>(EXPENSES!$D:$D)</f>
        <v>0</v>
      </c>
      <c r="P223" s="2"/>
      <c r="Q223" s="7"/>
      <c r="R223" s="17"/>
      <c r="U223" s="17"/>
    </row>
    <row r="224" spans="1:21" ht="18.75" customHeight="1" x14ac:dyDescent="0.3">
      <c r="A224" s="32" t="str">
        <f>(SALES!$A:$A)</f>
        <v>Monday, 8 January 2024</v>
      </c>
      <c r="B224" s="1">
        <f>(SALES!$C:$C)</f>
        <v>27</v>
      </c>
      <c r="C224" s="1">
        <f>(SALES!$D:$D)</f>
        <v>2</v>
      </c>
      <c r="D224" s="1" t="str">
        <f>(SALES!$E:$E)</f>
        <v>SAUSAGES</v>
      </c>
      <c r="E224" s="1">
        <f>(SALES!$F:$F)</f>
        <v>30000</v>
      </c>
      <c r="F224" s="1">
        <f>(SALES!$G:$G)</f>
        <v>60000</v>
      </c>
      <c r="H224" s="2">
        <f>(EXPENSES!$A:$A)</f>
        <v>0</v>
      </c>
      <c r="I224" s="10">
        <f>(EXPENSES!$B:$B)</f>
        <v>0</v>
      </c>
      <c r="J224" s="10">
        <f>(EXPENSES!$C:$C)</f>
        <v>0</v>
      </c>
      <c r="K224" s="10">
        <f>(EXPENSES!$D:$D)</f>
        <v>0</v>
      </c>
      <c r="P224" s="2"/>
      <c r="Q224" s="7"/>
      <c r="R224" s="17"/>
      <c r="U224" s="17"/>
    </row>
    <row r="225" spans="1:21" ht="18.75" customHeight="1" x14ac:dyDescent="0.3">
      <c r="A225" s="32" t="str">
        <f>(SALES!$A:$A)</f>
        <v>Monday, 8 January 2024</v>
      </c>
      <c r="B225" s="1">
        <f>(SALES!$C:$C)</f>
        <v>28</v>
      </c>
      <c r="C225" s="1">
        <f>(SALES!$D:$D)</f>
        <v>1</v>
      </c>
      <c r="D225" s="1" t="str">
        <f>(SALES!$E:$E)</f>
        <v>BEEF FILLET</v>
      </c>
      <c r="E225" s="1">
        <f>(SALES!$F:$F)</f>
        <v>30000</v>
      </c>
      <c r="F225" s="1">
        <f>(SALES!$G:$G)</f>
        <v>30000</v>
      </c>
      <c r="H225" s="2">
        <f>(EXPENSES!$A:$A)</f>
        <v>0</v>
      </c>
      <c r="I225" s="10">
        <f>(EXPENSES!$B:$B)</f>
        <v>0</v>
      </c>
      <c r="J225" s="10">
        <f>(EXPENSES!$C:$C)</f>
        <v>0</v>
      </c>
      <c r="K225" s="10">
        <f>(EXPENSES!$D:$D)</f>
        <v>0</v>
      </c>
      <c r="P225" s="2"/>
      <c r="Q225" s="7"/>
      <c r="R225" s="17"/>
      <c r="U225" s="17"/>
    </row>
    <row r="226" spans="1:21" ht="18.75" customHeight="1" x14ac:dyDescent="0.3">
      <c r="A226" s="32" t="str">
        <f>(SALES!$A:$A)</f>
        <v>Monday, 8 January 2024</v>
      </c>
      <c r="B226" s="1">
        <f>(SALES!$C:$C)</f>
        <v>29</v>
      </c>
      <c r="C226" s="1">
        <f>(SALES!$D:$D)</f>
        <v>1</v>
      </c>
      <c r="D226" s="1" t="str">
        <f>(SALES!$E:$E)</f>
        <v>GONJA</v>
      </c>
      <c r="E226" s="1">
        <f>(SALES!$F:$F)</f>
        <v>5000</v>
      </c>
      <c r="F226" s="1">
        <f>(SALES!$G:$G)</f>
        <v>5000</v>
      </c>
      <c r="H226" s="2">
        <f>(EXPENSES!$A:$A)</f>
        <v>0</v>
      </c>
      <c r="I226" s="10">
        <f>(EXPENSES!$B:$B)</f>
        <v>0</v>
      </c>
      <c r="J226" s="10">
        <f>(EXPENSES!$C:$C)</f>
        <v>0</v>
      </c>
      <c r="K226" s="10">
        <f>(EXPENSES!$D:$D)</f>
        <v>0</v>
      </c>
      <c r="P226" s="2"/>
      <c r="Q226" s="7"/>
      <c r="R226" s="17"/>
      <c r="U226" s="17"/>
    </row>
    <row r="227" spans="1:21" ht="18.75" customHeight="1" x14ac:dyDescent="0.3">
      <c r="A227" s="32" t="str">
        <f>(SALES!$A:$A)</f>
        <v>Monday, 8 January 2024</v>
      </c>
      <c r="B227" s="1">
        <f>(SALES!$C:$C)</f>
        <v>30</v>
      </c>
      <c r="C227" s="1">
        <f>(SALES!$D:$D)</f>
        <v>4</v>
      </c>
      <c r="D227" s="1" t="str">
        <f>(SALES!$E:$E)</f>
        <v>DOG BONES</v>
      </c>
      <c r="E227" s="1">
        <f>(SALES!$F:$F)</f>
        <v>4000</v>
      </c>
      <c r="F227" s="1">
        <f>(SALES!$G:$G)</f>
        <v>16000</v>
      </c>
      <c r="H227" s="2">
        <f>(EXPENSES!$A:$A)</f>
        <v>0</v>
      </c>
      <c r="I227" s="10">
        <f>(EXPENSES!$B:$B)</f>
        <v>0</v>
      </c>
      <c r="J227" s="10">
        <f>(EXPENSES!$C:$C)</f>
        <v>0</v>
      </c>
      <c r="K227" s="10">
        <f>(EXPENSES!$D:$D)</f>
        <v>0</v>
      </c>
      <c r="P227" s="2"/>
      <c r="Q227" s="7"/>
      <c r="R227" s="17"/>
      <c r="U227" s="17"/>
    </row>
    <row r="228" spans="1:21" ht="18.75" customHeight="1" x14ac:dyDescent="0.3">
      <c r="A228" s="32" t="str">
        <f>(SALES!$A:$A)</f>
        <v>Monday, 8 January 2024</v>
      </c>
      <c r="B228" s="1">
        <f>(SALES!$C:$C)</f>
        <v>31</v>
      </c>
      <c r="C228" s="1">
        <f>(SALES!$D:$D)</f>
        <v>1</v>
      </c>
      <c r="D228" s="1" t="str">
        <f>(SALES!$E:$E)</f>
        <v>GNUTS</v>
      </c>
      <c r="E228" s="1">
        <f>(SALES!$F:$F)</f>
        <v>10000</v>
      </c>
      <c r="F228" s="1">
        <f>(SALES!$G:$G)</f>
        <v>10000</v>
      </c>
      <c r="H228" s="2">
        <f>(EXPENSES!$A:$A)</f>
        <v>0</v>
      </c>
      <c r="I228" s="10">
        <f>(EXPENSES!$B:$B)</f>
        <v>0</v>
      </c>
      <c r="J228" s="10">
        <f>(EXPENSES!$C:$C)</f>
        <v>0</v>
      </c>
      <c r="K228" s="10">
        <f>(EXPENSES!$D:$D)</f>
        <v>0</v>
      </c>
      <c r="P228" s="2"/>
      <c r="Q228" s="7"/>
      <c r="R228" s="17"/>
      <c r="U228" s="17"/>
    </row>
    <row r="229" spans="1:21" ht="18.75" customHeight="1" x14ac:dyDescent="0.3">
      <c r="A229" s="32" t="str">
        <f>(SALES!$A:$A)</f>
        <v>Monday, 8 January 2024</v>
      </c>
      <c r="B229" s="1">
        <f>(SALES!$C:$C)</f>
        <v>32</v>
      </c>
      <c r="C229" s="1">
        <f>(SALES!$D:$D)</f>
        <v>2</v>
      </c>
      <c r="D229" s="1" t="str">
        <f>(SALES!$E:$E)</f>
        <v>MATOOKE</v>
      </c>
      <c r="E229" s="1">
        <f>(SALES!$F:$F)</f>
        <v>10000</v>
      </c>
      <c r="F229" s="1">
        <f>(SALES!$G:$G)</f>
        <v>20000</v>
      </c>
      <c r="H229" s="2">
        <f>(EXPENSES!$A:$A)</f>
        <v>0</v>
      </c>
      <c r="I229" s="10">
        <f>(EXPENSES!$B:$B)</f>
        <v>0</v>
      </c>
      <c r="J229" s="10">
        <f>(EXPENSES!$C:$C)</f>
        <v>0</v>
      </c>
      <c r="K229" s="10">
        <f>(EXPENSES!$D:$D)</f>
        <v>0</v>
      </c>
      <c r="P229" s="2"/>
      <c r="Q229" s="7"/>
      <c r="R229" s="17"/>
      <c r="U229" s="17"/>
    </row>
    <row r="230" spans="1:21" ht="18.75" customHeight="1" x14ac:dyDescent="0.3">
      <c r="A230" s="32" t="str">
        <f>(SALES!$A:$A)</f>
        <v>Monday, 8 January 2024</v>
      </c>
      <c r="B230" s="1">
        <f>(SALES!$C:$C)</f>
        <v>33</v>
      </c>
      <c r="C230" s="1">
        <f>(SALES!$D:$D)</f>
        <v>2</v>
      </c>
      <c r="D230" s="1" t="str">
        <f>(SALES!$E:$E)</f>
        <v>DOG MINCE</v>
      </c>
      <c r="E230" s="1">
        <f>(SALES!$F:$F)</f>
        <v>5000</v>
      </c>
      <c r="F230" s="1">
        <f>(SALES!$G:$G)</f>
        <v>10000</v>
      </c>
      <c r="H230" s="2">
        <f>(EXPENSES!$A:$A)</f>
        <v>0</v>
      </c>
      <c r="I230" s="10">
        <f>(EXPENSES!$B:$B)</f>
        <v>0</v>
      </c>
      <c r="J230" s="10">
        <f>(EXPENSES!$C:$C)</f>
        <v>0</v>
      </c>
      <c r="K230" s="10">
        <f>(EXPENSES!$D:$D)</f>
        <v>0</v>
      </c>
      <c r="P230" s="2"/>
      <c r="Q230" s="7"/>
      <c r="R230" s="17"/>
      <c r="U230" s="17"/>
    </row>
    <row r="231" spans="1:21" ht="18.75" customHeight="1" x14ac:dyDescent="0.3">
      <c r="A231" s="32" t="str">
        <f>(SALES!$A:$A)</f>
        <v>Monday, 8 January 2024</v>
      </c>
      <c r="B231" s="1">
        <f>(SALES!$C:$C)</f>
        <v>34</v>
      </c>
      <c r="C231" s="1">
        <f>(SALES!$D:$D)</f>
        <v>2</v>
      </c>
      <c r="D231" s="1" t="str">
        <f>(SALES!$E:$E)</f>
        <v>DOG BONES</v>
      </c>
      <c r="E231" s="1">
        <f>(SALES!$F:$F)</f>
        <v>4000</v>
      </c>
      <c r="F231" s="1">
        <f>(SALES!$G:$G)</f>
        <v>8000</v>
      </c>
      <c r="H231" s="2">
        <f>(EXPENSES!$A:$A)</f>
        <v>0</v>
      </c>
      <c r="I231" s="10">
        <f>(EXPENSES!$B:$B)</f>
        <v>0</v>
      </c>
      <c r="J231" s="10">
        <f>(EXPENSES!$C:$C)</f>
        <v>0</v>
      </c>
      <c r="K231" s="10">
        <f>(EXPENSES!$D:$D)</f>
        <v>0</v>
      </c>
      <c r="P231" s="2"/>
      <c r="Q231" s="7"/>
      <c r="R231" s="17"/>
      <c r="U231" s="17"/>
    </row>
    <row r="232" spans="1:21" ht="18.75" customHeight="1" x14ac:dyDescent="0.3">
      <c r="A232" s="32" t="str">
        <f>(SALES!$A:$A)</f>
        <v>Monday, 8 January 2024</v>
      </c>
      <c r="B232" s="1">
        <f>(SALES!$C:$C)</f>
        <v>35</v>
      </c>
      <c r="C232" s="1">
        <f>(SALES!$D:$D)</f>
        <v>2</v>
      </c>
      <c r="D232" s="1" t="str">
        <f>(SALES!$E:$E)</f>
        <v>MATOOKE KGS</v>
      </c>
      <c r="E232" s="1">
        <f>(SALES!$F:$F)</f>
        <v>1500</v>
      </c>
      <c r="F232" s="1">
        <f>(SALES!$G:$G)</f>
        <v>3000</v>
      </c>
      <c r="H232" s="2">
        <f>(EXPENSES!$A:$A)</f>
        <v>0</v>
      </c>
      <c r="I232" s="10">
        <f>(EXPENSES!$B:$B)</f>
        <v>0</v>
      </c>
      <c r="J232" s="10">
        <f>(EXPENSES!$C:$C)</f>
        <v>0</v>
      </c>
      <c r="K232" s="10">
        <f>(EXPENSES!$D:$D)</f>
        <v>0</v>
      </c>
      <c r="P232" s="2"/>
      <c r="Q232" s="7"/>
      <c r="R232" s="19"/>
      <c r="T232" s="4"/>
      <c r="U232" s="17"/>
    </row>
    <row r="233" spans="1:21" ht="18.75" customHeight="1" x14ac:dyDescent="0.3">
      <c r="A233" s="32" t="str">
        <f>(SALES!$A:$A)</f>
        <v>Monday, 8 January 2024</v>
      </c>
      <c r="B233" s="1">
        <f>(SALES!$C:$C)</f>
        <v>36</v>
      </c>
      <c r="C233" s="1">
        <f>(SALES!$D:$D)</f>
        <v>1</v>
      </c>
      <c r="D233" s="1" t="str">
        <f>(SALES!$E:$E)</f>
        <v xml:space="preserve">GHEE </v>
      </c>
      <c r="E233" s="1">
        <f>(SALES!$F:$F)</f>
        <v>25000</v>
      </c>
      <c r="F233" s="1">
        <f>(SALES!$G:$G)</f>
        <v>25000</v>
      </c>
      <c r="H233" s="2">
        <f>(EXPENSES!$A:$A)</f>
        <v>0</v>
      </c>
      <c r="I233" s="10">
        <f>(EXPENSES!$B:$B)</f>
        <v>0</v>
      </c>
      <c r="J233" s="10">
        <f>(EXPENSES!$C:$C)</f>
        <v>0</v>
      </c>
      <c r="K233" s="10">
        <f>(EXPENSES!$D:$D)</f>
        <v>0</v>
      </c>
      <c r="P233" s="2"/>
      <c r="Q233" s="7"/>
      <c r="R233" s="19"/>
      <c r="T233" s="4"/>
      <c r="U233" s="17"/>
    </row>
    <row r="234" spans="1:21" ht="18.75" customHeight="1" x14ac:dyDescent="0.3">
      <c r="A234" s="32" t="str">
        <f>(SALES!$A:$A)</f>
        <v>Monday, 8 January 2024</v>
      </c>
      <c r="B234" s="1">
        <f>(SALES!$C:$C)</f>
        <v>37</v>
      </c>
      <c r="C234" s="1">
        <f>(SALES!$D:$D)</f>
        <v>1</v>
      </c>
      <c r="D234" s="1" t="str">
        <f>(SALES!$E:$E)</f>
        <v>GONJA</v>
      </c>
      <c r="E234" s="1">
        <f>(SALES!$F:$F)</f>
        <v>7000</v>
      </c>
      <c r="F234" s="1">
        <f>(SALES!$G:$G)</f>
        <v>7000</v>
      </c>
      <c r="H234" s="2">
        <f>(EXPENSES!$A:$A)</f>
        <v>0</v>
      </c>
      <c r="I234" s="10">
        <f>(EXPENSES!$B:$B)</f>
        <v>0</v>
      </c>
      <c r="J234" s="10">
        <f>(EXPENSES!$C:$C)</f>
        <v>0</v>
      </c>
      <c r="K234" s="10">
        <f>(EXPENSES!$D:$D)</f>
        <v>0</v>
      </c>
      <c r="P234" s="2"/>
      <c r="Q234" s="7"/>
      <c r="R234" s="19"/>
      <c r="T234" s="4"/>
      <c r="U234" s="17"/>
    </row>
    <row r="235" spans="1:21" ht="18.75" customHeight="1" x14ac:dyDescent="0.3">
      <c r="A235" s="32" t="str">
        <f>(SALES!$A:$A)</f>
        <v>Monday, 8 January 2024</v>
      </c>
      <c r="B235" s="1">
        <f>(SALES!$C:$C)</f>
        <v>38</v>
      </c>
      <c r="C235" s="1">
        <f>(SALES!$D:$D)</f>
        <v>2</v>
      </c>
      <c r="D235" s="1" t="str">
        <f>(SALES!$E:$E)</f>
        <v>MATOOKE KGS</v>
      </c>
      <c r="E235" s="1">
        <f>(SALES!$F:$F)</f>
        <v>1500</v>
      </c>
      <c r="F235" s="1">
        <f>(SALES!$G:$G)</f>
        <v>3000</v>
      </c>
      <c r="H235" s="2">
        <f>(EXPENSES!$A:$A)</f>
        <v>0</v>
      </c>
      <c r="I235" s="10">
        <f>(EXPENSES!$B:$B)</f>
        <v>0</v>
      </c>
      <c r="J235" s="10">
        <f>(EXPENSES!$C:$C)</f>
        <v>0</v>
      </c>
      <c r="K235" s="10">
        <f>(EXPENSES!$D:$D)</f>
        <v>0</v>
      </c>
      <c r="P235" s="2"/>
      <c r="Q235" s="7"/>
      <c r="R235" s="19"/>
      <c r="T235" s="4"/>
      <c r="U235" s="17"/>
    </row>
    <row r="236" spans="1:21" ht="18.75" customHeight="1" x14ac:dyDescent="0.3">
      <c r="A236" s="32" t="str">
        <f>(SALES!$A:$A)</f>
        <v>Monday, 8 January 2024</v>
      </c>
      <c r="B236" s="1">
        <f>(SALES!$C:$C)</f>
        <v>39</v>
      </c>
      <c r="C236" s="1">
        <f>(SALES!$D:$D)</f>
        <v>1</v>
      </c>
      <c r="D236" s="1" t="str">
        <f>(SALES!$E:$E)</f>
        <v>LOCAL EGGS</v>
      </c>
      <c r="E236" s="1">
        <f>(SALES!$F:$F)</f>
        <v>25000</v>
      </c>
      <c r="F236" s="1">
        <f>(SALES!$G:$G)</f>
        <v>25000</v>
      </c>
      <c r="H236" s="2">
        <f>(EXPENSES!$A:$A)</f>
        <v>0</v>
      </c>
      <c r="I236" s="10">
        <f>(EXPENSES!$B:$B)</f>
        <v>0</v>
      </c>
      <c r="J236" s="10">
        <f>(EXPENSES!$C:$C)</f>
        <v>0</v>
      </c>
      <c r="K236" s="10">
        <f>(EXPENSES!$D:$D)</f>
        <v>0</v>
      </c>
      <c r="P236" s="2"/>
      <c r="Q236" s="7"/>
      <c r="R236" s="19"/>
      <c r="T236" s="4"/>
      <c r="U236" s="17"/>
    </row>
    <row r="237" spans="1:21" ht="18.75" customHeight="1" x14ac:dyDescent="0.3">
      <c r="A237" s="32" t="str">
        <f>(SALES!$A:$A)</f>
        <v>Monday, 8 January 2024</v>
      </c>
      <c r="B237" s="1">
        <f>(SALES!$C:$C)</f>
        <v>40</v>
      </c>
      <c r="C237" s="1">
        <f>(SALES!$D:$D)</f>
        <v>6.7</v>
      </c>
      <c r="D237" s="1" t="str">
        <f>(SALES!$E:$E)</f>
        <v>MATOOKE KGS</v>
      </c>
      <c r="E237" s="1">
        <f>(SALES!$F:$F)</f>
        <v>1500</v>
      </c>
      <c r="F237" s="1">
        <f>(SALES!$G:$G)</f>
        <v>10050</v>
      </c>
      <c r="H237" s="2">
        <f>(EXPENSES!$A:$A)</f>
        <v>0</v>
      </c>
      <c r="I237" s="10">
        <f>(EXPENSES!$B:$B)</f>
        <v>0</v>
      </c>
      <c r="J237" s="10">
        <f>(EXPENSES!$C:$C)</f>
        <v>0</v>
      </c>
      <c r="K237" s="10">
        <f>(EXPENSES!$D:$D)</f>
        <v>0</v>
      </c>
      <c r="P237" s="2"/>
      <c r="Q237" s="7"/>
      <c r="R237" s="19"/>
      <c r="T237" s="4"/>
      <c r="U237" s="17"/>
    </row>
    <row r="238" spans="1:21" ht="18.75" customHeight="1" x14ac:dyDescent="0.3">
      <c r="A238" s="32" t="str">
        <f>(SALES!$A:$A)</f>
        <v>Monday, 8 January 2024</v>
      </c>
      <c r="B238" s="1">
        <f>(SALES!$C:$C)</f>
        <v>43</v>
      </c>
      <c r="C238" s="1">
        <f>(SALES!$D:$D)</f>
        <v>2</v>
      </c>
      <c r="D238" s="1" t="str">
        <f>(SALES!$E:$E)</f>
        <v>MATOOKE KGS</v>
      </c>
      <c r="E238" s="1">
        <f>(SALES!$F:$F)</f>
        <v>1500</v>
      </c>
      <c r="F238" s="1">
        <f>(SALES!$G:$G)</f>
        <v>3000</v>
      </c>
      <c r="H238" s="2">
        <f>(EXPENSES!$A:$A)</f>
        <v>0</v>
      </c>
      <c r="I238" s="10">
        <f>(EXPENSES!$B:$B)</f>
        <v>0</v>
      </c>
      <c r="J238" s="10">
        <f>(EXPENSES!$C:$C)</f>
        <v>0</v>
      </c>
      <c r="K238" s="10">
        <f>(EXPENSES!$D:$D)</f>
        <v>0</v>
      </c>
      <c r="P238" s="2"/>
      <c r="Q238" s="7"/>
      <c r="R238" s="19"/>
      <c r="T238" s="4"/>
      <c r="U238" s="17"/>
    </row>
    <row r="239" spans="1:21" ht="18.75" customHeight="1" x14ac:dyDescent="0.3">
      <c r="A239" s="32" t="str">
        <f>(SALES!$A:$A)</f>
        <v>Monday, 8 January 2024</v>
      </c>
      <c r="B239" s="1">
        <f>(SALES!$C:$C)</f>
        <v>44</v>
      </c>
      <c r="C239" s="1">
        <f>(SALES!$D:$D)</f>
        <v>1</v>
      </c>
      <c r="D239" s="1" t="str">
        <f>(SALES!$E:$E)</f>
        <v>MILK</v>
      </c>
      <c r="E239" s="1">
        <f>(SALES!$F:$F)</f>
        <v>2000</v>
      </c>
      <c r="F239" s="1">
        <f>(SALES!$G:$G)</f>
        <v>2000</v>
      </c>
      <c r="H239" s="2">
        <f>(EXPENSES!$A:$A)</f>
        <v>0</v>
      </c>
      <c r="I239" s="10">
        <f>(EXPENSES!$B:$B)</f>
        <v>0</v>
      </c>
      <c r="J239" s="10">
        <f>(EXPENSES!$C:$C)</f>
        <v>0</v>
      </c>
      <c r="K239" s="10">
        <f>(EXPENSES!$D:$D)</f>
        <v>0</v>
      </c>
      <c r="P239" s="2"/>
      <c r="Q239" s="7"/>
      <c r="R239" s="19"/>
      <c r="T239" s="4"/>
      <c r="U239" s="17"/>
    </row>
    <row r="240" spans="1:21" ht="18.75" customHeight="1" x14ac:dyDescent="0.3">
      <c r="A240" s="32" t="str">
        <f>(SALES!$A:$A)</f>
        <v>Monday, 8 January 2024</v>
      </c>
      <c r="B240" s="1">
        <f>(SALES!$C:$C)</f>
        <v>45</v>
      </c>
      <c r="C240" s="1">
        <f>(SALES!$D:$D)</f>
        <v>1</v>
      </c>
      <c r="D240" s="1" t="str">
        <f>(SALES!$E:$E)</f>
        <v>DOG BONES</v>
      </c>
      <c r="E240" s="1">
        <f>(SALES!$F:$F)</f>
        <v>4000</v>
      </c>
      <c r="F240" s="1">
        <f>(SALES!$G:$G)</f>
        <v>4000</v>
      </c>
      <c r="H240" s="2">
        <f>(EXPENSES!$A:$A)</f>
        <v>0</v>
      </c>
      <c r="I240" s="10">
        <f>(EXPENSES!$B:$B)</f>
        <v>0</v>
      </c>
      <c r="J240" s="10">
        <f>(EXPENSES!$C:$C)</f>
        <v>0</v>
      </c>
      <c r="K240" s="10">
        <f>(EXPENSES!$D:$D)</f>
        <v>0</v>
      </c>
      <c r="P240" s="2"/>
      <c r="Q240" s="7"/>
      <c r="R240" s="19"/>
      <c r="T240" s="4"/>
      <c r="U240" s="17"/>
    </row>
    <row r="241" spans="1:21" ht="18.75" customHeight="1" x14ac:dyDescent="0.3">
      <c r="A241" s="32" t="str">
        <f>(SALES!$A:$A)</f>
        <v>Monday, 8 January 2024</v>
      </c>
      <c r="B241" s="1">
        <f>(SALES!$C:$C)</f>
        <v>46</v>
      </c>
      <c r="C241" s="1">
        <f>(SALES!$D:$D)</f>
        <v>1</v>
      </c>
      <c r="D241" s="1" t="str">
        <f>(SALES!$E:$E)</f>
        <v>MATOOKE</v>
      </c>
      <c r="E241" s="1">
        <f>(SALES!$F:$F)</f>
        <v>8000</v>
      </c>
      <c r="F241" s="1">
        <f>(SALES!$G:$G)</f>
        <v>8000</v>
      </c>
      <c r="H241" s="2">
        <f>(EXPENSES!$A:$A)</f>
        <v>0</v>
      </c>
      <c r="I241" s="10">
        <f>(EXPENSES!$B:$B)</f>
        <v>0</v>
      </c>
      <c r="J241" s="10">
        <f>(EXPENSES!$C:$C)</f>
        <v>0</v>
      </c>
      <c r="K241" s="10">
        <f>(EXPENSES!$D:$D)</f>
        <v>0</v>
      </c>
      <c r="P241" s="2"/>
      <c r="Q241" s="7"/>
      <c r="R241" s="19"/>
      <c r="T241" s="4"/>
      <c r="U241" s="17"/>
    </row>
    <row r="242" spans="1:21" ht="18.75" customHeight="1" x14ac:dyDescent="0.3">
      <c r="A242" s="32" t="str">
        <f>(SALES!$A:$A)</f>
        <v>Monday, 8 January 2024</v>
      </c>
      <c r="B242" s="1">
        <f>(SALES!$C:$C)</f>
        <v>47</v>
      </c>
      <c r="C242" s="1">
        <f>(SALES!$D:$D)</f>
        <v>1</v>
      </c>
      <c r="D242" s="1" t="str">
        <f>(SALES!$E:$E)</f>
        <v>GONJA</v>
      </c>
      <c r="E242" s="1">
        <f>(SALES!$F:$F)</f>
        <v>5000</v>
      </c>
      <c r="F242" s="1">
        <f>(SALES!$G:$G)</f>
        <v>5000</v>
      </c>
      <c r="H242" s="2">
        <f>(EXPENSES!$A:$A)</f>
        <v>0</v>
      </c>
      <c r="I242" s="10">
        <f>(EXPENSES!$B:$B)</f>
        <v>0</v>
      </c>
      <c r="J242" s="10">
        <f>(EXPENSES!$C:$C)</f>
        <v>0</v>
      </c>
      <c r="K242" s="10">
        <f>(EXPENSES!$D:$D)</f>
        <v>0</v>
      </c>
      <c r="P242" s="2"/>
      <c r="Q242" s="7"/>
      <c r="R242" s="17"/>
      <c r="U242" s="17"/>
    </row>
    <row r="243" spans="1:21" ht="18.75" customHeight="1" x14ac:dyDescent="0.3">
      <c r="A243" s="32" t="str">
        <f>(SALES!$A:$A)</f>
        <v>Tuesday, 9 January 2024</v>
      </c>
      <c r="B243" s="1">
        <f>(SALES!$C:$C)</f>
        <v>48</v>
      </c>
      <c r="C243" s="1">
        <f>(SALES!$D:$D)</f>
        <v>1</v>
      </c>
      <c r="D243" s="1" t="str">
        <f>(SALES!$E:$E)</f>
        <v>MILK</v>
      </c>
      <c r="E243" s="1">
        <f>(SALES!$F:$F)</f>
        <v>2000</v>
      </c>
      <c r="F243" s="1">
        <f>(SALES!$G:$G)</f>
        <v>2000</v>
      </c>
      <c r="H243" s="2">
        <f>(EXPENSES!$A:$A)</f>
        <v>0</v>
      </c>
      <c r="I243" s="10">
        <f>(EXPENSES!$B:$B)</f>
        <v>0</v>
      </c>
      <c r="J243" s="10">
        <f>(EXPENSES!$C:$C)</f>
        <v>0</v>
      </c>
      <c r="K243" s="10">
        <f>(EXPENSES!$D:$D)</f>
        <v>0</v>
      </c>
      <c r="P243" s="2"/>
      <c r="Q243" s="7"/>
      <c r="R243" s="19"/>
      <c r="T243" s="4"/>
      <c r="U243" s="17"/>
    </row>
    <row r="244" spans="1:21" ht="18.75" customHeight="1" x14ac:dyDescent="0.3">
      <c r="A244" s="32" t="str">
        <f>(SALES!$A:$A)</f>
        <v>Tuesday, 9 January 2024</v>
      </c>
      <c r="B244" s="1">
        <f>(SALES!$C:$C)</f>
        <v>50</v>
      </c>
      <c r="C244" s="1">
        <f>(SALES!$D:$D)</f>
        <v>1</v>
      </c>
      <c r="D244" s="1" t="str">
        <f>(SALES!$E:$E)</f>
        <v>MATOOKE KGS</v>
      </c>
      <c r="E244" s="1">
        <f>(SALES!$F:$F)</f>
        <v>1500</v>
      </c>
      <c r="F244" s="1">
        <f>(SALES!$G:$G)</f>
        <v>1500</v>
      </c>
      <c r="H244" s="2">
        <f>(EXPENSES!$A:$A)</f>
        <v>0</v>
      </c>
      <c r="I244" s="10">
        <f>(EXPENSES!$B:$B)</f>
        <v>0</v>
      </c>
      <c r="J244" s="10">
        <f>(EXPENSES!$C:$C)</f>
        <v>0</v>
      </c>
      <c r="K244" s="10">
        <f>(EXPENSES!$D:$D)</f>
        <v>0</v>
      </c>
      <c r="P244" s="2"/>
      <c r="Q244" s="7"/>
      <c r="R244" s="19"/>
      <c r="T244" s="4"/>
      <c r="U244" s="17"/>
    </row>
    <row r="245" spans="1:21" ht="18.75" customHeight="1" x14ac:dyDescent="0.3">
      <c r="A245" s="32" t="str">
        <f>(SALES!$A:$A)</f>
        <v>Tuesday, 9 January 2024</v>
      </c>
      <c r="B245" s="1">
        <f>(SALES!$C:$C)</f>
        <v>1</v>
      </c>
      <c r="C245" s="1">
        <f>(SALES!$D:$D)</f>
        <v>1</v>
      </c>
      <c r="D245" s="1" t="str">
        <f>(SALES!$E:$E)</f>
        <v>MATOOKE</v>
      </c>
      <c r="E245" s="1">
        <f>(SALES!$F:$F)</f>
        <v>10000</v>
      </c>
      <c r="F245" s="1">
        <f>(SALES!$G:$G)</f>
        <v>10000</v>
      </c>
      <c r="H245" s="2">
        <f>(EXPENSES!$A:$A)</f>
        <v>0</v>
      </c>
      <c r="I245" s="10">
        <f>(EXPENSES!$B:$B)</f>
        <v>0</v>
      </c>
      <c r="J245" s="10">
        <f>(EXPENSES!$C:$C)</f>
        <v>0</v>
      </c>
      <c r="K245" s="10">
        <f>(EXPENSES!$D:$D)</f>
        <v>0</v>
      </c>
      <c r="P245" s="2"/>
      <c r="Q245" s="7"/>
      <c r="R245" s="19"/>
      <c r="T245" s="4"/>
      <c r="U245" s="17"/>
    </row>
    <row r="246" spans="1:21" ht="18.75" customHeight="1" x14ac:dyDescent="0.3">
      <c r="A246" s="32" t="str">
        <f>(SALES!$A:$A)</f>
        <v>Tuesday, 9 January 2024</v>
      </c>
      <c r="B246" s="1">
        <f>(SALES!$C:$C)</f>
        <v>2</v>
      </c>
      <c r="C246" s="1">
        <f>(SALES!$D:$D)</f>
        <v>1</v>
      </c>
      <c r="D246" s="1" t="str">
        <f>(SALES!$E:$E)</f>
        <v>GOAT</v>
      </c>
      <c r="E246" s="1">
        <f>(SALES!$F:$F)</f>
        <v>20000</v>
      </c>
      <c r="F246" s="1">
        <f>(SALES!$G:$G)</f>
        <v>20000</v>
      </c>
      <c r="H246" s="2">
        <f>(EXPENSES!$A:$A)</f>
        <v>0</v>
      </c>
      <c r="I246" s="10">
        <f>(EXPENSES!$B:$B)</f>
        <v>0</v>
      </c>
      <c r="J246" s="10">
        <f>(EXPENSES!$C:$C)</f>
        <v>0</v>
      </c>
      <c r="K246" s="10">
        <f>(EXPENSES!$D:$D)</f>
        <v>0</v>
      </c>
      <c r="P246" s="2"/>
      <c r="Q246" s="7"/>
      <c r="R246" s="19"/>
      <c r="T246" s="4"/>
      <c r="U246" s="17"/>
    </row>
    <row r="247" spans="1:21" ht="18.75" customHeight="1" x14ac:dyDescent="0.3">
      <c r="A247" s="32" t="str">
        <f>(SALES!$A:$A)</f>
        <v>Tuesday, 9 January 2024</v>
      </c>
      <c r="B247" s="1">
        <f>(SALES!$C:$C)</f>
        <v>3</v>
      </c>
      <c r="C247" s="1">
        <f>(SALES!$D:$D)</f>
        <v>3.4</v>
      </c>
      <c r="D247" s="1" t="str">
        <f>(SALES!$E:$E)</f>
        <v>MATOOKE KGS</v>
      </c>
      <c r="E247" s="1">
        <f>(SALES!$F:$F)</f>
        <v>1500</v>
      </c>
      <c r="F247" s="1">
        <f>(SALES!$G:$G)</f>
        <v>5100</v>
      </c>
      <c r="H247" s="2">
        <f>(EXPENSES!$A:$A)</f>
        <v>0</v>
      </c>
      <c r="I247" s="10">
        <f>(EXPENSES!$B:$B)</f>
        <v>0</v>
      </c>
      <c r="J247" s="10">
        <f>(EXPENSES!$C:$C)</f>
        <v>0</v>
      </c>
      <c r="K247" s="10">
        <f>(EXPENSES!$D:$D)</f>
        <v>0</v>
      </c>
      <c r="P247" s="2"/>
      <c r="Q247" s="7"/>
      <c r="R247" s="19"/>
      <c r="T247" s="4"/>
      <c r="U247" s="17"/>
    </row>
    <row r="248" spans="1:21" ht="18.75" customHeight="1" x14ac:dyDescent="0.3">
      <c r="A248" s="32" t="str">
        <f>(SALES!$A:$A)</f>
        <v>Tuesday, 9 January 2024</v>
      </c>
      <c r="B248" s="1">
        <f>(SALES!$C:$C)</f>
        <v>4</v>
      </c>
      <c r="C248" s="1">
        <f>(SALES!$D:$D)</f>
        <v>2</v>
      </c>
      <c r="D248" s="1" t="str">
        <f>(SALES!$E:$E)</f>
        <v>MILK</v>
      </c>
      <c r="E248" s="1">
        <f>(SALES!$F:$F)</f>
        <v>2000</v>
      </c>
      <c r="F248" s="1">
        <f>(SALES!$G:$G)</f>
        <v>4000</v>
      </c>
      <c r="H248" s="2">
        <f>(EXPENSES!$A:$A)</f>
        <v>0</v>
      </c>
      <c r="I248" s="10">
        <f>(EXPENSES!$B:$B)</f>
        <v>0</v>
      </c>
      <c r="J248" s="10">
        <f>(EXPENSES!$C:$C)</f>
        <v>0</v>
      </c>
      <c r="K248" s="10">
        <f>(EXPENSES!$D:$D)</f>
        <v>0</v>
      </c>
      <c r="P248" s="2"/>
      <c r="Q248" s="7"/>
      <c r="R248" s="19"/>
      <c r="T248" s="4"/>
      <c r="U248" s="17"/>
    </row>
    <row r="249" spans="1:21" ht="18.75" customHeight="1" x14ac:dyDescent="0.3">
      <c r="A249" s="32" t="str">
        <f>(SALES!$A:$A)</f>
        <v>Tuesday, 9 January 2024</v>
      </c>
      <c r="B249" s="1">
        <f>(SALES!$C:$C)</f>
        <v>5</v>
      </c>
      <c r="C249" s="1">
        <f>(SALES!$D:$D)</f>
        <v>2</v>
      </c>
      <c r="D249" s="1" t="str">
        <f>(SALES!$E:$E)</f>
        <v>GONJA</v>
      </c>
      <c r="E249" s="1">
        <f>(SALES!$F:$F)</f>
        <v>5000</v>
      </c>
      <c r="F249" s="1">
        <f>(SALES!$G:$G)</f>
        <v>10000</v>
      </c>
      <c r="H249" s="2">
        <f>(EXPENSES!$A:$A)</f>
        <v>0</v>
      </c>
      <c r="I249" s="10">
        <f>(EXPENSES!$B:$B)</f>
        <v>0</v>
      </c>
      <c r="J249" s="10">
        <f>(EXPENSES!$C:$C)</f>
        <v>0</v>
      </c>
      <c r="K249" s="10">
        <f>(EXPENSES!$D:$D)</f>
        <v>0</v>
      </c>
      <c r="P249" s="2"/>
      <c r="Q249" s="7"/>
      <c r="R249" s="19"/>
      <c r="T249" s="4"/>
      <c r="U249" s="17"/>
    </row>
    <row r="250" spans="1:21" ht="18.75" customHeight="1" x14ac:dyDescent="0.3">
      <c r="A250" s="32" t="str">
        <f>(SALES!$A:$A)</f>
        <v>Tuesday, 9 January 2024</v>
      </c>
      <c r="B250" s="1">
        <f>(SALES!$C:$C)</f>
        <v>6</v>
      </c>
      <c r="C250" s="1">
        <f>(SALES!$D:$D)</f>
        <v>1</v>
      </c>
      <c r="D250" s="1" t="str">
        <f>(SALES!$E:$E)</f>
        <v>MATOOKE</v>
      </c>
      <c r="E250" s="1">
        <f>(SALES!$F:$F)</f>
        <v>25000</v>
      </c>
      <c r="F250" s="1">
        <f>(SALES!$G:$G)</f>
        <v>25000</v>
      </c>
      <c r="H250" s="2">
        <f>(EXPENSES!$A:$A)</f>
        <v>0</v>
      </c>
      <c r="I250" s="10">
        <f>(EXPENSES!$B:$B)</f>
        <v>0</v>
      </c>
      <c r="J250" s="10">
        <f>(EXPENSES!$C:$C)</f>
        <v>0</v>
      </c>
      <c r="K250" s="10">
        <f>(EXPENSES!$D:$D)</f>
        <v>0</v>
      </c>
      <c r="P250" s="2"/>
      <c r="Q250" s="7"/>
      <c r="R250" s="19"/>
      <c r="T250" s="4"/>
      <c r="U250" s="17"/>
    </row>
    <row r="251" spans="1:21" ht="18.75" customHeight="1" x14ac:dyDescent="0.3">
      <c r="A251" s="32" t="str">
        <f>(SALES!$A:$A)</f>
        <v>Tuesday, 9 January 2024</v>
      </c>
      <c r="B251" s="1">
        <f>(SALES!$C:$C)</f>
        <v>7</v>
      </c>
      <c r="C251" s="1">
        <f>(SALES!$D:$D)</f>
        <v>1</v>
      </c>
      <c r="D251" s="1" t="str">
        <f>(SALES!$E:$E)</f>
        <v>MATOOKE</v>
      </c>
      <c r="E251" s="1">
        <f>(SALES!$F:$F)</f>
        <v>15000</v>
      </c>
      <c r="F251" s="1">
        <f>(SALES!$G:$G)</f>
        <v>15000</v>
      </c>
      <c r="H251" s="2">
        <f>(EXPENSES!$A:$A)</f>
        <v>0</v>
      </c>
      <c r="I251" s="10">
        <f>(EXPENSES!$B:$B)</f>
        <v>0</v>
      </c>
      <c r="J251" s="10">
        <f>(EXPENSES!$C:$C)</f>
        <v>0</v>
      </c>
      <c r="K251" s="10">
        <f>(EXPENSES!$D:$D)</f>
        <v>0</v>
      </c>
      <c r="P251" s="2"/>
      <c r="Q251" s="7"/>
      <c r="R251" s="19"/>
      <c r="T251" s="4"/>
      <c r="U251" s="17"/>
    </row>
    <row r="252" spans="1:21" ht="18.75" customHeight="1" x14ac:dyDescent="0.3">
      <c r="A252" s="32" t="str">
        <f>(SALES!$A:$A)</f>
        <v>Tuesday, 9 January 2024</v>
      </c>
      <c r="B252" s="1">
        <f>(SALES!$C:$C)</f>
        <v>8</v>
      </c>
      <c r="C252" s="1">
        <f>(SALES!$D:$D)</f>
        <v>7.3</v>
      </c>
      <c r="D252" s="1" t="str">
        <f>(SALES!$E:$E)</f>
        <v>MATOOKE KGS</v>
      </c>
      <c r="E252" s="1">
        <f>(SALES!$F:$F)</f>
        <v>1500</v>
      </c>
      <c r="F252" s="1">
        <f>(SALES!$G:$G)</f>
        <v>10950</v>
      </c>
      <c r="H252" s="2">
        <f>(EXPENSES!$A:$A)</f>
        <v>0</v>
      </c>
      <c r="I252" s="10">
        <f>(EXPENSES!$B:$B)</f>
        <v>0</v>
      </c>
      <c r="J252" s="10">
        <f>(EXPENSES!$C:$C)</f>
        <v>0</v>
      </c>
      <c r="K252" s="10">
        <f>(EXPENSES!$D:$D)</f>
        <v>0</v>
      </c>
      <c r="P252" s="2"/>
      <c r="Q252" s="7"/>
      <c r="R252" s="17"/>
      <c r="U252" s="17"/>
    </row>
    <row r="253" spans="1:21" ht="18.75" customHeight="1" x14ac:dyDescent="0.3">
      <c r="A253" s="32" t="str">
        <f>(SALES!$A:$A)</f>
        <v>Tuesday, 9 January 2024</v>
      </c>
      <c r="B253" s="1">
        <f>(SALES!$C:$C)</f>
        <v>9</v>
      </c>
      <c r="C253" s="1">
        <f>(SALES!$D:$D)</f>
        <v>1</v>
      </c>
      <c r="D253" s="1" t="str">
        <f>(SALES!$E:$E)</f>
        <v>MILK</v>
      </c>
      <c r="E253" s="1">
        <f>(SALES!$F:$F)</f>
        <v>2000</v>
      </c>
      <c r="F253" s="1">
        <f>(SALES!$G:$G)</f>
        <v>2000</v>
      </c>
      <c r="H253" s="2">
        <f>(EXPENSES!$A:$A)</f>
        <v>0</v>
      </c>
      <c r="I253" s="10">
        <f>(EXPENSES!$B:$B)</f>
        <v>0</v>
      </c>
      <c r="J253" s="10">
        <f>(EXPENSES!$C:$C)</f>
        <v>0</v>
      </c>
      <c r="K253" s="10">
        <f>(EXPENSES!$D:$D)</f>
        <v>0</v>
      </c>
      <c r="P253" s="2"/>
      <c r="Q253" s="7"/>
      <c r="R253" s="19"/>
      <c r="T253" s="4"/>
      <c r="U253" s="17"/>
    </row>
    <row r="254" spans="1:21" ht="18.75" customHeight="1" x14ac:dyDescent="0.3">
      <c r="A254" s="32" t="str">
        <f>(SALES!$A:$A)</f>
        <v>Tuesday, 9 January 2024</v>
      </c>
      <c r="B254" s="1">
        <f>(SALES!$C:$C)</f>
        <v>10</v>
      </c>
      <c r="C254" s="1">
        <f>(SALES!$D:$D)</f>
        <v>1</v>
      </c>
      <c r="D254" s="1" t="str">
        <f>(SALES!$E:$E)</f>
        <v>BEEF</v>
      </c>
      <c r="E254" s="1">
        <f>(SALES!$F:$F)</f>
        <v>16000</v>
      </c>
      <c r="F254" s="1">
        <f>(SALES!$G:$G)</f>
        <v>16000</v>
      </c>
      <c r="H254" s="2">
        <f>(EXPENSES!$A:$A)</f>
        <v>0</v>
      </c>
      <c r="I254" s="10">
        <f>(EXPENSES!$B:$B)</f>
        <v>0</v>
      </c>
      <c r="J254" s="10">
        <f>(EXPENSES!$C:$C)</f>
        <v>0</v>
      </c>
      <c r="K254" s="10">
        <f>(EXPENSES!$D:$D)</f>
        <v>0</v>
      </c>
      <c r="P254" s="2"/>
      <c r="Q254" s="7"/>
      <c r="R254" s="19"/>
      <c r="T254" s="4"/>
      <c r="U254" s="17"/>
    </row>
    <row r="255" spans="1:21" ht="18.75" customHeight="1" x14ac:dyDescent="0.3">
      <c r="A255" s="32" t="str">
        <f>(SALES!$A:$A)</f>
        <v>Tuesday, 9 January 2024</v>
      </c>
      <c r="B255" s="1">
        <f>(SALES!$C:$C)</f>
        <v>11</v>
      </c>
      <c r="C255" s="1">
        <f>(SALES!$D:$D)</f>
        <v>2</v>
      </c>
      <c r="D255" s="1" t="str">
        <f>(SALES!$E:$E)</f>
        <v>MATOOKE KGS</v>
      </c>
      <c r="E255" s="1">
        <f>(SALES!$F:$F)</f>
        <v>1500</v>
      </c>
      <c r="F255" s="1">
        <f>(SALES!$G:$G)</f>
        <v>3000</v>
      </c>
      <c r="H255" s="2">
        <f>(EXPENSES!$A:$A)</f>
        <v>0</v>
      </c>
      <c r="I255" s="10">
        <f>(EXPENSES!$B:$B)</f>
        <v>0</v>
      </c>
      <c r="J255" s="10">
        <f>(EXPENSES!$C:$C)</f>
        <v>0</v>
      </c>
      <c r="K255" s="10">
        <f>(EXPENSES!$D:$D)</f>
        <v>0</v>
      </c>
      <c r="P255" s="2"/>
      <c r="Q255" s="7"/>
      <c r="R255" s="19"/>
      <c r="T255" s="4"/>
      <c r="U255" s="17"/>
    </row>
    <row r="256" spans="1:21" ht="18.75" customHeight="1" x14ac:dyDescent="0.3">
      <c r="A256" s="32" t="str">
        <f>(SALES!$A:$A)</f>
        <v>Tuesday, 9 January 2024</v>
      </c>
      <c r="B256" s="1">
        <f>(SALES!$C:$C)</f>
        <v>12</v>
      </c>
      <c r="C256" s="1">
        <f>(SALES!$D:$D)</f>
        <v>5.4</v>
      </c>
      <c r="D256" s="1" t="str">
        <f>(SALES!$E:$E)</f>
        <v>MATOOKE KGS</v>
      </c>
      <c r="E256" s="1">
        <f>(SALES!$F:$F)</f>
        <v>1500</v>
      </c>
      <c r="F256" s="1">
        <f>(SALES!$G:$G)</f>
        <v>8100.0000000000009</v>
      </c>
      <c r="H256" s="2">
        <f>(EXPENSES!$A:$A)</f>
        <v>0</v>
      </c>
      <c r="I256" s="10">
        <f>(EXPENSES!$B:$B)</f>
        <v>0</v>
      </c>
      <c r="J256" s="10">
        <f>(EXPENSES!$C:$C)</f>
        <v>0</v>
      </c>
      <c r="K256" s="10">
        <f>(EXPENSES!$D:$D)</f>
        <v>0</v>
      </c>
      <c r="P256" s="2"/>
      <c r="Q256" s="7"/>
      <c r="R256" s="19"/>
      <c r="T256" s="4"/>
      <c r="U256" s="17"/>
    </row>
    <row r="257" spans="1:21" ht="18.75" customHeight="1" x14ac:dyDescent="0.3">
      <c r="A257" s="32" t="str">
        <f>(SALES!$A:$A)</f>
        <v>Tuesday, 9 January 2024</v>
      </c>
      <c r="B257" s="1">
        <f>(SALES!$C:$C)</f>
        <v>13</v>
      </c>
      <c r="C257" s="1">
        <f>(SALES!$D:$D)</f>
        <v>2</v>
      </c>
      <c r="D257" s="1" t="str">
        <f>(SALES!$E:$E)</f>
        <v>BEEF</v>
      </c>
      <c r="E257" s="1">
        <f>(SALES!$F:$F)</f>
        <v>16000</v>
      </c>
      <c r="F257" s="1">
        <f>(SALES!$G:$G)</f>
        <v>32000</v>
      </c>
      <c r="H257" s="2">
        <f>(EXPENSES!$A:$A)</f>
        <v>0</v>
      </c>
      <c r="I257" s="10">
        <f>(EXPENSES!$B:$B)</f>
        <v>0</v>
      </c>
      <c r="J257" s="10">
        <f>(EXPENSES!$C:$C)</f>
        <v>0</v>
      </c>
      <c r="K257" s="10">
        <f>(EXPENSES!$D:$D)</f>
        <v>0</v>
      </c>
      <c r="P257" s="2"/>
      <c r="Q257" s="7"/>
      <c r="R257" s="17"/>
      <c r="U257" s="17"/>
    </row>
    <row r="258" spans="1:21" ht="18.75" customHeight="1" x14ac:dyDescent="0.3">
      <c r="A258" s="32" t="str">
        <f>(SALES!$A:$A)</f>
        <v>Tuesday, 9 January 2024</v>
      </c>
      <c r="B258" s="1">
        <f>(SALES!$C:$C)</f>
        <v>14</v>
      </c>
      <c r="C258" s="1">
        <f>(SALES!$D:$D)</f>
        <v>3</v>
      </c>
      <c r="D258" s="1" t="str">
        <f>(SALES!$E:$E)</f>
        <v>AVOCADO</v>
      </c>
      <c r="E258" s="1">
        <f>(SALES!$F:$F)</f>
        <v>1000</v>
      </c>
      <c r="F258" s="1">
        <f>(SALES!$G:$G)</f>
        <v>3000</v>
      </c>
      <c r="H258" s="2">
        <f>(EXPENSES!$A:$A)</f>
        <v>0</v>
      </c>
      <c r="I258" s="10">
        <f>(EXPENSES!$B:$B)</f>
        <v>0</v>
      </c>
      <c r="J258" s="10">
        <f>(EXPENSES!$C:$C)</f>
        <v>0</v>
      </c>
      <c r="K258" s="10">
        <f>(EXPENSES!$D:$D)</f>
        <v>0</v>
      </c>
      <c r="P258" s="2"/>
      <c r="Q258" s="7"/>
      <c r="R258" s="17"/>
      <c r="U258" s="17"/>
    </row>
    <row r="259" spans="1:21" ht="18.75" customHeight="1" x14ac:dyDescent="0.3">
      <c r="A259" s="32" t="str">
        <f>(SALES!$A:$A)</f>
        <v>Tuesday, 9 January 2024</v>
      </c>
      <c r="B259" s="1">
        <f>(SALES!$C:$C)</f>
        <v>15</v>
      </c>
      <c r="C259" s="1">
        <f>(SALES!$D:$D)</f>
        <v>1</v>
      </c>
      <c r="D259" s="1" t="str">
        <f>(SALES!$E:$E)</f>
        <v>MATOOKE</v>
      </c>
      <c r="E259" s="1">
        <f>(SALES!$F:$F)</f>
        <v>7000</v>
      </c>
      <c r="F259" s="1">
        <f>(SALES!$G:$G)</f>
        <v>7000</v>
      </c>
      <c r="H259" s="2">
        <f>(EXPENSES!$A:$A)</f>
        <v>0</v>
      </c>
      <c r="I259" s="10">
        <f>(EXPENSES!$B:$B)</f>
        <v>0</v>
      </c>
      <c r="J259" s="10">
        <f>(EXPENSES!$C:$C)</f>
        <v>0</v>
      </c>
      <c r="K259" s="10">
        <f>(EXPENSES!$D:$D)</f>
        <v>0</v>
      </c>
      <c r="P259" s="2"/>
      <c r="Q259" s="7"/>
      <c r="R259" s="17"/>
      <c r="U259" s="17"/>
    </row>
    <row r="260" spans="1:21" ht="18.75" customHeight="1" x14ac:dyDescent="0.3">
      <c r="A260" s="32" t="str">
        <f>(SALES!$A:$A)</f>
        <v>Tuesday, 9 January 2024</v>
      </c>
      <c r="B260" s="1">
        <f>(SALES!$C:$C)</f>
        <v>16</v>
      </c>
      <c r="C260" s="1">
        <f>(SALES!$D:$D)</f>
        <v>1</v>
      </c>
      <c r="D260" s="1" t="str">
        <f>(SALES!$E:$E)</f>
        <v>MATOOKE</v>
      </c>
      <c r="E260" s="1">
        <f>(SALES!$F:$F)</f>
        <v>7000</v>
      </c>
      <c r="F260" s="1">
        <f>(SALES!$G:$G)</f>
        <v>7000</v>
      </c>
      <c r="H260" s="2">
        <f>(EXPENSES!$A:$A)</f>
        <v>0</v>
      </c>
      <c r="I260" s="10">
        <f>(EXPENSES!$B:$B)</f>
        <v>0</v>
      </c>
      <c r="J260" s="10">
        <f>(EXPENSES!$C:$C)</f>
        <v>0</v>
      </c>
      <c r="K260" s="10">
        <f>(EXPENSES!$D:$D)</f>
        <v>0</v>
      </c>
      <c r="P260" s="2"/>
      <c r="Q260" s="7"/>
      <c r="R260" s="17"/>
      <c r="U260" s="17"/>
    </row>
    <row r="261" spans="1:21" ht="18.75" customHeight="1" x14ac:dyDescent="0.3">
      <c r="A261" s="32" t="str">
        <f>(SALES!$A:$A)</f>
        <v>Tuesday, 9 January 2024</v>
      </c>
      <c r="B261" s="1">
        <f>(SALES!$C:$C)</f>
        <v>17</v>
      </c>
      <c r="C261" s="1">
        <f>(SALES!$D:$D)</f>
        <v>1</v>
      </c>
      <c r="D261" s="1" t="str">
        <f>(SALES!$E:$E)</f>
        <v>MATOOKE</v>
      </c>
      <c r="E261" s="1">
        <f>(SALES!$F:$F)</f>
        <v>11000</v>
      </c>
      <c r="F261" s="1">
        <f>(SALES!$G:$G)</f>
        <v>11000</v>
      </c>
      <c r="H261" s="2">
        <f>(EXPENSES!$A:$A)</f>
        <v>0</v>
      </c>
      <c r="I261" s="10">
        <f>(EXPENSES!$B:$B)</f>
        <v>0</v>
      </c>
      <c r="J261" s="10">
        <f>(EXPENSES!$C:$C)</f>
        <v>0</v>
      </c>
      <c r="K261" s="10">
        <f>(EXPENSES!$D:$D)</f>
        <v>0</v>
      </c>
      <c r="P261" s="2"/>
      <c r="Q261" s="7"/>
      <c r="R261" s="17"/>
      <c r="U261" s="17"/>
    </row>
    <row r="262" spans="1:21" ht="18.75" customHeight="1" x14ac:dyDescent="0.3">
      <c r="A262" s="32" t="str">
        <f>(SALES!$A:$A)</f>
        <v>Tuesday, 9 January 2024</v>
      </c>
      <c r="B262" s="1">
        <f>(SALES!$C:$C)</f>
        <v>18</v>
      </c>
      <c r="C262" s="1">
        <f>(SALES!$D:$D)</f>
        <v>1</v>
      </c>
      <c r="D262" s="1" t="str">
        <f>(SALES!$E:$E)</f>
        <v>MATOOKE</v>
      </c>
      <c r="E262" s="1">
        <f>(SALES!$F:$F)</f>
        <v>11500</v>
      </c>
      <c r="F262" s="1">
        <f>(SALES!$G:$G)</f>
        <v>11500</v>
      </c>
      <c r="H262" s="2">
        <f>(EXPENSES!$A:$A)</f>
        <v>0</v>
      </c>
      <c r="I262" s="10">
        <f>(EXPENSES!$B:$B)</f>
        <v>0</v>
      </c>
      <c r="J262" s="10">
        <f>(EXPENSES!$C:$C)</f>
        <v>0</v>
      </c>
      <c r="K262" s="10">
        <f>(EXPENSES!$D:$D)</f>
        <v>0</v>
      </c>
      <c r="P262" s="2"/>
      <c r="Q262" s="7"/>
      <c r="R262" s="17"/>
      <c r="U262" s="17"/>
    </row>
    <row r="263" spans="1:21" ht="18.75" customHeight="1" x14ac:dyDescent="0.3">
      <c r="A263" s="32" t="str">
        <f>(SALES!$A:$A)</f>
        <v>Tuesday, 9 January 2024</v>
      </c>
      <c r="B263" s="1">
        <f>(SALES!$C:$C)</f>
        <v>19</v>
      </c>
      <c r="C263" s="1">
        <f>(SALES!$D:$D)</f>
        <v>1</v>
      </c>
      <c r="D263" s="1" t="str">
        <f>(SALES!$E:$E)</f>
        <v>YELLOW YOLK EGGS</v>
      </c>
      <c r="E263" s="1">
        <f>(SALES!$F:$F)</f>
        <v>20000</v>
      </c>
      <c r="F263" s="1">
        <f>(SALES!$G:$G)</f>
        <v>20000</v>
      </c>
      <c r="H263" s="2">
        <f>(EXPENSES!$A:$A)</f>
        <v>0</v>
      </c>
      <c r="I263" s="10">
        <f>(EXPENSES!$B:$B)</f>
        <v>0</v>
      </c>
      <c r="J263" s="10">
        <f>(EXPENSES!$C:$C)</f>
        <v>0</v>
      </c>
      <c r="K263" s="10">
        <f>(EXPENSES!$D:$D)</f>
        <v>0</v>
      </c>
      <c r="P263" s="2"/>
      <c r="Q263" s="7"/>
      <c r="R263" s="19"/>
      <c r="U263" s="17"/>
    </row>
    <row r="264" spans="1:21" ht="18.75" customHeight="1" x14ac:dyDescent="0.3">
      <c r="A264" s="32" t="str">
        <f>(SALES!$A:$A)</f>
        <v>Tuesday, 9 January 2024</v>
      </c>
      <c r="B264" s="1">
        <f>(SALES!$C:$C)</f>
        <v>20</v>
      </c>
      <c r="C264" s="1">
        <f>(SALES!$D:$D)</f>
        <v>1</v>
      </c>
      <c r="D264" s="1" t="str">
        <f>(SALES!$E:$E)</f>
        <v>MINCED BEEF</v>
      </c>
      <c r="E264" s="1">
        <f>(SALES!$F:$F)</f>
        <v>22000</v>
      </c>
      <c r="F264" s="1">
        <f>(SALES!$G:$G)</f>
        <v>22000</v>
      </c>
      <c r="H264" s="2">
        <f>(EXPENSES!$A:$A)</f>
        <v>0</v>
      </c>
      <c r="I264" s="10">
        <f>(EXPENSES!$B:$B)</f>
        <v>0</v>
      </c>
      <c r="J264" s="10">
        <f>(EXPENSES!$C:$C)</f>
        <v>0</v>
      </c>
      <c r="K264" s="10">
        <f>(EXPENSES!$D:$D)</f>
        <v>0</v>
      </c>
      <c r="P264" s="2"/>
      <c r="Q264" s="7"/>
      <c r="R264" s="19"/>
      <c r="U264" s="17"/>
    </row>
    <row r="265" spans="1:21" ht="18.75" customHeight="1" x14ac:dyDescent="0.3">
      <c r="A265" s="32" t="str">
        <f>(SALES!$A:$A)</f>
        <v>Tuesday, 9 January 2024</v>
      </c>
      <c r="B265" s="1">
        <f>(SALES!$C:$C)</f>
        <v>21</v>
      </c>
      <c r="C265" s="1">
        <f>(SALES!$D:$D)</f>
        <v>1</v>
      </c>
      <c r="D265" s="1" t="str">
        <f>(SALES!$E:$E)</f>
        <v>BONELESS BEEF</v>
      </c>
      <c r="E265" s="1">
        <f>(SALES!$F:$F)</f>
        <v>22000</v>
      </c>
      <c r="F265" s="1">
        <f>(SALES!$G:$G)</f>
        <v>22000</v>
      </c>
      <c r="H265" s="2">
        <f>(EXPENSES!$A:$A)</f>
        <v>0</v>
      </c>
      <c r="I265" s="10">
        <f>(EXPENSES!$B:$B)</f>
        <v>0</v>
      </c>
      <c r="J265" s="10">
        <f>(EXPENSES!$C:$C)</f>
        <v>0</v>
      </c>
      <c r="K265" s="10">
        <f>(EXPENSES!$D:$D)</f>
        <v>0</v>
      </c>
      <c r="P265" s="2"/>
      <c r="Q265" s="7"/>
      <c r="R265" s="17"/>
      <c r="U265" s="17"/>
    </row>
    <row r="266" spans="1:21" ht="18.75" customHeight="1" x14ac:dyDescent="0.3">
      <c r="A266" s="32" t="str">
        <f>(SALES!$A:$A)</f>
        <v>Tuesday, 9 January 2024</v>
      </c>
      <c r="B266" s="1">
        <f>(SALES!$C:$C)</f>
        <v>22</v>
      </c>
      <c r="C266" s="1">
        <f>(SALES!$D:$D)</f>
        <v>2</v>
      </c>
      <c r="D266" s="1" t="str">
        <f>(SALES!$E:$E)</f>
        <v>DOG BONES</v>
      </c>
      <c r="E266" s="1">
        <f>(SALES!$F:$F)</f>
        <v>4000</v>
      </c>
      <c r="F266" s="1">
        <f>(SALES!$G:$G)</f>
        <v>8000</v>
      </c>
      <c r="H266" s="2">
        <f>(EXPENSES!$A:$A)</f>
        <v>0</v>
      </c>
      <c r="I266" s="10">
        <f>(EXPENSES!$B:$B)</f>
        <v>0</v>
      </c>
      <c r="J266" s="10">
        <f>(EXPENSES!$C:$C)</f>
        <v>0</v>
      </c>
      <c r="K266" s="10">
        <f>(EXPENSES!$D:$D)</f>
        <v>0</v>
      </c>
      <c r="P266" s="2"/>
      <c r="Q266" s="7"/>
      <c r="R266" s="17"/>
      <c r="U266" s="17"/>
    </row>
    <row r="267" spans="1:21" ht="18.75" customHeight="1" x14ac:dyDescent="0.3">
      <c r="A267" s="32" t="str">
        <f>(SALES!$A:$A)</f>
        <v>Tuesday, 9 January 2024</v>
      </c>
      <c r="B267" s="1">
        <f>(SALES!$C:$C)</f>
        <v>23</v>
      </c>
      <c r="C267" s="1">
        <f>(SALES!$D:$D)</f>
        <v>2.2999999999999998</v>
      </c>
      <c r="D267" s="1" t="str">
        <f>(SALES!$E:$E)</f>
        <v>MATOOKE KGS</v>
      </c>
      <c r="E267" s="1">
        <f>(SALES!$F:$F)</f>
        <v>1500</v>
      </c>
      <c r="F267" s="1">
        <f>(SALES!$G:$G)</f>
        <v>3449.9999999999995</v>
      </c>
      <c r="H267" s="2">
        <f>(EXPENSES!$A:$A)</f>
        <v>0</v>
      </c>
      <c r="I267" s="10">
        <f>(EXPENSES!$B:$B)</f>
        <v>0</v>
      </c>
      <c r="J267" s="10">
        <f>(EXPENSES!$C:$C)</f>
        <v>0</v>
      </c>
      <c r="K267" s="10">
        <f>(EXPENSES!$D:$D)</f>
        <v>0</v>
      </c>
      <c r="P267" s="2"/>
      <c r="Q267" s="7"/>
      <c r="R267" s="17"/>
      <c r="U267" s="17"/>
    </row>
    <row r="268" spans="1:21" ht="18.75" customHeight="1" x14ac:dyDescent="0.3">
      <c r="A268" s="32" t="str">
        <f>(SALES!$A:$A)</f>
        <v>Tuesday, 9 January 2024</v>
      </c>
      <c r="B268" s="1">
        <f>(SALES!$C:$C)</f>
        <v>24</v>
      </c>
      <c r="C268" s="1">
        <f>(SALES!$D:$D)</f>
        <v>1</v>
      </c>
      <c r="D268" s="1" t="str">
        <f>(SALES!$E:$E)</f>
        <v>CHICKEN</v>
      </c>
      <c r="E268" s="1">
        <f>(SALES!$F:$F)</f>
        <v>30000</v>
      </c>
      <c r="F268" s="1">
        <f>(SALES!$G:$G)</f>
        <v>30000</v>
      </c>
      <c r="H268" s="2">
        <f>(EXPENSES!$A:$A)</f>
        <v>0</v>
      </c>
      <c r="I268" s="10">
        <f>(EXPENSES!$B:$B)</f>
        <v>0</v>
      </c>
      <c r="J268" s="10">
        <f>(EXPENSES!$C:$C)</f>
        <v>0</v>
      </c>
      <c r="K268" s="10">
        <f>(EXPENSES!$D:$D)</f>
        <v>0</v>
      </c>
      <c r="P268" s="2"/>
      <c r="Q268" s="7"/>
      <c r="R268" s="17"/>
      <c r="U268" s="17"/>
    </row>
    <row r="269" spans="1:21" ht="18.75" customHeight="1" x14ac:dyDescent="0.3">
      <c r="A269" s="32" t="str">
        <f>(SALES!$A:$A)</f>
        <v>Tuesday, 9 January 2024</v>
      </c>
      <c r="B269" s="1">
        <f>(SALES!$C:$C)</f>
        <v>25</v>
      </c>
      <c r="C269" s="1">
        <f>(SALES!$D:$D)</f>
        <v>1</v>
      </c>
      <c r="D269" s="1" t="str">
        <f>(SALES!$E:$E)</f>
        <v>BEEF</v>
      </c>
      <c r="E269" s="1">
        <f>(SALES!$F:$F)</f>
        <v>16000</v>
      </c>
      <c r="F269" s="1">
        <f>(SALES!$G:$G)</f>
        <v>16000</v>
      </c>
      <c r="H269" s="2">
        <f>(EXPENSES!$A:$A)</f>
        <v>0</v>
      </c>
      <c r="I269" s="10">
        <f>(EXPENSES!$B:$B)</f>
        <v>0</v>
      </c>
      <c r="J269" s="10">
        <f>(EXPENSES!$C:$C)</f>
        <v>0</v>
      </c>
      <c r="K269" s="10">
        <f>(EXPENSES!$D:$D)</f>
        <v>0</v>
      </c>
      <c r="P269" s="2"/>
      <c r="Q269" s="7"/>
      <c r="R269" s="17"/>
      <c r="U269" s="17"/>
    </row>
    <row r="270" spans="1:21" ht="18.75" customHeight="1" x14ac:dyDescent="0.3">
      <c r="A270" s="32" t="str">
        <f>(SALES!$A:$A)</f>
        <v>Tuesday, 9 January 2024</v>
      </c>
      <c r="B270" s="1">
        <f>(SALES!$C:$C)</f>
        <v>26</v>
      </c>
      <c r="C270" s="1">
        <f>(SALES!$D:$D)</f>
        <v>1</v>
      </c>
      <c r="D270" s="1" t="str">
        <f>(SALES!$E:$E)</f>
        <v>GONJA</v>
      </c>
      <c r="E270" s="1">
        <f>(SALES!$F:$F)</f>
        <v>5000</v>
      </c>
      <c r="F270" s="1">
        <f>(SALES!$G:$G)</f>
        <v>5000</v>
      </c>
      <c r="H270" s="2">
        <f>(EXPENSES!$A:$A)</f>
        <v>0</v>
      </c>
      <c r="I270" s="10">
        <f>(EXPENSES!$B:$B)</f>
        <v>0</v>
      </c>
      <c r="J270" s="10">
        <f>(EXPENSES!$C:$C)</f>
        <v>0</v>
      </c>
      <c r="K270" s="10">
        <f>(EXPENSES!$D:$D)</f>
        <v>0</v>
      </c>
      <c r="P270" s="2"/>
      <c r="Q270" s="7"/>
      <c r="R270" s="17"/>
      <c r="U270" s="17"/>
    </row>
    <row r="271" spans="1:21" ht="18.75" customHeight="1" x14ac:dyDescent="0.3">
      <c r="A271" s="32" t="str">
        <f>(SALES!$A:$A)</f>
        <v>Tuesday, 9 January 2024</v>
      </c>
      <c r="B271" s="1">
        <f>(SALES!$C:$C)</f>
        <v>27</v>
      </c>
      <c r="C271" s="1">
        <f>(SALES!$D:$D)</f>
        <v>1</v>
      </c>
      <c r="D271" s="1" t="str">
        <f>(SALES!$E:$E)</f>
        <v xml:space="preserve">LIVER </v>
      </c>
      <c r="E271" s="1">
        <f>(SALES!$F:$F)</f>
        <v>22000</v>
      </c>
      <c r="F271" s="1">
        <f>(SALES!$G:$G)</f>
        <v>22000</v>
      </c>
      <c r="H271" s="2">
        <f>(EXPENSES!$A:$A)</f>
        <v>0</v>
      </c>
      <c r="I271" s="10">
        <f>(EXPENSES!$B:$B)</f>
        <v>0</v>
      </c>
      <c r="J271" s="10">
        <f>(EXPENSES!$C:$C)</f>
        <v>0</v>
      </c>
      <c r="K271" s="10">
        <f>(EXPENSES!$D:$D)</f>
        <v>0</v>
      </c>
      <c r="P271" s="2"/>
      <c r="Q271" s="7"/>
      <c r="R271" s="17"/>
      <c r="U271" s="17"/>
    </row>
    <row r="272" spans="1:21" ht="18.75" customHeight="1" x14ac:dyDescent="0.3">
      <c r="A272" s="32" t="str">
        <f>(SALES!$A:$A)</f>
        <v>Tuesday, 9 January 2024</v>
      </c>
      <c r="B272" s="1">
        <f>(SALES!$C:$C)</f>
        <v>28</v>
      </c>
      <c r="C272" s="1">
        <f>(SALES!$D:$D)</f>
        <v>0.5</v>
      </c>
      <c r="D272" s="1" t="str">
        <f>(SALES!$E:$E)</f>
        <v>BONELESS BEEF</v>
      </c>
      <c r="E272" s="1">
        <f>(SALES!$F:$F)</f>
        <v>22000</v>
      </c>
      <c r="F272" s="1">
        <f>(SALES!$G:$G)</f>
        <v>11000</v>
      </c>
      <c r="H272" s="2">
        <f>(EXPENSES!$A:$A)</f>
        <v>0</v>
      </c>
      <c r="I272" s="10">
        <f>(EXPENSES!$B:$B)</f>
        <v>0</v>
      </c>
      <c r="J272" s="10">
        <f>(EXPENSES!$C:$C)</f>
        <v>0</v>
      </c>
      <c r="K272" s="10">
        <f>(EXPENSES!$D:$D)</f>
        <v>0</v>
      </c>
      <c r="P272" s="2"/>
      <c r="Q272" s="7"/>
      <c r="R272" s="17"/>
      <c r="U272" s="17"/>
    </row>
    <row r="273" spans="1:21" ht="18.75" customHeight="1" x14ac:dyDescent="0.3">
      <c r="A273" s="32" t="str">
        <f>(SALES!$A:$A)</f>
        <v>Tuesday, 9 January 2024</v>
      </c>
      <c r="B273" s="1">
        <f>(SALES!$C:$C)</f>
        <v>29</v>
      </c>
      <c r="C273" s="1">
        <f>(SALES!$D:$D)</f>
        <v>1</v>
      </c>
      <c r="D273" s="1" t="str">
        <f>(SALES!$E:$E)</f>
        <v>MINCED BEEF</v>
      </c>
      <c r="E273" s="1">
        <f>(SALES!$F:$F)</f>
        <v>22000</v>
      </c>
      <c r="F273" s="1">
        <f>(SALES!$G:$G)</f>
        <v>22000</v>
      </c>
      <c r="H273" s="2">
        <f>(EXPENSES!$A:$A)</f>
        <v>0</v>
      </c>
      <c r="I273" s="10">
        <f>(EXPENSES!$B:$B)</f>
        <v>0</v>
      </c>
      <c r="J273" s="10">
        <f>(EXPENSES!$C:$C)</f>
        <v>0</v>
      </c>
      <c r="K273" s="10">
        <f>(EXPENSES!$D:$D)</f>
        <v>0</v>
      </c>
      <c r="P273" s="2"/>
      <c r="Q273" s="7"/>
      <c r="R273" s="17"/>
      <c r="U273" s="17"/>
    </row>
    <row r="274" spans="1:21" ht="18.75" customHeight="1" x14ac:dyDescent="0.3">
      <c r="A274" s="32" t="str">
        <f>(SALES!$A:$A)</f>
        <v>Tuesday, 9 January 2024</v>
      </c>
      <c r="B274" s="1">
        <f>(SALES!$C:$C)</f>
        <v>30</v>
      </c>
      <c r="C274" s="1">
        <f>(SALES!$D:$D)</f>
        <v>2</v>
      </c>
      <c r="D274" s="1" t="str">
        <f>(SALES!$E:$E)</f>
        <v>MATOOKE KGS</v>
      </c>
      <c r="E274" s="1">
        <f>(SALES!$F:$F)</f>
        <v>1500</v>
      </c>
      <c r="F274" s="1">
        <f>(SALES!$G:$G)</f>
        <v>3000</v>
      </c>
      <c r="H274" s="2">
        <f>(EXPENSES!$A:$A)</f>
        <v>0</v>
      </c>
      <c r="I274" s="10">
        <f>(EXPENSES!$B:$B)</f>
        <v>0</v>
      </c>
      <c r="J274" s="10">
        <f>(EXPENSES!$C:$C)</f>
        <v>0</v>
      </c>
      <c r="K274" s="10">
        <f>(EXPENSES!$D:$D)</f>
        <v>0</v>
      </c>
      <c r="P274" s="2"/>
      <c r="Q274" s="7"/>
      <c r="R274" s="17"/>
      <c r="U274" s="17"/>
    </row>
    <row r="275" spans="1:21" ht="18.75" customHeight="1" x14ac:dyDescent="0.3">
      <c r="A275" s="32" t="str">
        <f>(SALES!$A:$A)</f>
        <v>Tuesday, 9 January 2024</v>
      </c>
      <c r="B275" s="1">
        <f>(SALES!$C:$C)</f>
        <v>31</v>
      </c>
      <c r="C275" s="1">
        <f>(SALES!$D:$D)</f>
        <v>1.8</v>
      </c>
      <c r="D275" s="1" t="str">
        <f>(SALES!$E:$E)</f>
        <v>MATOOKE KGS</v>
      </c>
      <c r="E275" s="1">
        <f>(SALES!$F:$F)</f>
        <v>1500</v>
      </c>
      <c r="F275" s="1">
        <f>(SALES!$G:$G)</f>
        <v>2700</v>
      </c>
      <c r="H275" s="2">
        <f>(EXPENSES!$A:$A)</f>
        <v>0</v>
      </c>
      <c r="I275" s="10">
        <f>(EXPENSES!$B:$B)</f>
        <v>0</v>
      </c>
      <c r="J275" s="10">
        <f>(EXPENSES!$C:$C)</f>
        <v>0</v>
      </c>
      <c r="K275" s="10">
        <f>(EXPENSES!$D:$D)</f>
        <v>0</v>
      </c>
      <c r="P275" s="2"/>
      <c r="Q275" s="7"/>
      <c r="R275" s="19"/>
      <c r="U275" s="17"/>
    </row>
    <row r="276" spans="1:21" ht="18.75" customHeight="1" x14ac:dyDescent="0.3">
      <c r="A276" s="32" t="str">
        <f>(SALES!$A:$A)</f>
        <v>Tuesday, 9 January 2024</v>
      </c>
      <c r="B276" s="1">
        <f>(SALES!$C:$C)</f>
        <v>32</v>
      </c>
      <c r="C276" s="1">
        <f>(SALES!$D:$D)</f>
        <v>1</v>
      </c>
      <c r="D276" s="1" t="str">
        <f>(SALES!$E:$E)</f>
        <v>MATOOKE</v>
      </c>
      <c r="E276" s="1">
        <f>(SALES!$F:$F)</f>
        <v>13000</v>
      </c>
      <c r="F276" s="1">
        <f>(SALES!$G:$G)</f>
        <v>13000</v>
      </c>
      <c r="H276" s="2">
        <f>(EXPENSES!$A:$A)</f>
        <v>0</v>
      </c>
      <c r="I276" s="10">
        <f>(EXPENSES!$B:$B)</f>
        <v>0</v>
      </c>
      <c r="J276" s="10">
        <f>(EXPENSES!$C:$C)</f>
        <v>0</v>
      </c>
      <c r="K276" s="10">
        <f>(EXPENSES!$D:$D)</f>
        <v>0</v>
      </c>
      <c r="P276" s="2"/>
      <c r="Q276" s="7"/>
      <c r="R276" s="17"/>
      <c r="U276" s="17"/>
    </row>
    <row r="277" spans="1:21" ht="18.75" customHeight="1" x14ac:dyDescent="0.3">
      <c r="A277" s="32" t="str">
        <f>(SALES!$A:$A)</f>
        <v>Tuesday, 9 January 2024</v>
      </c>
      <c r="B277" s="1">
        <f>(SALES!$C:$C)</f>
        <v>33</v>
      </c>
      <c r="C277" s="1">
        <f>(SALES!$D:$D)</f>
        <v>1</v>
      </c>
      <c r="D277" s="1" t="str">
        <f>(SALES!$E:$E)</f>
        <v>GOAT</v>
      </c>
      <c r="E277" s="1">
        <f>(SALES!$F:$F)</f>
        <v>20000</v>
      </c>
      <c r="F277" s="1">
        <f>(SALES!$G:$G)</f>
        <v>20000</v>
      </c>
      <c r="H277" s="2">
        <f>(EXPENSES!$A:$A)</f>
        <v>0</v>
      </c>
      <c r="I277" s="10">
        <f>(EXPENSES!$B:$B)</f>
        <v>0</v>
      </c>
      <c r="J277" s="10">
        <f>(EXPENSES!$C:$C)</f>
        <v>0</v>
      </c>
      <c r="K277" s="10">
        <f>(EXPENSES!$D:$D)</f>
        <v>0</v>
      </c>
      <c r="P277" s="2"/>
      <c r="Q277" s="7"/>
      <c r="R277" s="17"/>
      <c r="U277" s="17"/>
    </row>
    <row r="278" spans="1:21" ht="18.75" customHeight="1" x14ac:dyDescent="0.3">
      <c r="A278" s="32" t="str">
        <f>(SALES!$A:$A)</f>
        <v>Tuesday, 9 January 2024</v>
      </c>
      <c r="B278" s="1">
        <f>(SALES!$C:$C)</f>
        <v>34</v>
      </c>
      <c r="C278" s="1">
        <f>(SALES!$D:$D)</f>
        <v>0.5</v>
      </c>
      <c r="D278" s="1" t="str">
        <f>(SALES!$E:$E)</f>
        <v>LOCAL EGGS</v>
      </c>
      <c r="E278" s="1">
        <f>(SALES!$F:$F)</f>
        <v>25000</v>
      </c>
      <c r="F278" s="1">
        <f>(SALES!$G:$G)</f>
        <v>12500</v>
      </c>
      <c r="H278" s="2">
        <f>(EXPENSES!$A:$A)</f>
        <v>0</v>
      </c>
      <c r="I278" s="10">
        <f>(EXPENSES!$B:$B)</f>
        <v>0</v>
      </c>
      <c r="J278" s="10">
        <f>(EXPENSES!$C:$C)</f>
        <v>0</v>
      </c>
      <c r="K278" s="10">
        <f>(EXPENSES!$D:$D)</f>
        <v>0</v>
      </c>
      <c r="P278" s="2"/>
      <c r="Q278" s="7"/>
      <c r="R278" s="17"/>
      <c r="U278" s="17"/>
    </row>
    <row r="279" spans="1:21" ht="18.75" customHeight="1" x14ac:dyDescent="0.3">
      <c r="A279" s="32" t="str">
        <f>(SALES!$A:$A)</f>
        <v>Tuesday, 9 January 2024</v>
      </c>
      <c r="B279" s="1">
        <f>(SALES!$C:$C)</f>
        <v>35</v>
      </c>
      <c r="C279" s="1">
        <f>(SALES!$D:$D)</f>
        <v>2</v>
      </c>
      <c r="D279" s="1" t="str">
        <f>(SALES!$E:$E)</f>
        <v>AVOCADO</v>
      </c>
      <c r="E279" s="1">
        <f>(SALES!$F:$F)</f>
        <v>1000</v>
      </c>
      <c r="F279" s="1">
        <f>(SALES!$G:$G)</f>
        <v>2000</v>
      </c>
      <c r="H279" s="2">
        <f>(EXPENSES!$A:$A)</f>
        <v>0</v>
      </c>
      <c r="I279" s="10">
        <f>(EXPENSES!$B:$B)</f>
        <v>0</v>
      </c>
      <c r="J279" s="10">
        <f>(EXPENSES!$C:$C)</f>
        <v>0</v>
      </c>
      <c r="K279" s="10">
        <f>(EXPENSES!$D:$D)</f>
        <v>0</v>
      </c>
      <c r="P279" s="2"/>
      <c r="Q279" s="7"/>
      <c r="R279" s="17"/>
      <c r="U279" s="17"/>
    </row>
    <row r="280" spans="1:21" ht="18.75" customHeight="1" x14ac:dyDescent="0.3">
      <c r="A280" s="32" t="str">
        <f>(SALES!$A:$A)</f>
        <v>Tuesday, 9 January 2024</v>
      </c>
      <c r="B280" s="1">
        <f>(SALES!$C:$C)</f>
        <v>36</v>
      </c>
      <c r="C280" s="1">
        <f>(SALES!$D:$D)</f>
        <v>0.5</v>
      </c>
      <c r="D280" s="1" t="str">
        <f>(SALES!$E:$E)</f>
        <v>MINCED BEEF</v>
      </c>
      <c r="E280" s="1">
        <f>(SALES!$F:$F)</f>
        <v>22000</v>
      </c>
      <c r="F280" s="1">
        <f>(SALES!$G:$G)</f>
        <v>11000</v>
      </c>
      <c r="H280" s="2">
        <f>(EXPENSES!$A:$A)</f>
        <v>0</v>
      </c>
      <c r="I280" s="10">
        <f>(EXPENSES!$B:$B)</f>
        <v>0</v>
      </c>
      <c r="J280" s="10">
        <f>(EXPENSES!$C:$C)</f>
        <v>0</v>
      </c>
      <c r="K280" s="10">
        <f>(EXPENSES!$D:$D)</f>
        <v>0</v>
      </c>
      <c r="P280" s="2"/>
      <c r="Q280" s="7"/>
      <c r="R280" s="17"/>
      <c r="U280" s="17"/>
    </row>
    <row r="281" spans="1:21" ht="18.75" customHeight="1" x14ac:dyDescent="0.3">
      <c r="A281" s="32" t="str">
        <f>(SALES!$A:$A)</f>
        <v>Tuesday, 9 January 2024</v>
      </c>
      <c r="B281" s="1">
        <f>(SALES!$C:$C)</f>
        <v>37</v>
      </c>
      <c r="C281" s="1">
        <f>(SALES!$D:$D)</f>
        <v>1</v>
      </c>
      <c r="D281" s="1" t="str">
        <f>(SALES!$E:$E)</f>
        <v>BEEF</v>
      </c>
      <c r="E281" s="1">
        <f>(SALES!$F:$F)</f>
        <v>16000</v>
      </c>
      <c r="F281" s="1">
        <f>(SALES!$G:$G)</f>
        <v>16000</v>
      </c>
      <c r="H281" s="2">
        <f>(EXPENSES!$A:$A)</f>
        <v>0</v>
      </c>
      <c r="I281" s="10">
        <f>(EXPENSES!$B:$B)</f>
        <v>0</v>
      </c>
      <c r="J281" s="10">
        <f>(EXPENSES!$C:$C)</f>
        <v>0</v>
      </c>
      <c r="K281" s="10">
        <f>(EXPENSES!$D:$D)</f>
        <v>0</v>
      </c>
      <c r="P281" s="2"/>
      <c r="Q281" s="7"/>
      <c r="R281" s="17"/>
      <c r="U281" s="17"/>
    </row>
    <row r="282" spans="1:21" ht="18.75" customHeight="1" x14ac:dyDescent="0.3">
      <c r="A282" s="32" t="str">
        <f>(SALES!$A:$A)</f>
        <v>Tuesday, 9 January 2024</v>
      </c>
      <c r="B282" s="1">
        <f>(SALES!$C:$C)</f>
        <v>38</v>
      </c>
      <c r="C282" s="1">
        <f>(SALES!$D:$D)</f>
        <v>1</v>
      </c>
      <c r="D282" s="1" t="str">
        <f>(SALES!$E:$E)</f>
        <v>MATOOKE</v>
      </c>
      <c r="E282" s="1">
        <f>(SALES!$F:$F)</f>
        <v>11000</v>
      </c>
      <c r="F282" s="1">
        <f>(SALES!$G:$G)</f>
        <v>11000</v>
      </c>
      <c r="H282" s="2">
        <f>(EXPENSES!$A:$A)</f>
        <v>0</v>
      </c>
      <c r="I282" s="10">
        <f>(EXPENSES!$B:$B)</f>
        <v>0</v>
      </c>
      <c r="J282" s="10">
        <f>(EXPENSES!$C:$C)</f>
        <v>0</v>
      </c>
      <c r="K282" s="10">
        <f>(EXPENSES!$D:$D)</f>
        <v>0</v>
      </c>
      <c r="P282" s="2"/>
      <c r="Q282" s="7"/>
      <c r="R282" s="17"/>
      <c r="U282" s="17"/>
    </row>
    <row r="283" spans="1:21" ht="18.75" customHeight="1" x14ac:dyDescent="0.3">
      <c r="A283" s="32" t="str">
        <f>(SALES!$A:$A)</f>
        <v>Tuesday, 9 January 2024</v>
      </c>
      <c r="B283" s="1">
        <f>(SALES!$C:$C)</f>
        <v>39</v>
      </c>
      <c r="C283" s="1">
        <f>(SALES!$D:$D)</f>
        <v>1</v>
      </c>
      <c r="D283" s="1" t="str">
        <f>(SALES!$E:$E)</f>
        <v>MATOOKE</v>
      </c>
      <c r="E283" s="1">
        <f>(SALES!$F:$F)</f>
        <v>14000</v>
      </c>
      <c r="F283" s="1">
        <f>(SALES!$G:$G)</f>
        <v>14000</v>
      </c>
      <c r="H283" s="2">
        <f>(EXPENSES!$A:$A)</f>
        <v>0</v>
      </c>
      <c r="I283" s="10">
        <f>(EXPENSES!$B:$B)</f>
        <v>0</v>
      </c>
      <c r="J283" s="10">
        <f>(EXPENSES!$C:$C)</f>
        <v>0</v>
      </c>
      <c r="K283" s="10">
        <f>(EXPENSES!$D:$D)</f>
        <v>0</v>
      </c>
      <c r="P283" s="2"/>
      <c r="Q283" s="7"/>
      <c r="R283" s="19"/>
      <c r="U283" s="17"/>
    </row>
    <row r="284" spans="1:21" ht="18.75" customHeight="1" x14ac:dyDescent="0.3">
      <c r="A284" s="32" t="str">
        <f>(SALES!$A:$A)</f>
        <v>Tuesday, 9 January 2024</v>
      </c>
      <c r="B284" s="1">
        <f>(SALES!$C:$C)</f>
        <v>40</v>
      </c>
      <c r="C284" s="1">
        <f>(SALES!$D:$D)</f>
        <v>1</v>
      </c>
      <c r="D284" s="1" t="str">
        <f>(SALES!$E:$E)</f>
        <v>MILK</v>
      </c>
      <c r="E284" s="1">
        <f>(SALES!$F:$F)</f>
        <v>2000</v>
      </c>
      <c r="F284" s="1">
        <f>(SALES!$G:$G)</f>
        <v>2000</v>
      </c>
      <c r="H284" s="2">
        <f>(EXPENSES!$A:$A)</f>
        <v>0</v>
      </c>
      <c r="I284" s="10">
        <f>(EXPENSES!$B:$B)</f>
        <v>0</v>
      </c>
      <c r="J284" s="10">
        <f>(EXPENSES!$C:$C)</f>
        <v>0</v>
      </c>
      <c r="K284" s="10">
        <f>(EXPENSES!$D:$D)</f>
        <v>0</v>
      </c>
      <c r="P284" s="2"/>
      <c r="Q284" s="7"/>
      <c r="R284" s="17"/>
      <c r="U284" s="17"/>
    </row>
    <row r="285" spans="1:21" ht="18.75" customHeight="1" x14ac:dyDescent="0.3">
      <c r="A285" s="32" t="str">
        <f>(SALES!$A:$A)</f>
        <v>Tuesday, 9 January 2024</v>
      </c>
      <c r="B285" s="1">
        <f>(SALES!$C:$C)</f>
        <v>41</v>
      </c>
      <c r="C285" s="1">
        <f>(SALES!$D:$D)</f>
        <v>1</v>
      </c>
      <c r="D285" s="1" t="str">
        <f>(SALES!$E:$E)</f>
        <v>MILK</v>
      </c>
      <c r="E285" s="1">
        <f>(SALES!$F:$F)</f>
        <v>2000</v>
      </c>
      <c r="F285" s="1">
        <f>(SALES!$G:$G)</f>
        <v>2000</v>
      </c>
      <c r="H285" s="2">
        <f>(EXPENSES!$A:$A)</f>
        <v>0</v>
      </c>
      <c r="I285" s="10">
        <f>(EXPENSES!$B:$B)</f>
        <v>0</v>
      </c>
      <c r="J285" s="10">
        <f>(EXPENSES!$C:$C)</f>
        <v>0</v>
      </c>
      <c r="K285" s="10">
        <f>(EXPENSES!$D:$D)</f>
        <v>0</v>
      </c>
      <c r="P285" s="2"/>
      <c r="Q285" s="7"/>
      <c r="R285" s="17"/>
      <c r="U285" s="17"/>
    </row>
    <row r="286" spans="1:21" ht="18.75" customHeight="1" x14ac:dyDescent="0.3">
      <c r="A286" s="32" t="str">
        <f>(SALES!$A:$A)</f>
        <v>Tuesday, 9 January 2024</v>
      </c>
      <c r="B286" s="1">
        <f>(SALES!$C:$C)</f>
        <v>42</v>
      </c>
      <c r="C286" s="1">
        <f>(SALES!$D:$D)</f>
        <v>1</v>
      </c>
      <c r="D286" s="1" t="str">
        <f>(SALES!$E:$E)</f>
        <v>MATOOKE</v>
      </c>
      <c r="E286" s="1">
        <f>(SALES!$F:$F)</f>
        <v>18500</v>
      </c>
      <c r="F286" s="1">
        <f>(SALES!$G:$G)</f>
        <v>18500</v>
      </c>
      <c r="H286" s="2">
        <f>(EXPENSES!$A:$A)</f>
        <v>0</v>
      </c>
      <c r="I286" s="10">
        <f>(EXPENSES!$B:$B)</f>
        <v>0</v>
      </c>
      <c r="J286" s="10">
        <f>(EXPENSES!$C:$C)</f>
        <v>0</v>
      </c>
      <c r="K286" s="10">
        <f>(EXPENSES!$D:$D)</f>
        <v>0</v>
      </c>
      <c r="P286" s="2"/>
      <c r="Q286" s="7"/>
      <c r="R286" s="17"/>
      <c r="U286" s="17"/>
    </row>
    <row r="287" spans="1:21" ht="18.75" customHeight="1" x14ac:dyDescent="0.3">
      <c r="A287" s="32" t="str">
        <f>(SALES!$A:$A)</f>
        <v>Tuesday, 9 January 2024</v>
      </c>
      <c r="B287" s="1">
        <f>(SALES!$C:$C)</f>
        <v>43</v>
      </c>
      <c r="C287" s="1">
        <f>(SALES!$D:$D)</f>
        <v>1</v>
      </c>
      <c r="D287" s="1" t="str">
        <f>(SALES!$E:$E)</f>
        <v>MATOOKE</v>
      </c>
      <c r="E287" s="1">
        <f>(SALES!$F:$F)</f>
        <v>17000</v>
      </c>
      <c r="F287" s="1">
        <f>(SALES!$G:$G)</f>
        <v>17000</v>
      </c>
      <c r="H287" s="2">
        <f>(EXPENSES!$A:$A)</f>
        <v>0</v>
      </c>
      <c r="I287" s="10">
        <f>(EXPENSES!$B:$B)</f>
        <v>0</v>
      </c>
      <c r="J287" s="10">
        <f>(EXPENSES!$C:$C)</f>
        <v>0</v>
      </c>
      <c r="K287" s="10">
        <f>(EXPENSES!$D:$D)</f>
        <v>0</v>
      </c>
      <c r="P287" s="2"/>
      <c r="Q287" s="7"/>
      <c r="R287" s="17"/>
      <c r="U287" s="17"/>
    </row>
    <row r="288" spans="1:21" ht="18.75" customHeight="1" x14ac:dyDescent="0.3">
      <c r="A288" s="32" t="str">
        <f>(SALES!$A:$A)</f>
        <v>Wednesday, 10 January 2024</v>
      </c>
      <c r="B288" s="1">
        <f>(SALES!$C:$C)</f>
        <v>44</v>
      </c>
      <c r="C288" s="1">
        <f>(SALES!$D:$D)</f>
        <v>1</v>
      </c>
      <c r="D288" s="1" t="str">
        <f>(SALES!$E:$E)</f>
        <v>GONJA</v>
      </c>
      <c r="E288" s="1">
        <f>(SALES!$F:$F)</f>
        <v>5000</v>
      </c>
      <c r="F288" s="1">
        <f>(SALES!$G:$G)</f>
        <v>5000</v>
      </c>
      <c r="H288" s="2">
        <f>(EXPENSES!$A:$A)</f>
        <v>0</v>
      </c>
      <c r="I288" s="10">
        <f>(EXPENSES!$B:$B)</f>
        <v>0</v>
      </c>
      <c r="J288" s="10">
        <f>(EXPENSES!$C:$C)</f>
        <v>0</v>
      </c>
      <c r="K288" s="10">
        <f>(EXPENSES!$D:$D)</f>
        <v>0</v>
      </c>
      <c r="P288" s="2"/>
      <c r="Q288" s="7"/>
      <c r="R288" s="17"/>
      <c r="U288" s="17"/>
    </row>
    <row r="289" spans="1:21" ht="18.75" customHeight="1" x14ac:dyDescent="0.3">
      <c r="A289" s="32" t="str">
        <f>(SALES!$A:$A)</f>
        <v>Wednesday, 10 January 2024</v>
      </c>
      <c r="B289" s="1">
        <f>(SALES!$C:$C)</f>
        <v>45</v>
      </c>
      <c r="C289" s="1">
        <f>(SALES!$D:$D)</f>
        <v>3.3</v>
      </c>
      <c r="D289" s="1" t="str">
        <f>(SALES!$E:$E)</f>
        <v>MATOOKE KGS</v>
      </c>
      <c r="E289" s="1">
        <f>(SALES!$F:$F)</f>
        <v>1500</v>
      </c>
      <c r="F289" s="1">
        <f>(SALES!$G:$G)</f>
        <v>4950</v>
      </c>
      <c r="H289" s="2">
        <f>(EXPENSES!$A:$A)</f>
        <v>0</v>
      </c>
      <c r="I289" s="10">
        <f>(EXPENSES!$B:$B)</f>
        <v>0</v>
      </c>
      <c r="J289" s="10">
        <f>(EXPENSES!$C:$C)</f>
        <v>0</v>
      </c>
      <c r="K289" s="10">
        <f>(EXPENSES!$D:$D)</f>
        <v>0</v>
      </c>
      <c r="P289" s="2"/>
      <c r="Q289" s="7"/>
      <c r="R289" s="17"/>
      <c r="U289" s="17"/>
    </row>
    <row r="290" spans="1:21" ht="18.75" customHeight="1" x14ac:dyDescent="0.3">
      <c r="A290" s="32" t="str">
        <f>(SALES!$A:$A)</f>
        <v>Wednesday, 10 January 2024</v>
      </c>
      <c r="B290" s="1">
        <f>(SALES!$C:$C)</f>
        <v>40</v>
      </c>
      <c r="C290" s="1">
        <f>(SALES!$D:$D)</f>
        <v>2</v>
      </c>
      <c r="D290" s="1" t="str">
        <f>(SALES!$E:$E)</f>
        <v>AVOCADO</v>
      </c>
      <c r="E290" s="1">
        <f>(SALES!$F:$F)</f>
        <v>1000</v>
      </c>
      <c r="F290" s="1">
        <f>(SALES!$G:$G)</f>
        <v>2000</v>
      </c>
      <c r="H290" s="2">
        <f>(EXPENSES!$A:$A)</f>
        <v>0</v>
      </c>
      <c r="I290" s="10">
        <f>(EXPENSES!$B:$B)</f>
        <v>0</v>
      </c>
      <c r="J290" s="10">
        <f>(EXPENSES!$C:$C)</f>
        <v>0</v>
      </c>
      <c r="K290" s="10">
        <f>(EXPENSES!$D:$D)</f>
        <v>0</v>
      </c>
      <c r="P290" s="2"/>
      <c r="Q290" s="7"/>
      <c r="R290" s="17"/>
      <c r="U290" s="17"/>
    </row>
    <row r="291" spans="1:21" ht="18.75" customHeight="1" x14ac:dyDescent="0.3">
      <c r="A291" s="32" t="str">
        <f>(SALES!$A:$A)</f>
        <v>Wednesday, 10 January 2024</v>
      </c>
      <c r="B291" s="1">
        <f>(SALES!$C:$C)</f>
        <v>5</v>
      </c>
      <c r="C291" s="1">
        <f>(SALES!$D:$D)</f>
        <v>0.5</v>
      </c>
      <c r="D291" s="1" t="str">
        <f>(SALES!$E:$E)</f>
        <v>BEEF</v>
      </c>
      <c r="E291" s="1">
        <f>(SALES!$F:$F)</f>
        <v>16000</v>
      </c>
      <c r="F291" s="1">
        <f>(SALES!$G:$G)</f>
        <v>8000</v>
      </c>
      <c r="H291" s="2">
        <f>(EXPENSES!$A:$A)</f>
        <v>0</v>
      </c>
      <c r="I291" s="10">
        <f>(EXPENSES!$B:$B)</f>
        <v>0</v>
      </c>
      <c r="J291" s="10">
        <f>(EXPENSES!$C:$C)</f>
        <v>0</v>
      </c>
      <c r="K291" s="10">
        <f>(EXPENSES!$D:$D)</f>
        <v>0</v>
      </c>
      <c r="P291" s="2"/>
      <c r="Q291" s="7"/>
      <c r="R291" s="17"/>
      <c r="U291" s="17"/>
    </row>
    <row r="292" spans="1:21" ht="18.75" customHeight="1" x14ac:dyDescent="0.3">
      <c r="A292" s="32" t="str">
        <f>(SALES!$A:$A)</f>
        <v>Wednesday, 10 January 2024</v>
      </c>
      <c r="B292" s="1">
        <f>(SALES!$C:$C)</f>
        <v>19</v>
      </c>
      <c r="C292" s="1">
        <f>(SALES!$D:$D)</f>
        <v>0.5</v>
      </c>
      <c r="D292" s="1" t="str">
        <f>(SALES!$E:$E)</f>
        <v>BEEF</v>
      </c>
      <c r="E292" s="1">
        <f>(SALES!$F:$F)</f>
        <v>16000</v>
      </c>
      <c r="F292" s="1">
        <f>(SALES!$G:$G)</f>
        <v>8000</v>
      </c>
      <c r="H292" s="2">
        <f>(EXPENSES!$A:$A)</f>
        <v>0</v>
      </c>
      <c r="I292" s="10">
        <f>(EXPENSES!$B:$B)</f>
        <v>0</v>
      </c>
      <c r="J292" s="10">
        <f>(EXPENSES!$C:$C)</f>
        <v>0</v>
      </c>
      <c r="K292" s="10">
        <f>(EXPENSES!$D:$D)</f>
        <v>0</v>
      </c>
      <c r="P292" s="2"/>
      <c r="Q292" s="7"/>
      <c r="R292" s="17"/>
      <c r="U292" s="17"/>
    </row>
    <row r="293" spans="1:21" ht="18.75" customHeight="1" x14ac:dyDescent="0.3">
      <c r="A293" s="32" t="str">
        <f>(SALES!$A:$A)</f>
        <v>Wednesday, 10 January 2024</v>
      </c>
      <c r="B293" s="1">
        <f>(SALES!$C:$C)</f>
        <v>43</v>
      </c>
      <c r="C293" s="1">
        <f>(SALES!$D:$D)</f>
        <v>0.5</v>
      </c>
      <c r="D293" s="1" t="str">
        <f>(SALES!$E:$E)</f>
        <v>BEEF</v>
      </c>
      <c r="E293" s="1">
        <f>(SALES!$F:$F)</f>
        <v>16000</v>
      </c>
      <c r="F293" s="1">
        <f>(SALES!$G:$G)</f>
        <v>8000</v>
      </c>
      <c r="H293" s="2">
        <f>(EXPENSES!$A:$A)</f>
        <v>0</v>
      </c>
      <c r="I293" s="10">
        <f>(EXPENSES!$B:$B)</f>
        <v>0</v>
      </c>
      <c r="J293" s="10">
        <f>(EXPENSES!$C:$C)</f>
        <v>0</v>
      </c>
      <c r="K293" s="10">
        <f>(EXPENSES!$D:$D)</f>
        <v>0</v>
      </c>
      <c r="P293" s="2"/>
      <c r="Q293" s="7"/>
      <c r="R293" s="17"/>
      <c r="U293" s="17"/>
    </row>
    <row r="294" spans="1:21" ht="18.75" customHeight="1" x14ac:dyDescent="0.3">
      <c r="A294" s="32" t="str">
        <f>(SALES!$A:$A)</f>
        <v>Wednesday, 10 January 2024</v>
      </c>
      <c r="B294" s="1">
        <f>(SALES!$C:$C)</f>
        <v>45</v>
      </c>
      <c r="C294" s="1">
        <f>(SALES!$D:$D)</f>
        <v>0.5</v>
      </c>
      <c r="D294" s="1" t="str">
        <f>(SALES!$E:$E)</f>
        <v>BEEF</v>
      </c>
      <c r="E294" s="1">
        <f>(SALES!$F:$F)</f>
        <v>16000</v>
      </c>
      <c r="F294" s="1">
        <f>(SALES!$G:$G)</f>
        <v>8000</v>
      </c>
      <c r="H294" s="2">
        <f>(EXPENSES!$A:$A)</f>
        <v>0</v>
      </c>
      <c r="I294" s="10">
        <f>(EXPENSES!$B:$B)</f>
        <v>0</v>
      </c>
      <c r="J294" s="10">
        <f>(EXPENSES!$C:$C)</f>
        <v>0</v>
      </c>
      <c r="K294" s="10">
        <f>(EXPENSES!$D:$D)</f>
        <v>0</v>
      </c>
      <c r="P294" s="2"/>
      <c r="Q294" s="7"/>
      <c r="R294" s="17"/>
      <c r="U294" s="17"/>
    </row>
    <row r="295" spans="1:21" ht="18.75" customHeight="1" x14ac:dyDescent="0.3">
      <c r="A295" s="32" t="str">
        <f>(SALES!$A:$A)</f>
        <v>Wednesday, 10 January 2024</v>
      </c>
      <c r="B295" s="1">
        <f>(SALES!$C:$C)</f>
        <v>41</v>
      </c>
      <c r="C295" s="1">
        <f>(SALES!$D:$D)</f>
        <v>1</v>
      </c>
      <c r="D295" s="1" t="str">
        <f>(SALES!$E:$E)</f>
        <v>BONELESS BEEF</v>
      </c>
      <c r="E295" s="1">
        <f>(SALES!$F:$F)</f>
        <v>22000</v>
      </c>
      <c r="F295" s="1">
        <f>(SALES!$G:$G)</f>
        <v>22000</v>
      </c>
      <c r="H295" s="2">
        <f>(EXPENSES!$A:$A)</f>
        <v>0</v>
      </c>
      <c r="I295" s="10">
        <f>(EXPENSES!$B:$B)</f>
        <v>0</v>
      </c>
      <c r="J295" s="10">
        <f>(EXPENSES!$C:$C)</f>
        <v>0</v>
      </c>
      <c r="K295" s="10">
        <f>(EXPENSES!$D:$D)</f>
        <v>0</v>
      </c>
      <c r="P295" s="2"/>
      <c r="Q295" s="7"/>
      <c r="R295" s="17"/>
      <c r="U295" s="17"/>
    </row>
    <row r="296" spans="1:21" ht="18.75" customHeight="1" x14ac:dyDescent="0.3">
      <c r="A296" s="32" t="str">
        <f>(SALES!$A:$A)</f>
        <v>Wednesday, 10 January 2024</v>
      </c>
      <c r="B296" s="1">
        <f>(SALES!$C:$C)</f>
        <v>46</v>
      </c>
      <c r="C296" s="1">
        <f>(SALES!$D:$D)</f>
        <v>4</v>
      </c>
      <c r="D296" s="1" t="str">
        <f>(SALES!$E:$E)</f>
        <v>DOG MINCE</v>
      </c>
      <c r="E296" s="1">
        <f>(SALES!$F:$F)</f>
        <v>5000</v>
      </c>
      <c r="F296" s="1">
        <f>(SALES!$G:$G)</f>
        <v>20000</v>
      </c>
      <c r="H296" s="2">
        <f>(EXPENSES!$A:$A)</f>
        <v>0</v>
      </c>
      <c r="I296" s="10">
        <f>(EXPENSES!$B:$B)</f>
        <v>0</v>
      </c>
      <c r="J296" s="10">
        <f>(EXPENSES!$C:$C)</f>
        <v>0</v>
      </c>
      <c r="K296" s="10">
        <f>(EXPENSES!$D:$D)</f>
        <v>0</v>
      </c>
      <c r="P296" s="2"/>
      <c r="Q296" s="7"/>
      <c r="R296" s="17"/>
      <c r="U296" s="17"/>
    </row>
    <row r="297" spans="1:21" ht="18.75" customHeight="1" x14ac:dyDescent="0.3">
      <c r="A297" s="32" t="str">
        <f>(SALES!$A:$A)</f>
        <v>Wednesday, 10 January 2024</v>
      </c>
      <c r="B297" s="1">
        <f>(SALES!$C:$C)</f>
        <v>47</v>
      </c>
      <c r="C297" s="1">
        <f>(SALES!$D:$D)</f>
        <v>1</v>
      </c>
      <c r="D297" s="1" t="str">
        <f>(SALES!$E:$E)</f>
        <v>GONJA</v>
      </c>
      <c r="E297" s="1">
        <f>(SALES!$F:$F)</f>
        <v>7000</v>
      </c>
      <c r="F297" s="1">
        <f>(SALES!$G:$G)</f>
        <v>7000</v>
      </c>
      <c r="H297" s="2">
        <f>(EXPENSES!$A:$A)</f>
        <v>0</v>
      </c>
      <c r="I297" s="10">
        <f>(EXPENSES!$B:$B)</f>
        <v>0</v>
      </c>
      <c r="J297" s="10">
        <f>(EXPENSES!$C:$C)</f>
        <v>0</v>
      </c>
      <c r="K297" s="10">
        <f>(EXPENSES!$D:$D)</f>
        <v>0</v>
      </c>
      <c r="P297" s="2"/>
      <c r="Q297" s="7"/>
      <c r="R297" s="17"/>
      <c r="U297" s="17"/>
    </row>
    <row r="298" spans="1:21" ht="18.75" customHeight="1" x14ac:dyDescent="0.3">
      <c r="A298" s="32" t="str">
        <f>(SALES!$A:$A)</f>
        <v>Wednesday, 10 January 2024</v>
      </c>
      <c r="B298" s="1">
        <f>(SALES!$C:$C)</f>
        <v>31</v>
      </c>
      <c r="C298" s="1">
        <f>(SALES!$D:$D)</f>
        <v>1</v>
      </c>
      <c r="D298" s="1" t="str">
        <f>(SALES!$E:$E)</f>
        <v>LOCAL EGGS</v>
      </c>
      <c r="E298" s="1">
        <f>(SALES!$F:$F)</f>
        <v>25000</v>
      </c>
      <c r="F298" s="1">
        <f>(SALES!$G:$G)</f>
        <v>25000</v>
      </c>
      <c r="H298" s="2">
        <f>(EXPENSES!$A:$A)</f>
        <v>0</v>
      </c>
      <c r="I298" s="10">
        <f>(EXPENSES!$B:$B)</f>
        <v>0</v>
      </c>
      <c r="J298" s="10">
        <f>(EXPENSES!$C:$C)</f>
        <v>0</v>
      </c>
      <c r="K298" s="10">
        <f>(EXPENSES!$D:$D)</f>
        <v>0</v>
      </c>
      <c r="P298" s="2"/>
      <c r="Q298" s="7"/>
      <c r="R298" s="17"/>
      <c r="U298" s="17"/>
    </row>
    <row r="299" spans="1:21" ht="18.75" customHeight="1" x14ac:dyDescent="0.3">
      <c r="A299" s="32" t="str">
        <f>(SALES!$A:$A)</f>
        <v>Wednesday, 10 January 2024</v>
      </c>
      <c r="B299" s="1">
        <f>(SALES!$C:$C)</f>
        <v>48</v>
      </c>
      <c r="C299" s="1">
        <f>(SALES!$D:$D)</f>
        <v>1</v>
      </c>
      <c r="D299" s="1" t="str">
        <f>(SALES!$E:$E)</f>
        <v>MATOOKE</v>
      </c>
      <c r="E299" s="1">
        <f>(SALES!$F:$F)</f>
        <v>6000</v>
      </c>
      <c r="F299" s="1">
        <f>(SALES!$G:$G)</f>
        <v>6000</v>
      </c>
      <c r="H299" s="2">
        <f>(EXPENSES!$A:$A)</f>
        <v>0</v>
      </c>
      <c r="I299" s="10">
        <f>(EXPENSES!$B:$B)</f>
        <v>0</v>
      </c>
      <c r="J299" s="10">
        <f>(EXPENSES!$C:$C)</f>
        <v>0</v>
      </c>
      <c r="K299" s="10">
        <f>(EXPENSES!$D:$D)</f>
        <v>0</v>
      </c>
      <c r="P299" s="2"/>
      <c r="Q299" s="7"/>
      <c r="R299" s="17"/>
      <c r="U299" s="17"/>
    </row>
    <row r="300" spans="1:21" ht="18.75" customHeight="1" x14ac:dyDescent="0.3">
      <c r="A300" s="32" t="str">
        <f>(SALES!$A:$A)</f>
        <v>Wednesday, 10 January 2024</v>
      </c>
      <c r="B300" s="1">
        <f>(SALES!$C:$C)</f>
        <v>2</v>
      </c>
      <c r="C300" s="1">
        <f>(SALES!$D:$D)</f>
        <v>1</v>
      </c>
      <c r="D300" s="1" t="str">
        <f>(SALES!$E:$E)</f>
        <v>MATOOKE</v>
      </c>
      <c r="E300" s="1">
        <f>(SALES!$F:$F)</f>
        <v>7500</v>
      </c>
      <c r="F300" s="1">
        <f>(SALES!$G:$G)</f>
        <v>7500</v>
      </c>
      <c r="H300" s="2">
        <f>(EXPENSES!$A:$A)</f>
        <v>0</v>
      </c>
      <c r="I300" s="10">
        <f>(EXPENSES!$B:$B)</f>
        <v>0</v>
      </c>
      <c r="J300" s="10">
        <f>(EXPENSES!$C:$C)</f>
        <v>0</v>
      </c>
      <c r="K300" s="10">
        <f>(EXPENSES!$D:$D)</f>
        <v>0</v>
      </c>
      <c r="P300" s="2"/>
      <c r="Q300" s="7"/>
      <c r="R300" s="17"/>
      <c r="U300" s="17"/>
    </row>
    <row r="301" spans="1:21" ht="18.75" customHeight="1" x14ac:dyDescent="0.3">
      <c r="A301" s="32" t="str">
        <f>(SALES!$A:$A)</f>
        <v>Wednesday, 10 January 2024</v>
      </c>
      <c r="B301" s="1">
        <f>(SALES!$C:$C)</f>
        <v>16</v>
      </c>
      <c r="C301" s="1">
        <f>(SALES!$D:$D)</f>
        <v>1</v>
      </c>
      <c r="D301" s="1" t="str">
        <f>(SALES!$E:$E)</f>
        <v>MATOOKE</v>
      </c>
      <c r="E301" s="1">
        <f>(SALES!$F:$F)</f>
        <v>9000</v>
      </c>
      <c r="F301" s="1">
        <f>(SALES!$G:$G)</f>
        <v>9000</v>
      </c>
      <c r="G301" s="12"/>
      <c r="H301" s="2">
        <f>(EXPENSES!$A:$A)</f>
        <v>0</v>
      </c>
      <c r="I301" s="10">
        <f>(EXPENSES!$B:$B)</f>
        <v>0</v>
      </c>
      <c r="J301" s="10">
        <f>(EXPENSES!$C:$C)</f>
        <v>0</v>
      </c>
      <c r="K301" s="10">
        <f>(EXPENSES!$D:$D)</f>
        <v>0</v>
      </c>
      <c r="P301" s="2"/>
      <c r="Q301" s="7"/>
      <c r="R301" s="17"/>
      <c r="U301" s="17"/>
    </row>
    <row r="302" spans="1:21" ht="18.75" customHeight="1" x14ac:dyDescent="0.3">
      <c r="A302" s="32" t="str">
        <f>(SALES!$A:$A)</f>
        <v>Wednesday, 10 January 2024</v>
      </c>
      <c r="B302" s="1">
        <f>(SALES!$C:$C)</f>
        <v>30</v>
      </c>
      <c r="C302" s="1">
        <f>(SALES!$D:$D)</f>
        <v>1</v>
      </c>
      <c r="D302" s="1" t="str">
        <f>(SALES!$E:$E)</f>
        <v>MATOOKE</v>
      </c>
      <c r="E302" s="1">
        <f>(SALES!$F:$F)</f>
        <v>9000</v>
      </c>
      <c r="F302" s="1">
        <f>(SALES!$G:$G)</f>
        <v>9000</v>
      </c>
      <c r="H302" s="2">
        <f>(EXPENSES!$A:$A)</f>
        <v>0</v>
      </c>
      <c r="I302" s="10">
        <f>(EXPENSES!$B:$B)</f>
        <v>0</v>
      </c>
      <c r="J302" s="10">
        <f>(EXPENSES!$C:$C)</f>
        <v>0</v>
      </c>
      <c r="K302" s="10">
        <f>(EXPENSES!$D:$D)</f>
        <v>0</v>
      </c>
      <c r="P302" s="2"/>
      <c r="Q302" s="7"/>
      <c r="R302" s="17"/>
      <c r="U302" s="17"/>
    </row>
    <row r="303" spans="1:21" ht="18.75" customHeight="1" x14ac:dyDescent="0.3">
      <c r="A303" s="32" t="str">
        <f>(SALES!$A:$A)</f>
        <v>Wednesday, 10 January 2024</v>
      </c>
      <c r="B303" s="1">
        <f>(SALES!$C:$C)</f>
        <v>3</v>
      </c>
      <c r="C303" s="1">
        <f>(SALES!$D:$D)</f>
        <v>1</v>
      </c>
      <c r="D303" s="1" t="str">
        <f>(SALES!$E:$E)</f>
        <v>MATOOKE</v>
      </c>
      <c r="E303" s="1">
        <f>(SALES!$F:$F)</f>
        <v>9500</v>
      </c>
      <c r="F303" s="1">
        <f>(SALES!$G:$G)</f>
        <v>9500</v>
      </c>
      <c r="H303" s="2">
        <f>(EXPENSES!$A:$A)</f>
        <v>0</v>
      </c>
      <c r="I303" s="10">
        <f>(EXPENSES!$B:$B)</f>
        <v>0</v>
      </c>
      <c r="J303" s="10">
        <f>(EXPENSES!$C:$C)</f>
        <v>0</v>
      </c>
      <c r="K303" s="10">
        <f>(EXPENSES!$D:$D)</f>
        <v>0</v>
      </c>
      <c r="P303" s="2"/>
      <c r="Q303" s="7"/>
      <c r="R303" s="17"/>
      <c r="U303" s="17"/>
    </row>
    <row r="304" spans="1:21" ht="18.75" customHeight="1" x14ac:dyDescent="0.3">
      <c r="A304" s="32" t="str">
        <f>(SALES!$A:$A)</f>
        <v>Wednesday, 10 January 2024</v>
      </c>
      <c r="B304" s="1">
        <f>(SALES!$C:$C)</f>
        <v>17</v>
      </c>
      <c r="C304" s="1">
        <f>(SALES!$D:$D)</f>
        <v>1</v>
      </c>
      <c r="D304" s="1" t="str">
        <f>(SALES!$E:$E)</f>
        <v>MATOOKE</v>
      </c>
      <c r="E304" s="1">
        <f>(SALES!$F:$F)</f>
        <v>10000</v>
      </c>
      <c r="F304" s="1">
        <f>(SALES!$G:$G)</f>
        <v>10000</v>
      </c>
      <c r="H304" s="2">
        <f>(EXPENSES!$A:$A)</f>
        <v>0</v>
      </c>
      <c r="I304" s="10">
        <f>(EXPENSES!$B:$B)</f>
        <v>0</v>
      </c>
      <c r="J304" s="10">
        <f>(EXPENSES!$C:$C)</f>
        <v>0</v>
      </c>
      <c r="K304" s="10">
        <f>(EXPENSES!$D:$D)</f>
        <v>0</v>
      </c>
      <c r="P304" s="2"/>
      <c r="Q304" s="7"/>
      <c r="R304" s="17"/>
      <c r="U304" s="17"/>
    </row>
    <row r="305" spans="1:21" ht="18.75" customHeight="1" x14ac:dyDescent="0.3">
      <c r="A305" s="32" t="str">
        <f>(SALES!$A:$A)</f>
        <v>Wednesday, 10 January 2024</v>
      </c>
      <c r="B305" s="1">
        <f>(SALES!$C:$C)</f>
        <v>1</v>
      </c>
      <c r="C305" s="1">
        <f>(SALES!$D:$D)</f>
        <v>1</v>
      </c>
      <c r="D305" s="1" t="str">
        <f>(SALES!$E:$E)</f>
        <v>MATOOKE</v>
      </c>
      <c r="E305" s="1">
        <f>(SALES!$F:$F)</f>
        <v>10500</v>
      </c>
      <c r="F305" s="1">
        <f>(SALES!$G:$G)</f>
        <v>10500</v>
      </c>
      <c r="P305" s="2"/>
      <c r="Q305" s="7"/>
      <c r="R305" s="17"/>
      <c r="U305" s="17"/>
    </row>
    <row r="306" spans="1:21" ht="18.75" customHeight="1" x14ac:dyDescent="0.3">
      <c r="A306" s="32" t="str">
        <f>(SALES!$A:$A)</f>
        <v>Wednesday, 10 January 2024</v>
      </c>
      <c r="B306" s="1">
        <f>(SALES!$C:$C)</f>
        <v>26</v>
      </c>
      <c r="C306" s="1">
        <f>(SALES!$D:$D)</f>
        <v>1</v>
      </c>
      <c r="D306" s="1" t="str">
        <f>(SALES!$E:$E)</f>
        <v>MATOOKE</v>
      </c>
      <c r="E306" s="1">
        <f>(SALES!$F:$F)</f>
        <v>16500</v>
      </c>
      <c r="F306" s="1">
        <f>(SALES!$G:$G)</f>
        <v>16500</v>
      </c>
      <c r="P306" s="2"/>
      <c r="Q306" s="7"/>
      <c r="R306" s="17"/>
      <c r="U306" s="17"/>
    </row>
    <row r="307" spans="1:21" ht="18.75" customHeight="1" x14ac:dyDescent="0.3">
      <c r="A307" s="32" t="str">
        <f>(SALES!$A:$A)</f>
        <v>Wednesday, 10 January 2024</v>
      </c>
      <c r="B307" s="1">
        <f>(SALES!$C:$C)</f>
        <v>27</v>
      </c>
      <c r="C307" s="1">
        <f>(SALES!$D:$D)</f>
        <v>1</v>
      </c>
      <c r="D307" s="1" t="str">
        <f>(SALES!$E:$E)</f>
        <v>MATOOKE</v>
      </c>
      <c r="E307" s="1">
        <f>(SALES!$F:$F)</f>
        <v>17000</v>
      </c>
      <c r="F307" s="1">
        <f>(SALES!$G:$G)</f>
        <v>17000</v>
      </c>
      <c r="P307" s="2"/>
      <c r="Q307" s="7"/>
      <c r="R307" s="17"/>
      <c r="U307" s="17"/>
    </row>
    <row r="308" spans="1:21" ht="18.75" customHeight="1" x14ac:dyDescent="0.3">
      <c r="A308" s="32" t="str">
        <f>(SALES!$A:$A)</f>
        <v>Wednesday, 10 January 2024</v>
      </c>
      <c r="B308" s="1">
        <f>(SALES!$C:$C)</f>
        <v>29</v>
      </c>
      <c r="C308" s="1">
        <f>(SALES!$D:$D)</f>
        <v>1</v>
      </c>
      <c r="D308" s="1" t="str">
        <f>(SALES!$E:$E)</f>
        <v>MATOOKE</v>
      </c>
      <c r="E308" s="1">
        <f>(SALES!$F:$F)</f>
        <v>20000</v>
      </c>
      <c r="F308" s="1">
        <f>(SALES!$G:$G)</f>
        <v>20000</v>
      </c>
      <c r="P308" s="2"/>
      <c r="Q308" s="7"/>
      <c r="R308" s="17"/>
      <c r="U308" s="17"/>
    </row>
    <row r="309" spans="1:21" ht="18.75" customHeight="1" x14ac:dyDescent="0.3">
      <c r="A309" s="32" t="str">
        <f>(SALES!$A:$A)</f>
        <v>Wednesday, 10 January 2024</v>
      </c>
      <c r="B309" s="1">
        <f>(SALES!$C:$C)</f>
        <v>21</v>
      </c>
      <c r="C309" s="1">
        <f>(SALES!$D:$D)</f>
        <v>1</v>
      </c>
      <c r="D309" s="1" t="str">
        <f>(SALES!$E:$E)</f>
        <v>MATOOKE</v>
      </c>
      <c r="E309" s="1">
        <f>(SALES!$F:$F)</f>
        <v>26000</v>
      </c>
      <c r="F309" s="1">
        <f>(SALES!$G:$G)</f>
        <v>26000</v>
      </c>
      <c r="P309" s="2"/>
      <c r="Q309" s="7"/>
      <c r="R309" s="17"/>
      <c r="U309" s="17"/>
    </row>
    <row r="310" spans="1:21" ht="18.75" customHeight="1" x14ac:dyDescent="0.3">
      <c r="A310" s="32" t="str">
        <f>(SALES!$A:$A)</f>
        <v>Wednesday, 10 January 2024</v>
      </c>
      <c r="B310" s="1">
        <f>(SALES!$C:$C)</f>
        <v>42</v>
      </c>
      <c r="C310" s="1">
        <f>(SALES!$D:$D)</f>
        <v>1</v>
      </c>
      <c r="D310" s="1" t="str">
        <f>(SALES!$E:$E)</f>
        <v>MATOOKE</v>
      </c>
      <c r="E310" s="1">
        <f>(SALES!$F:$F)</f>
        <v>27000</v>
      </c>
      <c r="F310" s="1">
        <f>(SALES!$G:$G)</f>
        <v>27000</v>
      </c>
      <c r="P310" s="2"/>
      <c r="Q310" s="7"/>
      <c r="R310" s="19"/>
      <c r="U310" s="17"/>
    </row>
    <row r="311" spans="1:21" ht="18.75" customHeight="1" x14ac:dyDescent="0.3">
      <c r="A311" s="32" t="str">
        <f>(SALES!$A:$A)</f>
        <v>Wednesday, 10 January 2024</v>
      </c>
      <c r="B311" s="1">
        <f>(SALES!$C:$C)</f>
        <v>12</v>
      </c>
      <c r="C311" s="1">
        <f>(SALES!$D:$D)</f>
        <v>1</v>
      </c>
      <c r="D311" s="1" t="str">
        <f>(SALES!$E:$E)</f>
        <v>MATOOKE</v>
      </c>
      <c r="E311" s="1">
        <f>(SALES!$F:$F)</f>
        <v>28000</v>
      </c>
      <c r="F311" s="1">
        <f>(SALES!$G:$G)</f>
        <v>28000</v>
      </c>
      <c r="P311" s="2"/>
      <c r="Q311" s="7"/>
      <c r="R311" s="19"/>
      <c r="U311" s="17"/>
    </row>
    <row r="312" spans="1:21" ht="18.75" customHeight="1" x14ac:dyDescent="0.3">
      <c r="A312" s="32" t="str">
        <f>(SALES!$A:$A)</f>
        <v>Wednesday, 10 January 2024</v>
      </c>
      <c r="B312" s="1">
        <f>(SALES!$C:$C)</f>
        <v>8</v>
      </c>
      <c r="C312" s="1">
        <f>(SALES!$D:$D)</f>
        <v>1</v>
      </c>
      <c r="D312" s="1" t="str">
        <f>(SALES!$E:$E)</f>
        <v>MATOOKE</v>
      </c>
      <c r="E312" s="1">
        <f>(SALES!$F:$F)</f>
        <v>29500</v>
      </c>
      <c r="F312" s="1">
        <f>(SALES!$G:$G)</f>
        <v>29500</v>
      </c>
      <c r="P312" s="2"/>
      <c r="Q312" s="7"/>
      <c r="R312" s="17"/>
      <c r="U312" s="17"/>
    </row>
    <row r="313" spans="1:21" ht="18.75" customHeight="1" x14ac:dyDescent="0.3">
      <c r="A313" s="32" t="str">
        <f>(SALES!$A:$A)</f>
        <v>Wednesday, 10 January 2024</v>
      </c>
      <c r="B313" s="1">
        <f>(SALES!$C:$C)</f>
        <v>11</v>
      </c>
      <c r="C313" s="1">
        <f>(SALES!$D:$D)</f>
        <v>1</v>
      </c>
      <c r="D313" s="1" t="str">
        <f>(SALES!$E:$E)</f>
        <v>MATOOKE</v>
      </c>
      <c r="E313" s="1">
        <f>(SALES!$F:$F)</f>
        <v>32000</v>
      </c>
      <c r="F313" s="1">
        <f>(SALES!$G:$G)</f>
        <v>32000</v>
      </c>
      <c r="P313" s="2"/>
      <c r="Q313" s="7"/>
      <c r="R313" s="17"/>
      <c r="U313" s="17"/>
    </row>
    <row r="314" spans="1:21" ht="18.75" customHeight="1" x14ac:dyDescent="0.3">
      <c r="A314" s="32" t="str">
        <f>(SALES!$A:$A)</f>
        <v>Wednesday, 10 January 2024</v>
      </c>
      <c r="B314" s="1">
        <f>(SALES!$C:$C)</f>
        <v>13</v>
      </c>
      <c r="C314" s="1">
        <f>(SALES!$D:$D)</f>
        <v>1</v>
      </c>
      <c r="D314" s="1" t="str">
        <f>(SALES!$E:$E)</f>
        <v>MATOOKE</v>
      </c>
      <c r="E314" s="1">
        <f>(SALES!$F:$F)</f>
        <v>34000</v>
      </c>
      <c r="F314" s="1">
        <f>(SALES!$G:$G)</f>
        <v>34000</v>
      </c>
      <c r="P314" s="2"/>
      <c r="Q314" s="7"/>
      <c r="R314" s="17"/>
      <c r="U314" s="17"/>
    </row>
    <row r="315" spans="1:21" ht="18.75" customHeight="1" x14ac:dyDescent="0.3">
      <c r="A315" s="32" t="str">
        <f>(SALES!$A:$A)</f>
        <v>Wednesday, 10 January 2024</v>
      </c>
      <c r="B315" s="1">
        <f>(SALES!$C:$C)</f>
        <v>10</v>
      </c>
      <c r="C315" s="1">
        <f>(SALES!$D:$D)</f>
        <v>1</v>
      </c>
      <c r="D315" s="1" t="str">
        <f>(SALES!$E:$E)</f>
        <v>MATOOKE</v>
      </c>
      <c r="E315" s="1">
        <f>(SALES!$F:$F)</f>
        <v>35000</v>
      </c>
      <c r="F315" s="1">
        <f>(SALES!$G:$G)</f>
        <v>35000</v>
      </c>
      <c r="P315" s="2"/>
      <c r="Q315" s="7"/>
      <c r="R315" s="19"/>
      <c r="U315" s="17"/>
    </row>
    <row r="316" spans="1:21" ht="18.75" customHeight="1" x14ac:dyDescent="0.3">
      <c r="A316" s="32" t="str">
        <f>(SALES!$A:$A)</f>
        <v>Wednesday, 10 January 2024</v>
      </c>
      <c r="B316" s="1">
        <f>(SALES!$C:$C)</f>
        <v>9</v>
      </c>
      <c r="C316" s="1">
        <f>(SALES!$D:$D)</f>
        <v>1</v>
      </c>
      <c r="D316" s="1" t="str">
        <f>(SALES!$E:$E)</f>
        <v>MATOOKE</v>
      </c>
      <c r="E316" s="1">
        <f>(SALES!$F:$F)</f>
        <v>37000</v>
      </c>
      <c r="F316" s="1">
        <f>(SALES!$G:$G)</f>
        <v>37000</v>
      </c>
      <c r="P316" s="2"/>
      <c r="Q316" s="7"/>
      <c r="R316" s="19"/>
      <c r="U316" s="17"/>
    </row>
    <row r="317" spans="1:21" ht="18.75" customHeight="1" x14ac:dyDescent="0.3">
      <c r="A317" s="32" t="str">
        <f>(SALES!$A:$A)</f>
        <v>Wednesday, 10 January 2024</v>
      </c>
      <c r="B317" s="1">
        <f>(SALES!$C:$C)</f>
        <v>4</v>
      </c>
      <c r="C317" s="1">
        <f>(SALES!$D:$D)</f>
        <v>1.7</v>
      </c>
      <c r="D317" s="1" t="str">
        <f>(SALES!$E:$E)</f>
        <v>MATOOKE KGS</v>
      </c>
      <c r="E317" s="1">
        <f>(SALES!$F:$F)</f>
        <v>1500</v>
      </c>
      <c r="F317" s="1">
        <f>(SALES!$G:$G)</f>
        <v>2550</v>
      </c>
      <c r="P317" s="2"/>
      <c r="Q317" s="7"/>
      <c r="R317" s="17"/>
      <c r="U317" s="17"/>
    </row>
    <row r="318" spans="1:21" ht="18.75" customHeight="1" x14ac:dyDescent="0.3">
      <c r="A318" s="32" t="str">
        <f>(SALES!$A:$A)</f>
        <v>Wednesday, 10 January 2024</v>
      </c>
      <c r="B318" s="1">
        <f>(SALES!$C:$C)</f>
        <v>20</v>
      </c>
      <c r="C318" s="1">
        <f>(SALES!$D:$D)</f>
        <v>1.7</v>
      </c>
      <c r="D318" s="1" t="str">
        <f>(SALES!$E:$E)</f>
        <v>MATOOKE KGS</v>
      </c>
      <c r="E318" s="1">
        <f>(SALES!$F:$F)</f>
        <v>1500</v>
      </c>
      <c r="F318" s="1">
        <f>(SALES!$G:$G)</f>
        <v>2550</v>
      </c>
      <c r="P318" s="2"/>
      <c r="Q318" s="7"/>
      <c r="R318" s="19"/>
      <c r="U318" s="17"/>
    </row>
    <row r="319" spans="1:21" ht="18.75" customHeight="1" x14ac:dyDescent="0.3">
      <c r="A319" s="32" t="str">
        <f>(SALES!$A:$A)</f>
        <v>Wednesday, 10 January 2024</v>
      </c>
      <c r="B319" s="1">
        <f>(SALES!$C:$C)</f>
        <v>15</v>
      </c>
      <c r="C319" s="1">
        <f>(SALES!$D:$D)</f>
        <v>2</v>
      </c>
      <c r="D319" s="1" t="str">
        <f>(SALES!$E:$E)</f>
        <v>MATOOKE KGS</v>
      </c>
      <c r="E319" s="1">
        <f>(SALES!$F:$F)</f>
        <v>1500</v>
      </c>
      <c r="F319" s="1">
        <f>(SALES!$G:$G)</f>
        <v>3000</v>
      </c>
      <c r="P319" s="2"/>
      <c r="Q319" s="7"/>
      <c r="R319" s="17"/>
      <c r="U319" s="17"/>
    </row>
    <row r="320" spans="1:21" ht="18.75" customHeight="1" x14ac:dyDescent="0.3">
      <c r="A320" s="32" t="str">
        <f>(SALES!$A:$A)</f>
        <v>Wednesday, 10 January 2024</v>
      </c>
      <c r="B320" s="1">
        <f>(SALES!$C:$C)</f>
        <v>49</v>
      </c>
      <c r="C320" s="1">
        <f>(SALES!$D:$D)</f>
        <v>2.7</v>
      </c>
      <c r="D320" s="1" t="str">
        <f>(SALES!$E:$E)</f>
        <v>MATOOKE KGS</v>
      </c>
      <c r="E320" s="1">
        <f>(SALES!$F:$F)</f>
        <v>1500</v>
      </c>
      <c r="F320" s="1">
        <f>(SALES!$G:$G)</f>
        <v>4050.0000000000005</v>
      </c>
      <c r="P320" s="2"/>
      <c r="Q320" s="7"/>
      <c r="R320" s="19"/>
      <c r="U320" s="17"/>
    </row>
    <row r="321" spans="1:21" ht="18.75" customHeight="1" x14ac:dyDescent="0.3">
      <c r="A321" s="32" t="str">
        <f>(SALES!$A:$A)</f>
        <v>Wednesday, 10 January 2024</v>
      </c>
      <c r="B321" s="1">
        <f>(SALES!$C:$C)</f>
        <v>6</v>
      </c>
      <c r="C321" s="1">
        <f>(SALES!$D:$D)</f>
        <v>3.3</v>
      </c>
      <c r="D321" s="1" t="str">
        <f>(SALES!$E:$E)</f>
        <v>MATOOKE KGS</v>
      </c>
      <c r="E321" s="1">
        <f>(SALES!$F:$F)</f>
        <v>1500</v>
      </c>
      <c r="F321" s="1">
        <f>(SALES!$G:$G)</f>
        <v>4950</v>
      </c>
      <c r="P321" s="2"/>
      <c r="Q321" s="7"/>
      <c r="R321" s="19"/>
      <c r="U321" s="17"/>
    </row>
    <row r="322" spans="1:21" ht="18.75" customHeight="1" x14ac:dyDescent="0.3">
      <c r="A322" s="32" t="str">
        <f>(SALES!$A:$A)</f>
        <v>Wednesday, 10 January 2024</v>
      </c>
      <c r="B322" s="1">
        <f>(SALES!$C:$C)</f>
        <v>14</v>
      </c>
      <c r="C322" s="1">
        <f>(SALES!$D:$D)</f>
        <v>3.4</v>
      </c>
      <c r="D322" s="1" t="str">
        <f>(SALES!$E:$E)</f>
        <v>MATOOKE KGS</v>
      </c>
      <c r="E322" s="1">
        <f>(SALES!$F:$F)</f>
        <v>1500</v>
      </c>
      <c r="F322" s="1">
        <f>(SALES!$G:$G)</f>
        <v>5100</v>
      </c>
      <c r="P322" s="2"/>
      <c r="Q322" s="7"/>
      <c r="R322" s="19"/>
      <c r="U322" s="17"/>
    </row>
    <row r="323" spans="1:21" ht="18.75" customHeight="1" x14ac:dyDescent="0.3">
      <c r="A323" s="32" t="str">
        <f>(SALES!$A:$A)</f>
        <v>Wednesday, 10 January 2024</v>
      </c>
      <c r="B323" s="1">
        <f>(SALES!$C:$C)</f>
        <v>32</v>
      </c>
      <c r="C323" s="1">
        <f>(SALES!$D:$D)</f>
        <v>0.5</v>
      </c>
      <c r="D323" s="1" t="str">
        <f>(SALES!$E:$E)</f>
        <v>MEAT BALLS</v>
      </c>
      <c r="E323" s="1">
        <f>(SALES!$F:$F)</f>
        <v>30000</v>
      </c>
      <c r="F323" s="1">
        <f>(SALES!$G:$G)</f>
        <v>15000</v>
      </c>
      <c r="P323" s="2"/>
      <c r="Q323" s="7"/>
      <c r="R323" s="17"/>
      <c r="U323" s="17"/>
    </row>
    <row r="324" spans="1:21" ht="18.75" customHeight="1" x14ac:dyDescent="0.3">
      <c r="A324" s="32" t="str">
        <f>(SALES!$A:$A)</f>
        <v>Wednesday, 10 January 2024</v>
      </c>
      <c r="B324" s="1">
        <f>(SALES!$C:$C)</f>
        <v>18</v>
      </c>
      <c r="C324" s="1">
        <f>(SALES!$D:$D)</f>
        <v>2</v>
      </c>
      <c r="D324" s="1" t="str">
        <f>(SALES!$E:$E)</f>
        <v>MILK</v>
      </c>
      <c r="E324" s="1">
        <f>(SALES!$F:$F)</f>
        <v>2000</v>
      </c>
      <c r="F324" s="1">
        <f>(SALES!$G:$G)</f>
        <v>4000</v>
      </c>
      <c r="P324" s="2"/>
      <c r="Q324" s="7"/>
      <c r="R324" s="19"/>
      <c r="U324" s="17"/>
    </row>
    <row r="325" spans="1:21" ht="18.75" customHeight="1" x14ac:dyDescent="0.3">
      <c r="A325" s="32" t="str">
        <f>(SALES!$A:$A)</f>
        <v>Wednesday, 10 January 2024</v>
      </c>
      <c r="B325" s="1">
        <f>(SALES!$C:$C)</f>
        <v>7</v>
      </c>
      <c r="C325" s="1">
        <f>(SALES!$D:$D)</f>
        <v>2.5</v>
      </c>
      <c r="D325" s="1" t="str">
        <f>(SALES!$E:$E)</f>
        <v>MILK</v>
      </c>
      <c r="E325" s="1">
        <f>(SALES!$F:$F)</f>
        <v>2000</v>
      </c>
      <c r="F325" s="1">
        <f>(SALES!$G:$G)</f>
        <v>5000</v>
      </c>
      <c r="P325" s="2"/>
      <c r="Q325" s="7"/>
      <c r="R325" s="17"/>
      <c r="U325" s="17"/>
    </row>
    <row r="326" spans="1:21" ht="18.75" customHeight="1" x14ac:dyDescent="0.3">
      <c r="A326" s="32" t="str">
        <f>(SALES!$A:$A)</f>
        <v>Wednesday, 10 January 2024</v>
      </c>
      <c r="B326" s="1">
        <f>(SALES!$C:$C)</f>
        <v>28</v>
      </c>
      <c r="C326" s="1">
        <f>(SALES!$D:$D)</f>
        <v>10</v>
      </c>
      <c r="D326" s="1" t="str">
        <f>(SALES!$E:$E)</f>
        <v>MILK</v>
      </c>
      <c r="E326" s="1">
        <f>(SALES!$F:$F)</f>
        <v>2000</v>
      </c>
      <c r="F326" s="1">
        <f>(SALES!$G:$G)</f>
        <v>20000</v>
      </c>
      <c r="P326" s="2"/>
      <c r="Q326" s="7"/>
      <c r="R326" s="19"/>
      <c r="U326" s="17"/>
    </row>
    <row r="327" spans="1:21" ht="18.75" customHeight="1" x14ac:dyDescent="0.3">
      <c r="A327" s="32" t="str">
        <f>(SALES!$A:$A)</f>
        <v>Wednesday, 10 January 2024</v>
      </c>
      <c r="B327" s="1">
        <f>(SALES!$C:$C)</f>
        <v>51</v>
      </c>
      <c r="C327" s="1">
        <f>(SALES!$D:$D)</f>
        <v>0.5</v>
      </c>
      <c r="D327" s="1" t="str">
        <f>(SALES!$E:$E)</f>
        <v>PLAIN YOGHURT</v>
      </c>
      <c r="E327" s="1">
        <f>(SALES!$F:$F)</f>
        <v>4000</v>
      </c>
      <c r="F327" s="1">
        <f>(SALES!$G:$G)</f>
        <v>2000</v>
      </c>
      <c r="P327" s="2"/>
      <c r="Q327" s="7"/>
      <c r="R327" s="19"/>
      <c r="U327" s="17"/>
    </row>
    <row r="328" spans="1:21" ht="18.75" customHeight="1" x14ac:dyDescent="0.3">
      <c r="A328" s="32" t="str">
        <f>(SALES!$A:$A)</f>
        <v>Thursday, 11 January 2024</v>
      </c>
      <c r="B328" s="1">
        <f>(SALES!$C:$C)</f>
        <v>50</v>
      </c>
      <c r="C328" s="1">
        <f>(SALES!$D:$D)</f>
        <v>2.5</v>
      </c>
      <c r="D328" s="1" t="str">
        <f>(SALES!$E:$E)</f>
        <v>PLAIN YOGHURT</v>
      </c>
      <c r="E328" s="1">
        <f>(SALES!$F:$F)</f>
        <v>4000</v>
      </c>
      <c r="F328" s="1">
        <f>(SALES!$G:$G)</f>
        <v>10000</v>
      </c>
      <c r="P328" s="2"/>
      <c r="Q328" s="7"/>
      <c r="R328" s="17"/>
      <c r="U328" s="17"/>
    </row>
    <row r="329" spans="1:21" ht="18.75" customHeight="1" x14ac:dyDescent="0.3">
      <c r="A329" s="32" t="str">
        <f>(SALES!$A:$A)</f>
        <v>Thursday, 11 January 2024</v>
      </c>
      <c r="B329" s="1">
        <f>(SALES!$C:$C)</f>
        <v>44</v>
      </c>
      <c r="C329" s="1">
        <f>(SALES!$D:$D)</f>
        <v>1</v>
      </c>
      <c r="D329" s="1" t="str">
        <f>(SALES!$E:$E)</f>
        <v>TOMATOES</v>
      </c>
      <c r="E329" s="1">
        <f>(SALES!$F:$F)</f>
        <v>3000</v>
      </c>
      <c r="F329" s="1">
        <f>(SALES!$G:$G)</f>
        <v>3000</v>
      </c>
      <c r="P329" s="2"/>
      <c r="Q329" s="7"/>
      <c r="R329" s="17"/>
      <c r="U329" s="17"/>
    </row>
    <row r="330" spans="1:21" ht="18.75" customHeight="1" x14ac:dyDescent="0.3">
      <c r="A330" s="32" t="str">
        <f>(SALES!$A:$A)</f>
        <v>Thursday, 11 January 2024</v>
      </c>
      <c r="B330" s="1">
        <f>(SALES!$C:$C)</f>
        <v>22</v>
      </c>
      <c r="C330" s="1">
        <f>(SALES!$D:$D)</f>
        <v>1</v>
      </c>
      <c r="D330" s="1" t="str">
        <f>(SALES!$E:$E)</f>
        <v>AVOCADO</v>
      </c>
      <c r="E330" s="1">
        <f>(SALES!$F:$F)</f>
        <v>1000</v>
      </c>
      <c r="F330" s="1">
        <f>(SALES!$G:$G)</f>
        <v>1000</v>
      </c>
      <c r="P330" s="2"/>
      <c r="Q330" s="7"/>
      <c r="R330" s="19"/>
      <c r="U330" s="17"/>
    </row>
    <row r="331" spans="1:21" ht="18.75" customHeight="1" x14ac:dyDescent="0.3">
      <c r="A331" s="32" t="str">
        <f>(SALES!$A:$A)</f>
        <v>Thursday, 11 January 2024</v>
      </c>
      <c r="B331" s="1">
        <f>(SALES!$C:$C)</f>
        <v>28</v>
      </c>
      <c r="C331" s="1">
        <f>(SALES!$D:$D)</f>
        <v>1</v>
      </c>
      <c r="D331" s="1" t="str">
        <f>(SALES!$E:$E)</f>
        <v>AVOCADO</v>
      </c>
      <c r="E331" s="1">
        <f>(SALES!$F:$F)</f>
        <v>1000</v>
      </c>
      <c r="F331" s="1">
        <f>(SALES!$G:$G)</f>
        <v>1000</v>
      </c>
      <c r="P331" s="2"/>
      <c r="Q331" s="7"/>
      <c r="R331" s="17"/>
      <c r="U331" s="17"/>
    </row>
    <row r="332" spans="1:21" ht="18.75" customHeight="1" x14ac:dyDescent="0.3">
      <c r="A332" s="32" t="str">
        <f>(SALES!$A:$A)</f>
        <v>Thursday, 11 January 2024</v>
      </c>
      <c r="B332" s="1">
        <f>(SALES!$C:$C)</f>
        <v>10</v>
      </c>
      <c r="C332" s="1">
        <f>(SALES!$D:$D)</f>
        <v>0.5</v>
      </c>
      <c r="D332" s="1" t="str">
        <f>(SALES!$E:$E)</f>
        <v>BEEF</v>
      </c>
      <c r="E332" s="1">
        <f>(SALES!$F:$F)</f>
        <v>16000</v>
      </c>
      <c r="F332" s="1">
        <f>(SALES!$G:$G)</f>
        <v>8000</v>
      </c>
      <c r="P332" s="2"/>
      <c r="Q332" s="7"/>
      <c r="R332" s="19"/>
      <c r="U332" s="17"/>
    </row>
    <row r="333" spans="1:21" ht="18.75" customHeight="1" x14ac:dyDescent="0.3">
      <c r="A333" s="32" t="str">
        <f>(SALES!$A:$A)</f>
        <v>Thursday, 11 January 2024</v>
      </c>
      <c r="B333" s="1">
        <f>(SALES!$C:$C)</f>
        <v>40</v>
      </c>
      <c r="C333" s="1">
        <f>(SALES!$D:$D)</f>
        <v>0.5</v>
      </c>
      <c r="D333" s="1" t="str">
        <f>(SALES!$E:$E)</f>
        <v>BEEF</v>
      </c>
      <c r="E333" s="1">
        <f>(SALES!$F:$F)</f>
        <v>16000</v>
      </c>
      <c r="F333" s="1">
        <f>(SALES!$G:$G)</f>
        <v>8000</v>
      </c>
      <c r="P333" s="2"/>
      <c r="Q333" s="7"/>
      <c r="R333" s="19"/>
      <c r="U333" s="17"/>
    </row>
    <row r="334" spans="1:21" ht="18.75" customHeight="1" x14ac:dyDescent="0.3">
      <c r="A334" s="32" t="str">
        <f>(SALES!$A:$A)</f>
        <v>Thursday, 11 January 2024</v>
      </c>
      <c r="B334" s="1">
        <f>(SALES!$C:$C)</f>
        <v>1</v>
      </c>
      <c r="C334" s="1">
        <f>(SALES!$D:$D)</f>
        <v>1</v>
      </c>
      <c r="D334" s="1" t="str">
        <f>(SALES!$E:$E)</f>
        <v>BEEF</v>
      </c>
      <c r="E334" s="1">
        <f>(SALES!$F:$F)</f>
        <v>16000</v>
      </c>
      <c r="F334" s="1">
        <f>(SALES!$G:$G)</f>
        <v>16000</v>
      </c>
      <c r="P334" s="2"/>
      <c r="Q334" s="7"/>
      <c r="R334" s="19"/>
      <c r="U334" s="17"/>
    </row>
    <row r="335" spans="1:21" ht="18.75" customHeight="1" x14ac:dyDescent="0.3">
      <c r="A335" s="32" t="str">
        <f>(SALES!$A:$A)</f>
        <v>Thursday, 11 January 2024</v>
      </c>
      <c r="B335" s="1">
        <f>(SALES!$C:$C)</f>
        <v>4</v>
      </c>
      <c r="C335" s="1">
        <f>(SALES!$D:$D)</f>
        <v>0.5</v>
      </c>
      <c r="D335" s="1" t="str">
        <f>(SALES!$E:$E)</f>
        <v>BONELESS BEEF</v>
      </c>
      <c r="E335" s="1">
        <f>(SALES!$F:$F)</f>
        <v>22000</v>
      </c>
      <c r="F335" s="1">
        <f>(SALES!$G:$G)</f>
        <v>11000</v>
      </c>
      <c r="P335" s="2"/>
      <c r="Q335" s="7"/>
      <c r="R335" s="19"/>
      <c r="U335" s="17"/>
    </row>
    <row r="336" spans="1:21" ht="18.75" customHeight="1" x14ac:dyDescent="0.3">
      <c r="A336" s="32" t="str">
        <f>(SALES!$A:$A)</f>
        <v>Thursday, 11 January 2024</v>
      </c>
      <c r="B336" s="1">
        <f>(SALES!$C:$C)</f>
        <v>25</v>
      </c>
      <c r="C336" s="1">
        <f>(SALES!$D:$D)</f>
        <v>1</v>
      </c>
      <c r="D336" s="1" t="str">
        <f>(SALES!$E:$E)</f>
        <v>DOG BONES</v>
      </c>
      <c r="E336" s="1">
        <f>(SALES!$F:$F)</f>
        <v>4000</v>
      </c>
      <c r="F336" s="1">
        <f>(SALES!$G:$G)</f>
        <v>4000</v>
      </c>
      <c r="P336" s="2"/>
      <c r="Q336" s="7"/>
      <c r="R336" s="19"/>
      <c r="U336" s="17"/>
    </row>
    <row r="337" spans="1:21" ht="18.75" customHeight="1" x14ac:dyDescent="0.3">
      <c r="A337" s="32" t="str">
        <f>(SALES!$A:$A)</f>
        <v>Thursday, 11 January 2024</v>
      </c>
      <c r="B337" s="1">
        <f>(SALES!$C:$C)</f>
        <v>27</v>
      </c>
      <c r="C337" s="1">
        <f>(SALES!$D:$D)</f>
        <v>1</v>
      </c>
      <c r="D337" s="1" t="str">
        <f>(SALES!$E:$E)</f>
        <v>GONJA</v>
      </c>
      <c r="E337" s="1">
        <f>(SALES!$F:$F)</f>
        <v>5000</v>
      </c>
      <c r="F337" s="1">
        <f>(SALES!$G:$G)</f>
        <v>5000</v>
      </c>
      <c r="P337" s="2"/>
      <c r="Q337" s="7"/>
      <c r="R337" s="19"/>
      <c r="U337" s="17"/>
    </row>
    <row r="338" spans="1:21" ht="18.75" customHeight="1" x14ac:dyDescent="0.3">
      <c r="A338" s="32" t="str">
        <f>(SALES!$A:$A)</f>
        <v>Thursday, 11 January 2024</v>
      </c>
      <c r="B338" s="1">
        <f>(SALES!$C:$C)</f>
        <v>36</v>
      </c>
      <c r="C338" s="1">
        <f>(SALES!$D:$D)</f>
        <v>1</v>
      </c>
      <c r="D338" s="1" t="str">
        <f>(SALES!$E:$E)</f>
        <v>GONJA</v>
      </c>
      <c r="E338" s="1">
        <f>(SALES!$F:$F)</f>
        <v>5000</v>
      </c>
      <c r="F338" s="1">
        <f>(SALES!$G:$G)</f>
        <v>5000</v>
      </c>
      <c r="P338" s="2"/>
      <c r="Q338" s="7"/>
      <c r="R338" s="17"/>
      <c r="U338" s="17"/>
    </row>
    <row r="339" spans="1:21" ht="18.75" customHeight="1" x14ac:dyDescent="0.3">
      <c r="A339" s="32" t="str">
        <f>(SALES!$A:$A)</f>
        <v>Thursday, 11 January 2024</v>
      </c>
      <c r="B339" s="1">
        <f>(SALES!$C:$C)</f>
        <v>38</v>
      </c>
      <c r="C339" s="1">
        <f>(SALES!$D:$D)</f>
        <v>0.9</v>
      </c>
      <c r="D339" s="1" t="str">
        <f>(SALES!$E:$E)</f>
        <v xml:space="preserve">LIVER </v>
      </c>
      <c r="E339" s="1">
        <f>(SALES!$F:$F)</f>
        <v>22000</v>
      </c>
      <c r="F339" s="1">
        <f>(SALES!$G:$G)</f>
        <v>19800</v>
      </c>
      <c r="P339" s="2"/>
      <c r="Q339" s="7"/>
      <c r="R339" s="19"/>
      <c r="U339" s="17"/>
    </row>
    <row r="340" spans="1:21" ht="18.75" customHeight="1" x14ac:dyDescent="0.3">
      <c r="A340" s="32" t="str">
        <f>(SALES!$A:$A)</f>
        <v>Thursday, 11 January 2024</v>
      </c>
      <c r="B340" s="1">
        <f>(SALES!$C:$C)</f>
        <v>2</v>
      </c>
      <c r="C340" s="1">
        <f>(SALES!$D:$D)</f>
        <v>1</v>
      </c>
      <c r="D340" s="1" t="str">
        <f>(SALES!$E:$E)</f>
        <v>LOCAL EGGS</v>
      </c>
      <c r="E340" s="1">
        <f>(SALES!$F:$F)</f>
        <v>25000</v>
      </c>
      <c r="F340" s="1">
        <f>(SALES!$G:$G)</f>
        <v>25000</v>
      </c>
      <c r="P340" s="2"/>
      <c r="Q340" s="7"/>
      <c r="R340" s="19"/>
      <c r="U340" s="17"/>
    </row>
    <row r="341" spans="1:21" ht="18.75" customHeight="1" x14ac:dyDescent="0.3">
      <c r="A341" s="32" t="str">
        <f>(SALES!$A:$A)</f>
        <v>Thursday, 11 January 2024</v>
      </c>
      <c r="B341" s="1">
        <f>(SALES!$C:$C)</f>
        <v>8</v>
      </c>
      <c r="C341" s="1">
        <f>(SALES!$D:$D)</f>
        <v>1</v>
      </c>
      <c r="D341" s="1" t="str">
        <f>(SALES!$E:$E)</f>
        <v>LOCAL EGGS</v>
      </c>
      <c r="E341" s="1">
        <f>(SALES!$F:$F)</f>
        <v>25000</v>
      </c>
      <c r="F341" s="1">
        <f>(SALES!$G:$G)</f>
        <v>25000</v>
      </c>
      <c r="P341" s="2"/>
      <c r="Q341" s="7"/>
      <c r="R341" s="19"/>
      <c r="U341" s="17"/>
    </row>
    <row r="342" spans="1:21" ht="18.75" customHeight="1" x14ac:dyDescent="0.3">
      <c r="A342" s="32" t="str">
        <f>(SALES!$A:$A)</f>
        <v>Thursday, 11 January 2024</v>
      </c>
      <c r="B342" s="1">
        <f>(SALES!$C:$C)</f>
        <v>42</v>
      </c>
      <c r="C342" s="1">
        <f>(SALES!$D:$D)</f>
        <v>1</v>
      </c>
      <c r="D342" s="1" t="str">
        <f>(SALES!$E:$E)</f>
        <v>LOCAL EGGS</v>
      </c>
      <c r="E342" s="1">
        <f>(SALES!$F:$F)</f>
        <v>25000</v>
      </c>
      <c r="F342" s="1">
        <f>(SALES!$G:$G)</f>
        <v>25000</v>
      </c>
      <c r="P342" s="2"/>
      <c r="Q342" s="7"/>
      <c r="R342" s="17"/>
      <c r="U342" s="17"/>
    </row>
    <row r="343" spans="1:21" ht="18.75" customHeight="1" x14ac:dyDescent="0.3">
      <c r="A343" s="32" t="str">
        <f>(SALES!$A:$A)</f>
        <v>Thursday, 11 January 2024</v>
      </c>
      <c r="B343" s="1">
        <f>(SALES!$C:$C)</f>
        <v>16</v>
      </c>
      <c r="C343" s="1">
        <f>(SALES!$D:$D)</f>
        <v>1</v>
      </c>
      <c r="D343" s="1" t="str">
        <f>(SALES!$E:$E)</f>
        <v>MATOOKE</v>
      </c>
      <c r="E343" s="1">
        <f>(SALES!$F:$F)</f>
        <v>8000</v>
      </c>
      <c r="F343" s="1">
        <f>(SALES!$G:$G)</f>
        <v>8000</v>
      </c>
      <c r="P343" s="2"/>
      <c r="Q343" s="7"/>
      <c r="R343" s="17"/>
      <c r="U343" s="17"/>
    </row>
    <row r="344" spans="1:21" ht="18.75" customHeight="1" x14ac:dyDescent="0.3">
      <c r="A344" s="32" t="str">
        <f>(SALES!$A:$A)</f>
        <v>Thursday, 11 January 2024</v>
      </c>
      <c r="B344" s="1">
        <f>(SALES!$C:$C)</f>
        <v>12</v>
      </c>
      <c r="C344" s="1">
        <f>(SALES!$D:$D)</f>
        <v>1</v>
      </c>
      <c r="D344" s="1" t="str">
        <f>(SALES!$E:$E)</f>
        <v>MATOOKE</v>
      </c>
      <c r="E344" s="1">
        <f>(SALES!$F:$F)</f>
        <v>12000</v>
      </c>
      <c r="F344" s="1">
        <f>(SALES!$G:$G)</f>
        <v>12000</v>
      </c>
      <c r="P344" s="2"/>
      <c r="Q344" s="7"/>
      <c r="R344" s="17"/>
      <c r="U344" s="17"/>
    </row>
    <row r="345" spans="1:21" ht="18.75" customHeight="1" x14ac:dyDescent="0.3">
      <c r="A345" s="32" t="str">
        <f>(SALES!$A:$A)</f>
        <v>Thursday, 11 January 2024</v>
      </c>
      <c r="B345" s="1">
        <f>(SALES!$C:$C)</f>
        <v>6</v>
      </c>
      <c r="C345" s="1">
        <f>(SALES!$D:$D)</f>
        <v>1</v>
      </c>
      <c r="D345" s="1" t="str">
        <f>(SALES!$E:$E)</f>
        <v>MATOOKE</v>
      </c>
      <c r="E345" s="1">
        <f>(SALES!$F:$F)</f>
        <v>13000</v>
      </c>
      <c r="F345" s="1">
        <f>(SALES!$G:$G)</f>
        <v>13000</v>
      </c>
      <c r="P345" s="2"/>
      <c r="Q345" s="7"/>
      <c r="R345" s="17"/>
      <c r="U345" s="17"/>
    </row>
    <row r="346" spans="1:21" ht="18.75" customHeight="1" x14ac:dyDescent="0.3">
      <c r="A346" s="32" t="str">
        <f>(SALES!$A:$A)</f>
        <v>Thursday, 11 January 2024</v>
      </c>
      <c r="B346" s="1">
        <f>(SALES!$C:$C)</f>
        <v>15</v>
      </c>
      <c r="C346" s="1">
        <f>(SALES!$D:$D)</f>
        <v>1</v>
      </c>
      <c r="D346" s="1" t="str">
        <f>(SALES!$E:$E)</f>
        <v>MATOOKE</v>
      </c>
      <c r="E346" s="1">
        <f>(SALES!$F:$F)</f>
        <v>16500</v>
      </c>
      <c r="F346" s="1">
        <f>(SALES!$G:$G)</f>
        <v>16500</v>
      </c>
      <c r="P346" s="2"/>
      <c r="Q346" s="7"/>
      <c r="R346" s="17"/>
      <c r="U346" s="17"/>
    </row>
    <row r="347" spans="1:21" ht="18.75" customHeight="1" x14ac:dyDescent="0.3">
      <c r="A347" s="32" t="str">
        <f>(SALES!$A:$A)</f>
        <v>Thursday, 11 January 2024</v>
      </c>
      <c r="B347" s="1">
        <f>(SALES!$C:$C)</f>
        <v>48</v>
      </c>
      <c r="C347" s="1">
        <f>(SALES!$D:$D)</f>
        <v>1</v>
      </c>
      <c r="D347" s="1" t="str">
        <f>(SALES!$E:$E)</f>
        <v>MATOOKE</v>
      </c>
      <c r="E347" s="1">
        <f>(SALES!$F:$F)</f>
        <v>26000</v>
      </c>
      <c r="F347" s="1">
        <f>(SALES!$G:$G)</f>
        <v>26000</v>
      </c>
      <c r="P347" s="2"/>
      <c r="Q347" s="7"/>
      <c r="R347" s="17"/>
      <c r="U347" s="17"/>
    </row>
    <row r="348" spans="1:21" ht="18.75" customHeight="1" x14ac:dyDescent="0.3">
      <c r="A348" s="32" t="str">
        <f>(SALES!$A:$A)</f>
        <v>Thursday, 11 January 2024</v>
      </c>
      <c r="B348" s="1">
        <f>(SALES!$C:$C)</f>
        <v>7</v>
      </c>
      <c r="C348" s="1">
        <f>(SALES!$D:$D)</f>
        <v>1</v>
      </c>
      <c r="D348" s="1" t="str">
        <f>(SALES!$E:$E)</f>
        <v>MATOOKE</v>
      </c>
      <c r="E348" s="1">
        <f>(SALES!$F:$F)</f>
        <v>12500</v>
      </c>
      <c r="F348" s="1">
        <f>(SALES!$G:$G)</f>
        <v>12500</v>
      </c>
      <c r="P348" s="2"/>
      <c r="Q348" s="7"/>
      <c r="R348" s="17"/>
      <c r="U348" s="17"/>
    </row>
    <row r="349" spans="1:21" ht="18.75" customHeight="1" x14ac:dyDescent="0.3">
      <c r="A349" s="32" t="str">
        <f>(SALES!$A:$A)</f>
        <v>Thursday, 11 January 2024</v>
      </c>
      <c r="B349" s="1">
        <f>(SALES!$C:$C)</f>
        <v>50</v>
      </c>
      <c r="C349" s="1">
        <f>(SALES!$D:$D)</f>
        <v>0.6</v>
      </c>
      <c r="D349" s="1" t="str">
        <f>(SALES!$E:$E)</f>
        <v>MATOOKE KGS</v>
      </c>
      <c r="E349" s="1">
        <f>(SALES!$F:$F)</f>
        <v>1500</v>
      </c>
      <c r="F349" s="1">
        <f>(SALES!$G:$G)</f>
        <v>900</v>
      </c>
      <c r="P349" s="2"/>
      <c r="Q349" s="7"/>
      <c r="R349" s="19"/>
      <c r="U349" s="17"/>
    </row>
    <row r="350" spans="1:21" ht="18.75" customHeight="1" x14ac:dyDescent="0.3">
      <c r="A350" s="32" t="str">
        <f>(SALES!$A:$A)</f>
        <v>Thursday, 11 January 2024</v>
      </c>
      <c r="B350" s="1">
        <f>(SALES!$C:$C)</f>
        <v>24</v>
      </c>
      <c r="C350" s="1">
        <f>(SALES!$D:$D)</f>
        <v>1</v>
      </c>
      <c r="D350" s="1" t="str">
        <f>(SALES!$E:$E)</f>
        <v>MATOOKE KGS</v>
      </c>
      <c r="E350" s="1">
        <f>(SALES!$F:$F)</f>
        <v>1500</v>
      </c>
      <c r="F350" s="1">
        <f>(SALES!$G:$G)</f>
        <v>1500</v>
      </c>
      <c r="P350" s="2"/>
      <c r="Q350" s="7"/>
      <c r="R350" s="17"/>
      <c r="U350" s="17"/>
    </row>
    <row r="351" spans="1:21" ht="18.75" customHeight="1" x14ac:dyDescent="0.3">
      <c r="A351" s="32" t="str">
        <f>(SALES!$A:$A)</f>
        <v>Thursday, 11 January 2024</v>
      </c>
      <c r="B351" s="1">
        <f>(SALES!$C:$C)</f>
        <v>17</v>
      </c>
      <c r="C351" s="1">
        <f>(SALES!$D:$D)</f>
        <v>1.4</v>
      </c>
      <c r="D351" s="1" t="str">
        <f>(SALES!$E:$E)</f>
        <v>MATOOKE KGS</v>
      </c>
      <c r="E351" s="1">
        <f>(SALES!$F:$F)</f>
        <v>1500</v>
      </c>
      <c r="F351" s="1">
        <f>(SALES!$G:$G)</f>
        <v>2100</v>
      </c>
      <c r="P351" s="2"/>
      <c r="Q351" s="7"/>
      <c r="R351" s="19"/>
      <c r="U351" s="17"/>
    </row>
    <row r="352" spans="1:21" ht="18.75" customHeight="1" x14ac:dyDescent="0.3">
      <c r="A352" s="32" t="str">
        <f>(SALES!$A:$A)</f>
        <v>Thursday, 11 January 2024</v>
      </c>
      <c r="B352" s="1">
        <f>(SALES!$C:$C)</f>
        <v>41</v>
      </c>
      <c r="C352" s="1">
        <f>(SALES!$D:$D)</f>
        <v>2</v>
      </c>
      <c r="D352" s="1" t="str">
        <f>(SALES!$E:$E)</f>
        <v>MATOOKE KGS</v>
      </c>
      <c r="E352" s="1">
        <f>(SALES!$F:$F)</f>
        <v>1500</v>
      </c>
      <c r="F352" s="1">
        <f>(SALES!$G:$G)</f>
        <v>3000</v>
      </c>
      <c r="P352" s="2"/>
      <c r="Q352" s="7"/>
      <c r="R352" s="19"/>
      <c r="U352" s="17"/>
    </row>
    <row r="353" spans="1:21" ht="18.75" customHeight="1" x14ac:dyDescent="0.3">
      <c r="A353" s="32" t="str">
        <f>(SALES!$A:$A)</f>
        <v>Thursday, 11 January 2024</v>
      </c>
      <c r="B353" s="1">
        <f>(SALES!$C:$C)</f>
        <v>44</v>
      </c>
      <c r="C353" s="1">
        <f>(SALES!$D:$D)</f>
        <v>2.7</v>
      </c>
      <c r="D353" s="1" t="str">
        <f>(SALES!$E:$E)</f>
        <v>MATOOKE KGS</v>
      </c>
      <c r="E353" s="1">
        <f>(SALES!$F:$F)</f>
        <v>1500</v>
      </c>
      <c r="F353" s="1">
        <f>(SALES!$G:$G)</f>
        <v>4050.0000000000005</v>
      </c>
      <c r="P353" s="2"/>
      <c r="Q353" s="7"/>
      <c r="R353" s="17"/>
      <c r="U353" s="17"/>
    </row>
    <row r="354" spans="1:21" ht="18.75" customHeight="1" x14ac:dyDescent="0.3">
      <c r="A354" s="32" t="str">
        <f>(SALES!$A:$A)</f>
        <v>Thursday, 11 January 2024</v>
      </c>
      <c r="B354" s="1">
        <f>(SALES!$C:$C)</f>
        <v>20</v>
      </c>
      <c r="C354" s="1">
        <f>(SALES!$D:$D)</f>
        <v>3</v>
      </c>
      <c r="D354" s="1" t="str">
        <f>(SALES!$E:$E)</f>
        <v>MATOOKE KGS</v>
      </c>
      <c r="E354" s="1">
        <f>(SALES!$F:$F)</f>
        <v>1500</v>
      </c>
      <c r="F354" s="1">
        <f>(SALES!$G:$G)</f>
        <v>4500</v>
      </c>
      <c r="P354" s="2"/>
      <c r="Q354" s="7"/>
      <c r="R354" s="17"/>
      <c r="U354" s="17"/>
    </row>
    <row r="355" spans="1:21" ht="18.75" customHeight="1" x14ac:dyDescent="0.3">
      <c r="A355" s="32" t="str">
        <f>(SALES!$A:$A)</f>
        <v>Thursday, 11 January 2024</v>
      </c>
      <c r="B355" s="1">
        <f>(SALES!$C:$C)</f>
        <v>21</v>
      </c>
      <c r="C355" s="1">
        <f>(SALES!$D:$D)</f>
        <v>4</v>
      </c>
      <c r="D355" s="1" t="str">
        <f>(SALES!$E:$E)</f>
        <v>MATOOKE KGS</v>
      </c>
      <c r="E355" s="1">
        <f>(SALES!$F:$F)</f>
        <v>1500</v>
      </c>
      <c r="F355" s="1">
        <f>(SALES!$G:$G)</f>
        <v>6000</v>
      </c>
      <c r="P355" s="2"/>
      <c r="Q355" s="7"/>
      <c r="R355" s="19"/>
      <c r="U355" s="17"/>
    </row>
    <row r="356" spans="1:21" ht="18.75" customHeight="1" x14ac:dyDescent="0.3">
      <c r="A356" s="32" t="str">
        <f>(SALES!$A:$A)</f>
        <v>Thursday, 11 January 2024</v>
      </c>
      <c r="B356" s="1">
        <f>(SALES!$C:$C)</f>
        <v>11</v>
      </c>
      <c r="C356" s="1">
        <f>(SALES!$D:$D)</f>
        <v>1</v>
      </c>
      <c r="D356" s="1" t="str">
        <f>(SALES!$E:$E)</f>
        <v>MILK</v>
      </c>
      <c r="E356" s="1">
        <f>(SALES!$F:$F)</f>
        <v>2000</v>
      </c>
      <c r="F356" s="1">
        <f>(SALES!$G:$G)</f>
        <v>2000</v>
      </c>
      <c r="P356" s="2"/>
      <c r="Q356" s="7"/>
      <c r="R356" s="19"/>
      <c r="U356" s="17"/>
    </row>
    <row r="357" spans="1:21" ht="18.75" customHeight="1" x14ac:dyDescent="0.3">
      <c r="A357" s="32" t="str">
        <f>(SALES!$A:$A)</f>
        <v>Thursday, 11 January 2024</v>
      </c>
      <c r="B357" s="1">
        <f>(SALES!$C:$C)</f>
        <v>29</v>
      </c>
      <c r="C357" s="1">
        <f>(SALES!$D:$D)</f>
        <v>1</v>
      </c>
      <c r="D357" s="1" t="str">
        <f>(SALES!$E:$E)</f>
        <v>MILK</v>
      </c>
      <c r="E357" s="1">
        <f>(SALES!$F:$F)</f>
        <v>2000</v>
      </c>
      <c r="F357" s="1">
        <f>(SALES!$G:$G)</f>
        <v>2000</v>
      </c>
      <c r="P357" s="2"/>
      <c r="Q357" s="7"/>
      <c r="R357" s="17"/>
      <c r="U357" s="17"/>
    </row>
    <row r="358" spans="1:21" ht="18.75" customHeight="1" x14ac:dyDescent="0.3">
      <c r="A358" s="32" t="str">
        <f>(SALES!$A:$A)</f>
        <v>Thursday, 11 January 2024</v>
      </c>
      <c r="B358" s="1">
        <f>(SALES!$C:$C)</f>
        <v>43</v>
      </c>
      <c r="C358" s="1">
        <f>(SALES!$D:$D)</f>
        <v>1</v>
      </c>
      <c r="D358" s="1" t="str">
        <f>(SALES!$E:$E)</f>
        <v>MILK</v>
      </c>
      <c r="E358" s="1">
        <f>(SALES!$F:$F)</f>
        <v>2000</v>
      </c>
      <c r="F358" s="1">
        <f>(SALES!$G:$G)</f>
        <v>2000</v>
      </c>
      <c r="P358" s="2"/>
      <c r="Q358" s="7"/>
      <c r="R358" s="19"/>
      <c r="U358" s="17"/>
    </row>
    <row r="359" spans="1:21" ht="18.75" customHeight="1" x14ac:dyDescent="0.3">
      <c r="A359" s="32" t="str">
        <f>(SALES!$A:$A)</f>
        <v>Thursday, 11 January 2024</v>
      </c>
      <c r="B359" s="1">
        <f>(SALES!$C:$C)</f>
        <v>49</v>
      </c>
      <c r="C359" s="1">
        <f>(SALES!$D:$D)</f>
        <v>1.5</v>
      </c>
      <c r="D359" s="1" t="str">
        <f>(SALES!$E:$E)</f>
        <v>MILK</v>
      </c>
      <c r="E359" s="1">
        <f>(SALES!$F:$F)</f>
        <v>2000</v>
      </c>
      <c r="F359" s="1">
        <f>(SALES!$G:$G)</f>
        <v>3000</v>
      </c>
      <c r="P359" s="2"/>
      <c r="Q359" s="7"/>
      <c r="R359" s="19"/>
      <c r="U359" s="17"/>
    </row>
    <row r="360" spans="1:21" ht="18.75" customHeight="1" x14ac:dyDescent="0.3">
      <c r="A360" s="32" t="str">
        <f>(SALES!$A:$A)</f>
        <v>Thursday, 11 January 2024</v>
      </c>
      <c r="B360" s="1">
        <f>(SALES!$C:$C)</f>
        <v>31</v>
      </c>
      <c r="C360" s="1">
        <f>(SALES!$D:$D)</f>
        <v>3</v>
      </c>
      <c r="D360" s="1" t="str">
        <f>(SALES!$E:$E)</f>
        <v>MILK</v>
      </c>
      <c r="E360" s="1">
        <f>(SALES!$F:$F)</f>
        <v>2000</v>
      </c>
      <c r="F360" s="1">
        <f>(SALES!$G:$G)</f>
        <v>6000</v>
      </c>
      <c r="P360" s="2"/>
      <c r="Q360" s="7"/>
      <c r="R360" s="19"/>
      <c r="U360" s="17"/>
    </row>
    <row r="361" spans="1:21" ht="18.75" customHeight="1" x14ac:dyDescent="0.3">
      <c r="A361" s="32" t="str">
        <f>(SALES!$A:$A)</f>
        <v>Thursday, 11 January 2024</v>
      </c>
      <c r="B361" s="1">
        <f>(SALES!$C:$C)</f>
        <v>3</v>
      </c>
      <c r="C361" s="1">
        <f>(SALES!$D:$D)</f>
        <v>15</v>
      </c>
      <c r="D361" s="1" t="str">
        <f>(SALES!$E:$E)</f>
        <v>MILK</v>
      </c>
      <c r="E361" s="1">
        <f>(SALES!$F:$F)</f>
        <v>2000</v>
      </c>
      <c r="F361" s="1">
        <f>(SALES!$G:$G)</f>
        <v>30000</v>
      </c>
      <c r="P361" s="2"/>
      <c r="Q361" s="7"/>
      <c r="R361" s="19"/>
      <c r="U361" s="17"/>
    </row>
    <row r="362" spans="1:21" ht="18.75" customHeight="1" x14ac:dyDescent="0.3">
      <c r="A362" s="32" t="str">
        <f>(SALES!$A:$A)</f>
        <v>Thursday, 11 January 2024</v>
      </c>
      <c r="B362" s="1">
        <f>(SALES!$C:$C)</f>
        <v>14</v>
      </c>
      <c r="C362" s="1">
        <f>(SALES!$D:$D)</f>
        <v>1</v>
      </c>
      <c r="D362" s="1" t="str">
        <f>(SALES!$E:$E)</f>
        <v>ONIONS</v>
      </c>
      <c r="E362" s="1">
        <f>(SALES!$F:$F)</f>
        <v>6000</v>
      </c>
      <c r="F362" s="1">
        <f>(SALES!$G:$G)</f>
        <v>6000</v>
      </c>
      <c r="P362" s="2"/>
      <c r="Q362" s="7"/>
      <c r="R362" s="19"/>
      <c r="U362" s="17"/>
    </row>
    <row r="363" spans="1:21" ht="18.75" customHeight="1" x14ac:dyDescent="0.3">
      <c r="A363" s="32" t="str">
        <f>(SALES!$A:$A)</f>
        <v>Thursday, 11 January 2024</v>
      </c>
      <c r="B363" s="1">
        <f>(SALES!$C:$C)</f>
        <v>34</v>
      </c>
      <c r="C363" s="1">
        <f>(SALES!$D:$D)</f>
        <v>1</v>
      </c>
      <c r="D363" s="1" t="str">
        <f>(SALES!$E:$E)</f>
        <v>ONIONS</v>
      </c>
      <c r="E363" s="1">
        <f>(SALES!$F:$F)</f>
        <v>6000</v>
      </c>
      <c r="F363" s="1">
        <f>(SALES!$G:$G)</f>
        <v>6000</v>
      </c>
      <c r="P363" s="2"/>
      <c r="Q363" s="7"/>
      <c r="R363" s="19"/>
      <c r="U363" s="17"/>
    </row>
    <row r="364" spans="1:21" ht="18.75" customHeight="1" x14ac:dyDescent="0.3">
      <c r="A364" s="32" t="str">
        <f>(SALES!$A:$A)</f>
        <v>Thursday, 11 January 2024</v>
      </c>
      <c r="B364" s="1">
        <f>(SALES!$C:$C)</f>
        <v>9</v>
      </c>
      <c r="C364" s="1">
        <f>(SALES!$D:$D)</f>
        <v>1.5</v>
      </c>
      <c r="D364" s="1" t="str">
        <f>(SALES!$E:$E)</f>
        <v>ONIONS</v>
      </c>
      <c r="E364" s="1">
        <f>(SALES!$F:$F)</f>
        <v>6000</v>
      </c>
      <c r="F364" s="1">
        <f>(SALES!$G:$G)</f>
        <v>9000</v>
      </c>
      <c r="P364" s="2"/>
      <c r="Q364" s="7"/>
      <c r="R364" s="19"/>
      <c r="U364" s="17"/>
    </row>
    <row r="365" spans="1:21" ht="18.75" customHeight="1" x14ac:dyDescent="0.3">
      <c r="A365" s="32" t="str">
        <f>(SALES!$A:$A)</f>
        <v>Thursday, 11 January 2024</v>
      </c>
      <c r="B365" s="1">
        <f>(SALES!$C:$C)</f>
        <v>13</v>
      </c>
      <c r="C365" s="1">
        <f>(SALES!$D:$D)</f>
        <v>1</v>
      </c>
      <c r="D365" s="1" t="str">
        <f>(SALES!$E:$E)</f>
        <v>PLAIN YOGHURT</v>
      </c>
      <c r="E365" s="1">
        <f>(SALES!$F:$F)</f>
        <v>4000</v>
      </c>
      <c r="F365" s="1">
        <f>(SALES!$G:$G)</f>
        <v>4000</v>
      </c>
      <c r="P365" s="2"/>
      <c r="Q365" s="7"/>
      <c r="R365" s="19"/>
      <c r="U365" s="17"/>
    </row>
    <row r="366" spans="1:21" ht="18.75" customHeight="1" x14ac:dyDescent="0.3">
      <c r="A366" s="32" t="str">
        <f>(SALES!$A:$A)</f>
        <v>Thursday, 11 January 2024</v>
      </c>
      <c r="B366" s="1">
        <f>(SALES!$C:$C)</f>
        <v>5</v>
      </c>
      <c r="C366" s="1">
        <f>(SALES!$D:$D)</f>
        <v>1</v>
      </c>
      <c r="D366" s="1" t="str">
        <f>(SALES!$E:$E)</f>
        <v>TOMATOES</v>
      </c>
      <c r="E366" s="1">
        <f>(SALES!$F:$F)</f>
        <v>3000</v>
      </c>
      <c r="F366" s="1">
        <f>(SALES!$G:$G)</f>
        <v>3000</v>
      </c>
      <c r="P366" s="2"/>
      <c r="Q366" s="7"/>
      <c r="R366" s="19"/>
      <c r="U366" s="17"/>
    </row>
    <row r="367" spans="1:21" ht="18.75" customHeight="1" x14ac:dyDescent="0.3">
      <c r="A367" s="32" t="str">
        <f>(SALES!$A:$A)</f>
        <v>Thursday, 11 January 2024</v>
      </c>
      <c r="B367" s="1">
        <f>(SALES!$C:$C)</f>
        <v>37</v>
      </c>
      <c r="C367" s="1">
        <f>(SALES!$D:$D)</f>
        <v>0.5</v>
      </c>
      <c r="D367" s="1" t="str">
        <f>(SALES!$E:$E)</f>
        <v>YELLOW YOLK EGGS</v>
      </c>
      <c r="E367" s="1">
        <f>(SALES!$F:$F)</f>
        <v>20000</v>
      </c>
      <c r="F367" s="1">
        <f>(SALES!$G:$G)</f>
        <v>10000</v>
      </c>
      <c r="P367" s="2"/>
      <c r="Q367" s="7"/>
      <c r="R367" s="19"/>
      <c r="U367" s="17"/>
    </row>
    <row r="368" spans="1:21" ht="18.75" customHeight="1" x14ac:dyDescent="0.3">
      <c r="A368" s="32" t="str">
        <f>(SALES!$A:$A)</f>
        <v>Thursday, 11 January 2024</v>
      </c>
      <c r="B368" s="1">
        <f>(SALES!$C:$C)</f>
        <v>35</v>
      </c>
      <c r="C368" s="1">
        <f>(SALES!$D:$D)</f>
        <v>1</v>
      </c>
      <c r="D368" s="1" t="str">
        <f>(SALES!$E:$E)</f>
        <v>YELLOW YOLK EGGS</v>
      </c>
      <c r="E368" s="1">
        <f>(SALES!$F:$F)</f>
        <v>20000</v>
      </c>
      <c r="F368" s="1">
        <f>(SALES!$G:$G)</f>
        <v>20000</v>
      </c>
      <c r="P368" s="2"/>
      <c r="Q368" s="7"/>
      <c r="R368" s="19"/>
      <c r="U368" s="17"/>
    </row>
    <row r="369" spans="1:21" ht="18.75" customHeight="1" x14ac:dyDescent="0.3">
      <c r="A369" s="32" t="str">
        <f>(SALES!$A:$A)</f>
        <v>Friday, 12 January 2024</v>
      </c>
      <c r="B369" s="1">
        <f>(SALES!$C:$C)</f>
        <v>23</v>
      </c>
      <c r="C369" s="1">
        <f>(SALES!$D:$D)</f>
        <v>2</v>
      </c>
      <c r="D369" s="1" t="str">
        <f>(SALES!$E:$E)</f>
        <v>YELLOW YOLK EGGS</v>
      </c>
      <c r="E369" s="1">
        <f>(SALES!$F:$F)</f>
        <v>20000</v>
      </c>
      <c r="F369" s="1">
        <f>(SALES!$G:$G)</f>
        <v>40000</v>
      </c>
      <c r="P369" s="2"/>
      <c r="Q369" s="7"/>
      <c r="R369" s="19"/>
      <c r="U369" s="17"/>
    </row>
    <row r="370" spans="1:21" ht="18.75" customHeight="1" x14ac:dyDescent="0.3">
      <c r="A370" s="32" t="str">
        <f>(SALES!$A:$A)</f>
        <v>Friday, 12 January 2024</v>
      </c>
      <c r="B370" s="1">
        <f>(SALES!$C:$C)</f>
        <v>39</v>
      </c>
      <c r="C370" s="1">
        <f>(SALES!$D:$D)</f>
        <v>7</v>
      </c>
      <c r="D370" s="1" t="str">
        <f>(SALES!$E:$E)</f>
        <v>YELLOW YOLK EGGS</v>
      </c>
      <c r="E370" s="1">
        <f>(SALES!$F:$F)</f>
        <v>20000</v>
      </c>
      <c r="F370" s="1">
        <f>(SALES!$G:$G)</f>
        <v>140000</v>
      </c>
      <c r="P370" s="2"/>
      <c r="Q370" s="7"/>
      <c r="R370" s="19"/>
      <c r="U370" s="17"/>
    </row>
    <row r="371" spans="1:21" ht="18.75" customHeight="1" x14ac:dyDescent="0.3">
      <c r="A371" s="32" t="str">
        <f>(SALES!$A:$A)</f>
        <v>Friday, 12 January 2024</v>
      </c>
      <c r="B371" s="1">
        <f>(SALES!$C:$C)</f>
        <v>1</v>
      </c>
      <c r="C371" s="1">
        <f>(SALES!$D:$D)</f>
        <v>2</v>
      </c>
      <c r="D371" s="1" t="str">
        <f>(SALES!$E:$E)</f>
        <v>MILK</v>
      </c>
      <c r="E371" s="1">
        <f>(SALES!$F:$F)</f>
        <v>2000</v>
      </c>
      <c r="F371" s="1">
        <f>(SALES!$G:$G)</f>
        <v>4000</v>
      </c>
      <c r="P371" s="2"/>
      <c r="Q371" s="7"/>
      <c r="R371" s="19"/>
      <c r="U371" s="17"/>
    </row>
    <row r="372" spans="1:21" ht="18.75" customHeight="1" x14ac:dyDescent="0.3">
      <c r="A372" s="32" t="str">
        <f>(SALES!$A:$A)</f>
        <v>Friday, 12 January 2024</v>
      </c>
      <c r="B372" s="1">
        <f>(SALES!$C:$C)</f>
        <v>2</v>
      </c>
      <c r="C372" s="1">
        <f>(SALES!$D:$D)</f>
        <v>2</v>
      </c>
      <c r="D372" s="1" t="str">
        <f>(SALES!$E:$E)</f>
        <v>MATOOKE KGS</v>
      </c>
      <c r="E372" s="1">
        <f>(SALES!$F:$F)</f>
        <v>1500</v>
      </c>
      <c r="F372" s="1">
        <f>(SALES!$G:$G)</f>
        <v>3000</v>
      </c>
      <c r="P372" s="2"/>
      <c r="Q372" s="7"/>
      <c r="R372" s="19"/>
      <c r="U372" s="17"/>
    </row>
    <row r="373" spans="1:21" ht="18.75" customHeight="1" x14ac:dyDescent="0.3">
      <c r="A373" s="32" t="str">
        <f>(SALES!$A:$A)</f>
        <v>Friday, 12 January 2024</v>
      </c>
      <c r="B373" s="1">
        <f>(SALES!$C:$C)</f>
        <v>3</v>
      </c>
      <c r="C373" s="1">
        <f>(SALES!$D:$D)</f>
        <v>1</v>
      </c>
      <c r="D373" s="1" t="str">
        <f>(SALES!$E:$E)</f>
        <v>MILK</v>
      </c>
      <c r="E373" s="1">
        <f>(SALES!$F:$F)</f>
        <v>2000</v>
      </c>
      <c r="F373" s="1">
        <f>(SALES!$G:$G)</f>
        <v>2000</v>
      </c>
      <c r="P373" s="2"/>
      <c r="Q373" s="7"/>
      <c r="R373" s="19"/>
      <c r="U373" s="17"/>
    </row>
    <row r="374" spans="1:21" ht="18.75" customHeight="1" x14ac:dyDescent="0.3">
      <c r="A374" s="32" t="str">
        <f>(SALES!$A:$A)</f>
        <v>Friday, 12 January 2024</v>
      </c>
      <c r="B374" s="1">
        <f>(SALES!$C:$C)</f>
        <v>4</v>
      </c>
      <c r="C374" s="1">
        <f>(SALES!$D:$D)</f>
        <v>0.6</v>
      </c>
      <c r="D374" s="1" t="str">
        <f>(SALES!$E:$E)</f>
        <v>TOMATOES</v>
      </c>
      <c r="E374" s="1">
        <f>(SALES!$F:$F)</f>
        <v>3000</v>
      </c>
      <c r="F374" s="1">
        <f>(SALES!$G:$G)</f>
        <v>1800</v>
      </c>
      <c r="P374" s="2"/>
      <c r="Q374" s="7"/>
      <c r="R374" s="19"/>
      <c r="U374" s="17"/>
    </row>
    <row r="375" spans="1:21" ht="18.75" customHeight="1" x14ac:dyDescent="0.3">
      <c r="A375" s="32" t="str">
        <f>(SALES!$A:$A)</f>
        <v>Friday, 12 January 2024</v>
      </c>
      <c r="B375" s="1">
        <f>(SALES!$C:$C)</f>
        <v>5</v>
      </c>
      <c r="C375" s="1">
        <f>(SALES!$D:$D)</f>
        <v>2.2999999999999998</v>
      </c>
      <c r="D375" s="1" t="str">
        <f>(SALES!$E:$E)</f>
        <v>MATOOKE KGS</v>
      </c>
      <c r="E375" s="1">
        <f>(SALES!$F:$F)</f>
        <v>1500</v>
      </c>
      <c r="F375" s="1">
        <f>(SALES!$G:$G)</f>
        <v>3449.9999999999995</v>
      </c>
      <c r="P375" s="2"/>
      <c r="Q375" s="7"/>
      <c r="R375" s="19"/>
      <c r="U375" s="17"/>
    </row>
    <row r="376" spans="1:21" ht="18.75" customHeight="1" x14ac:dyDescent="0.3">
      <c r="A376" s="32" t="str">
        <f>(SALES!$A:$A)</f>
        <v>Friday, 12 January 2024</v>
      </c>
      <c r="B376" s="1">
        <f>(SALES!$C:$C)</f>
        <v>6</v>
      </c>
      <c r="C376" s="1">
        <f>(SALES!$D:$D)</f>
        <v>3.4</v>
      </c>
      <c r="D376" s="1" t="str">
        <f>(SALES!$E:$E)</f>
        <v>MATOOKE KGS</v>
      </c>
      <c r="E376" s="1">
        <f>(SALES!$F:$F)</f>
        <v>1500</v>
      </c>
      <c r="F376" s="1">
        <f>(SALES!$G:$G)</f>
        <v>5100</v>
      </c>
      <c r="P376" s="2"/>
      <c r="Q376" s="7"/>
      <c r="R376" s="19"/>
      <c r="U376" s="17"/>
    </row>
    <row r="377" spans="1:21" ht="18.75" customHeight="1" x14ac:dyDescent="0.3">
      <c r="A377" s="32" t="str">
        <f>(SALES!$A:$A)</f>
        <v>Friday, 12 January 2024</v>
      </c>
      <c r="B377" s="1">
        <f>(SALES!$C:$C)</f>
        <v>7</v>
      </c>
      <c r="C377" s="1">
        <f>(SALES!$D:$D)</f>
        <v>2</v>
      </c>
      <c r="D377" s="1" t="str">
        <f>(SALES!$E:$E)</f>
        <v>YELLOW YOLK EGGS</v>
      </c>
      <c r="E377" s="1">
        <f>(SALES!$F:$F)</f>
        <v>20000</v>
      </c>
      <c r="F377" s="1">
        <f>(SALES!$G:$G)</f>
        <v>40000</v>
      </c>
      <c r="P377" s="2"/>
      <c r="Q377" s="7"/>
      <c r="R377" s="19"/>
      <c r="U377" s="17"/>
    </row>
    <row r="378" spans="1:21" ht="18.75" customHeight="1" x14ac:dyDescent="0.3">
      <c r="A378" s="32" t="str">
        <f>(SALES!$A:$A)</f>
        <v>Friday, 12 January 2024</v>
      </c>
      <c r="B378" s="1">
        <f>(SALES!$C:$C)</f>
        <v>8</v>
      </c>
      <c r="C378" s="1">
        <f>(SALES!$D:$D)</f>
        <v>4</v>
      </c>
      <c r="D378" s="1" t="str">
        <f>(SALES!$E:$E)</f>
        <v>MATOOKE KGS</v>
      </c>
      <c r="E378" s="1">
        <f>(SALES!$F:$F)</f>
        <v>1500</v>
      </c>
      <c r="F378" s="1">
        <f>(SALES!$G:$G)</f>
        <v>6000</v>
      </c>
      <c r="P378" s="2"/>
      <c r="Q378" s="7"/>
      <c r="R378" s="19"/>
      <c r="U378" s="17"/>
    </row>
    <row r="379" spans="1:21" ht="18.75" customHeight="1" x14ac:dyDescent="0.3">
      <c r="A379" s="32" t="str">
        <f>(SALES!$A:$A)</f>
        <v>Friday, 12 January 2024</v>
      </c>
      <c r="B379" s="1">
        <f>(SALES!$C:$C)</f>
        <v>9</v>
      </c>
      <c r="C379" s="1">
        <f>(SALES!$D:$D)</f>
        <v>1.4</v>
      </c>
      <c r="D379" s="1" t="str">
        <f>(SALES!$E:$E)</f>
        <v>MATOOKE KGS</v>
      </c>
      <c r="E379" s="1">
        <f>(SALES!$F:$F)</f>
        <v>1500</v>
      </c>
      <c r="F379" s="1">
        <f>(SALES!$G:$G)</f>
        <v>2100</v>
      </c>
      <c r="P379" s="2"/>
      <c r="Q379" s="7"/>
      <c r="R379" s="19"/>
      <c r="U379" s="17"/>
    </row>
    <row r="380" spans="1:21" ht="18.75" customHeight="1" x14ac:dyDescent="0.3">
      <c r="A380" s="32" t="str">
        <f>(SALES!$A:$A)</f>
        <v>Friday, 12 January 2024</v>
      </c>
      <c r="B380" s="1">
        <f>(SALES!$C:$C)</f>
        <v>10</v>
      </c>
      <c r="C380" s="1">
        <f>(SALES!$D:$D)</f>
        <v>3</v>
      </c>
      <c r="D380" s="1" t="str">
        <f>(SALES!$E:$E)</f>
        <v>MATOOKE KGS</v>
      </c>
      <c r="E380" s="1">
        <f>(SALES!$F:$F)</f>
        <v>1500</v>
      </c>
      <c r="F380" s="1">
        <f>(SALES!$G:$G)</f>
        <v>4500</v>
      </c>
      <c r="P380" s="2"/>
      <c r="Q380" s="7"/>
      <c r="R380" s="19"/>
      <c r="U380" s="17"/>
    </row>
    <row r="381" spans="1:21" ht="18.75" customHeight="1" x14ac:dyDescent="0.3">
      <c r="A381" s="32" t="str">
        <f>(SALES!$A:$A)</f>
        <v>Friday, 12 January 2024</v>
      </c>
      <c r="B381" s="1">
        <f>(SALES!$C:$C)</f>
        <v>11</v>
      </c>
      <c r="C381" s="1">
        <f>(SALES!$D:$D)</f>
        <v>0.5</v>
      </c>
      <c r="D381" s="1" t="str">
        <f>(SALES!$E:$E)</f>
        <v>PLAIN YOGHURT</v>
      </c>
      <c r="E381" s="1">
        <f>(SALES!$F:$F)</f>
        <v>4000</v>
      </c>
      <c r="F381" s="1">
        <f>(SALES!$G:$G)</f>
        <v>2000</v>
      </c>
      <c r="P381" s="2"/>
      <c r="Q381" s="7"/>
      <c r="R381" s="19"/>
      <c r="U381" s="17"/>
    </row>
    <row r="382" spans="1:21" ht="18.75" customHeight="1" x14ac:dyDescent="0.3">
      <c r="A382" s="32" t="str">
        <f>(SALES!$A:$A)</f>
        <v>Friday, 12 January 2024</v>
      </c>
      <c r="B382" s="1">
        <f>(SALES!$C:$C)</f>
        <v>12</v>
      </c>
      <c r="C382" s="1">
        <f>(SALES!$D:$D)</f>
        <v>1</v>
      </c>
      <c r="D382" s="1" t="str">
        <f>(SALES!$E:$E)</f>
        <v>MILK</v>
      </c>
      <c r="E382" s="1">
        <f>(SALES!$F:$F)</f>
        <v>2000</v>
      </c>
      <c r="F382" s="1">
        <f>(SALES!$G:$G)</f>
        <v>2000</v>
      </c>
      <c r="P382" s="2"/>
      <c r="Q382" s="7"/>
      <c r="R382" s="19"/>
      <c r="U382" s="17"/>
    </row>
    <row r="383" spans="1:21" ht="18.75" customHeight="1" x14ac:dyDescent="0.3">
      <c r="A383" s="32" t="str">
        <f>(SALES!$A:$A)</f>
        <v>Friday, 12 January 2024</v>
      </c>
      <c r="B383" s="1">
        <f>(SALES!$C:$C)</f>
        <v>13</v>
      </c>
      <c r="C383" s="1">
        <f>(SALES!$D:$D)</f>
        <v>2</v>
      </c>
      <c r="D383" s="1" t="str">
        <f>(SALES!$E:$E)</f>
        <v>MILK</v>
      </c>
      <c r="E383" s="1">
        <f>(SALES!$F:$F)</f>
        <v>2000</v>
      </c>
      <c r="F383" s="1">
        <f>(SALES!$G:$G)</f>
        <v>4000</v>
      </c>
      <c r="P383" s="2"/>
      <c r="Q383" s="7"/>
      <c r="R383" s="19"/>
      <c r="U383" s="17"/>
    </row>
    <row r="384" spans="1:21" ht="18.75" customHeight="1" x14ac:dyDescent="0.3">
      <c r="A384" s="32" t="str">
        <f>(SALES!$A:$A)</f>
        <v>Friday, 12 January 2024</v>
      </c>
      <c r="B384" s="1">
        <f>(SALES!$C:$C)</f>
        <v>14</v>
      </c>
      <c r="C384" s="1">
        <f>(SALES!$D:$D)</f>
        <v>2</v>
      </c>
      <c r="D384" s="1" t="str">
        <f>(SALES!$E:$E)</f>
        <v>GONJA</v>
      </c>
      <c r="E384" s="1">
        <f>(SALES!$F:$F)</f>
        <v>5000</v>
      </c>
      <c r="F384" s="1">
        <f>(SALES!$G:$G)</f>
        <v>10000</v>
      </c>
      <c r="P384" s="2"/>
      <c r="Q384" s="7"/>
      <c r="R384" s="19"/>
      <c r="U384" s="17"/>
    </row>
    <row r="385" spans="1:21" ht="18.75" customHeight="1" x14ac:dyDescent="0.3">
      <c r="A385" s="32" t="str">
        <f>(SALES!$A:$A)</f>
        <v>Friday, 12 January 2024</v>
      </c>
      <c r="B385" s="1">
        <f>(SALES!$C:$C)</f>
        <v>15</v>
      </c>
      <c r="C385" s="1">
        <f>(SALES!$D:$D)</f>
        <v>3</v>
      </c>
      <c r="D385" s="1" t="str">
        <f>(SALES!$E:$E)</f>
        <v>BEEF</v>
      </c>
      <c r="E385" s="1">
        <f>(SALES!$F:$F)</f>
        <v>16000</v>
      </c>
      <c r="F385" s="1">
        <f>(SALES!$G:$G)</f>
        <v>48000</v>
      </c>
      <c r="P385" s="2"/>
      <c r="Q385" s="7"/>
      <c r="R385" s="19"/>
      <c r="U385" s="17"/>
    </row>
    <row r="386" spans="1:21" ht="18.75" customHeight="1" x14ac:dyDescent="0.3">
      <c r="A386" s="32" t="str">
        <f>(SALES!$A:$A)</f>
        <v>Friday, 12 January 2024</v>
      </c>
      <c r="B386" s="1">
        <f>(SALES!$C:$C)</f>
        <v>16</v>
      </c>
      <c r="C386" s="1">
        <f>(SALES!$D:$D)</f>
        <v>1</v>
      </c>
      <c r="D386" s="1" t="str">
        <f>(SALES!$E:$E)</f>
        <v>YELLOW YOLK EGGS</v>
      </c>
      <c r="E386" s="1">
        <f>(SALES!$F:$F)</f>
        <v>20000</v>
      </c>
      <c r="F386" s="1">
        <f>(SALES!$G:$G)</f>
        <v>20000</v>
      </c>
      <c r="P386" s="2"/>
      <c r="Q386" s="7"/>
      <c r="R386" s="19"/>
      <c r="U386" s="17"/>
    </row>
    <row r="387" spans="1:21" ht="18.75" customHeight="1" x14ac:dyDescent="0.3">
      <c r="A387" s="32" t="str">
        <f>(SALES!$A:$A)</f>
        <v>Friday, 12 January 2024</v>
      </c>
      <c r="B387" s="1">
        <f>(SALES!$C:$C)</f>
        <v>17</v>
      </c>
      <c r="C387" s="1">
        <f>(SALES!$D:$D)</f>
        <v>1.4</v>
      </c>
      <c r="D387" s="1" t="str">
        <f>(SALES!$E:$E)</f>
        <v>MATOOKE KGS</v>
      </c>
      <c r="E387" s="1">
        <f>(SALES!$F:$F)</f>
        <v>1500</v>
      </c>
      <c r="F387" s="1">
        <f>(SALES!$G:$G)</f>
        <v>2100</v>
      </c>
      <c r="P387" s="2"/>
      <c r="Q387" s="7"/>
      <c r="R387" s="19"/>
      <c r="U387" s="17"/>
    </row>
    <row r="388" spans="1:21" ht="18.75" customHeight="1" x14ac:dyDescent="0.3">
      <c r="A388" s="32" t="str">
        <f>(SALES!$A:$A)</f>
        <v>Friday, 12 January 2024</v>
      </c>
      <c r="B388" s="1">
        <f>(SALES!$C:$C)</f>
        <v>18</v>
      </c>
      <c r="C388" s="1">
        <f>(SALES!$D:$D)</f>
        <v>2</v>
      </c>
      <c r="D388" s="1" t="str">
        <f>(SALES!$E:$E)</f>
        <v>MATOOKE KGS</v>
      </c>
      <c r="E388" s="1">
        <f>(SALES!$F:$F)</f>
        <v>1500</v>
      </c>
      <c r="F388" s="1">
        <f>(SALES!$G:$G)</f>
        <v>3000</v>
      </c>
      <c r="P388" s="2"/>
      <c r="Q388" s="7"/>
      <c r="R388" s="19"/>
      <c r="U388" s="17"/>
    </row>
    <row r="389" spans="1:21" ht="18.75" customHeight="1" x14ac:dyDescent="0.3">
      <c r="A389" s="32" t="str">
        <f>(SALES!$A:$A)</f>
        <v>Friday, 12 January 2024</v>
      </c>
      <c r="B389" s="1">
        <f>(SALES!$C:$C)</f>
        <v>19</v>
      </c>
      <c r="C389" s="1">
        <f>(SALES!$D:$D)</f>
        <v>1</v>
      </c>
      <c r="D389" s="1" t="str">
        <f>(SALES!$E:$E)</f>
        <v>MATOOKE</v>
      </c>
      <c r="E389" s="1">
        <f>(SALES!$F:$F)</f>
        <v>29000</v>
      </c>
      <c r="F389" s="1">
        <f>(SALES!$G:$G)</f>
        <v>29000</v>
      </c>
      <c r="P389" s="2"/>
      <c r="Q389" s="7"/>
      <c r="R389" s="19"/>
      <c r="U389" s="17"/>
    </row>
    <row r="390" spans="1:21" ht="18.75" customHeight="1" x14ac:dyDescent="0.3">
      <c r="A390" s="32" t="str">
        <f>(SALES!$A:$A)</f>
        <v>Friday, 12 January 2024</v>
      </c>
      <c r="B390" s="1">
        <f>(SALES!$C:$C)</f>
        <v>20</v>
      </c>
      <c r="C390" s="1">
        <f>(SALES!$D:$D)</f>
        <v>1</v>
      </c>
      <c r="D390" s="1" t="str">
        <f>(SALES!$E:$E)</f>
        <v>TOMATOES</v>
      </c>
      <c r="E390" s="1">
        <f>(SALES!$F:$F)</f>
        <v>3000</v>
      </c>
      <c r="F390" s="1">
        <f>(SALES!$G:$G)</f>
        <v>3000</v>
      </c>
      <c r="P390" s="2"/>
      <c r="Q390" s="7"/>
      <c r="R390" s="19"/>
      <c r="U390" s="17"/>
    </row>
    <row r="391" spans="1:21" ht="18.75" customHeight="1" x14ac:dyDescent="0.3">
      <c r="A391" s="32" t="str">
        <f>(SALES!$A:$A)</f>
        <v>Friday, 12 January 2024</v>
      </c>
      <c r="B391" s="1">
        <f>(SALES!$C:$C)</f>
        <v>21</v>
      </c>
      <c r="C391" s="1">
        <f>(SALES!$D:$D)</f>
        <v>2</v>
      </c>
      <c r="D391" s="1" t="str">
        <f>(SALES!$E:$E)</f>
        <v>MATOOKE KGS</v>
      </c>
      <c r="E391" s="1">
        <f>(SALES!$F:$F)</f>
        <v>1500</v>
      </c>
      <c r="F391" s="1">
        <f>(SALES!$G:$G)</f>
        <v>3000</v>
      </c>
      <c r="P391" s="2"/>
      <c r="Q391" s="7"/>
      <c r="R391" s="19"/>
      <c r="U391" s="17"/>
    </row>
    <row r="392" spans="1:21" ht="18.75" customHeight="1" x14ac:dyDescent="0.3">
      <c r="A392" s="32" t="str">
        <f>(SALES!$A:$A)</f>
        <v>Friday, 12 January 2024</v>
      </c>
      <c r="B392" s="1">
        <f>(SALES!$C:$C)</f>
        <v>22</v>
      </c>
      <c r="C392" s="1">
        <f>(SALES!$D:$D)</f>
        <v>0.5</v>
      </c>
      <c r="D392" s="1" t="str">
        <f>(SALES!$E:$E)</f>
        <v>BEEF</v>
      </c>
      <c r="E392" s="1">
        <f>(SALES!$F:$F)</f>
        <v>16000</v>
      </c>
      <c r="F392" s="1">
        <f>(SALES!$G:$G)</f>
        <v>8000</v>
      </c>
      <c r="P392" s="2"/>
      <c r="Q392" s="7"/>
      <c r="R392" s="19"/>
      <c r="U392" s="17"/>
    </row>
    <row r="393" spans="1:21" ht="18.75" customHeight="1" x14ac:dyDescent="0.3">
      <c r="A393" s="32" t="str">
        <f>(SALES!$A:$A)</f>
        <v>Friday, 12 January 2024</v>
      </c>
      <c r="B393" s="1">
        <f>(SALES!$C:$C)</f>
        <v>23</v>
      </c>
      <c r="C393" s="1">
        <f>(SALES!$D:$D)</f>
        <v>1</v>
      </c>
      <c r="D393" s="1" t="str">
        <f>(SALES!$E:$E)</f>
        <v>MATOOKE</v>
      </c>
      <c r="E393" s="1">
        <f>(SALES!$F:$F)</f>
        <v>20500</v>
      </c>
      <c r="F393" s="1">
        <f>(SALES!$G:$G)</f>
        <v>20500</v>
      </c>
      <c r="P393" s="2"/>
      <c r="Q393" s="7"/>
      <c r="R393" s="19"/>
      <c r="U393" s="17"/>
    </row>
    <row r="394" spans="1:21" ht="18.75" customHeight="1" x14ac:dyDescent="0.3">
      <c r="A394" s="32" t="str">
        <f>(SALES!$A:$A)</f>
        <v>Friday, 12 January 2024</v>
      </c>
      <c r="B394" s="1">
        <f>(SALES!$C:$C)</f>
        <v>24</v>
      </c>
      <c r="C394" s="1">
        <f>(SALES!$D:$D)</f>
        <v>4</v>
      </c>
      <c r="D394" s="1" t="str">
        <f>(SALES!$E:$E)</f>
        <v>MATOOKE KGS</v>
      </c>
      <c r="E394" s="1">
        <f>(SALES!$F:$F)</f>
        <v>1500</v>
      </c>
      <c r="F394" s="1">
        <f>(SALES!$G:$G)</f>
        <v>6000</v>
      </c>
      <c r="P394" s="2"/>
      <c r="Q394" s="7"/>
      <c r="R394" s="19"/>
      <c r="U394" s="17"/>
    </row>
    <row r="395" spans="1:21" ht="18.75" customHeight="1" x14ac:dyDescent="0.3">
      <c r="A395" s="32" t="str">
        <f>(SALES!$A:$A)</f>
        <v>Friday, 12 January 2024</v>
      </c>
      <c r="B395" s="1">
        <f>(SALES!$C:$C)</f>
        <v>25</v>
      </c>
      <c r="C395" s="1">
        <f>(SALES!$D:$D)</f>
        <v>1</v>
      </c>
      <c r="D395" s="1" t="str">
        <f>(SALES!$E:$E)</f>
        <v>MATOOKE</v>
      </c>
      <c r="E395" s="1">
        <f>(SALES!$F:$F)</f>
        <v>10000</v>
      </c>
      <c r="F395" s="1">
        <f>(SALES!$G:$G)</f>
        <v>10000</v>
      </c>
      <c r="P395" s="2"/>
      <c r="Q395" s="7"/>
      <c r="R395" s="19"/>
      <c r="U395" s="17"/>
    </row>
    <row r="396" spans="1:21" ht="18.75" customHeight="1" x14ac:dyDescent="0.3">
      <c r="A396" s="32" t="str">
        <f>(SALES!$A:$A)</f>
        <v>Friday, 12 January 2024</v>
      </c>
      <c r="B396" s="1">
        <f>(SALES!$C:$C)</f>
        <v>26</v>
      </c>
      <c r="C396" s="1">
        <f>(SALES!$D:$D)</f>
        <v>2</v>
      </c>
      <c r="D396" s="1" t="str">
        <f>(SALES!$E:$E)</f>
        <v>MATOOKE KGS</v>
      </c>
      <c r="E396" s="1">
        <f>(SALES!$F:$F)</f>
        <v>1500</v>
      </c>
      <c r="F396" s="1">
        <f>(SALES!$G:$G)</f>
        <v>3000</v>
      </c>
      <c r="P396" s="2"/>
      <c r="Q396" s="7"/>
      <c r="R396" s="19"/>
      <c r="U396" s="17"/>
    </row>
    <row r="397" spans="1:21" ht="18.75" customHeight="1" x14ac:dyDescent="0.3">
      <c r="A397" s="32" t="str">
        <f>(SALES!$A:$A)</f>
        <v>Friday, 12 January 2024</v>
      </c>
      <c r="B397" s="1">
        <f>(SALES!$C:$C)</f>
        <v>27</v>
      </c>
      <c r="C397" s="1">
        <f>(SALES!$D:$D)</f>
        <v>1</v>
      </c>
      <c r="D397" s="1" t="str">
        <f>(SALES!$E:$E)</f>
        <v>MATOOKE</v>
      </c>
      <c r="E397" s="1">
        <f>(SALES!$F:$F)</f>
        <v>17000</v>
      </c>
      <c r="F397" s="1">
        <f>(SALES!$G:$G)</f>
        <v>17000</v>
      </c>
      <c r="P397" s="2"/>
      <c r="Q397" s="7"/>
      <c r="R397" s="19"/>
      <c r="U397" s="17"/>
    </row>
    <row r="398" spans="1:21" ht="18.75" customHeight="1" x14ac:dyDescent="0.3">
      <c r="A398" s="32" t="str">
        <f>(SALES!$A:$A)</f>
        <v>Friday, 12 January 2024</v>
      </c>
      <c r="B398" s="1">
        <f>(SALES!$C:$C)</f>
        <v>28</v>
      </c>
      <c r="C398" s="1">
        <f>(SALES!$D:$D)</f>
        <v>1</v>
      </c>
      <c r="D398" s="1" t="str">
        <f>(SALES!$E:$E)</f>
        <v>MATOOKE</v>
      </c>
      <c r="E398" s="1">
        <f>(SALES!$F:$F)</f>
        <v>23500</v>
      </c>
      <c r="F398" s="1">
        <f>(SALES!$G:$G)</f>
        <v>23500</v>
      </c>
      <c r="P398" s="2"/>
      <c r="Q398" s="7"/>
      <c r="R398" s="19"/>
      <c r="U398" s="17"/>
    </row>
    <row r="399" spans="1:21" ht="18.75" customHeight="1" x14ac:dyDescent="0.3">
      <c r="A399" s="32" t="str">
        <f>(SALES!$A:$A)</f>
        <v>Friday, 12 January 2024</v>
      </c>
      <c r="B399" s="1">
        <f>(SALES!$C:$C)</f>
        <v>29</v>
      </c>
      <c r="C399" s="1">
        <f>(SALES!$D:$D)</f>
        <v>1</v>
      </c>
      <c r="D399" s="1" t="str">
        <f>(SALES!$E:$E)</f>
        <v>CHICKEN</v>
      </c>
      <c r="E399" s="1">
        <f>(SALES!$F:$F)</f>
        <v>30000</v>
      </c>
      <c r="F399" s="1">
        <f>(SALES!$G:$G)</f>
        <v>30000</v>
      </c>
      <c r="P399" s="2"/>
      <c r="Q399" s="7"/>
      <c r="R399" s="17"/>
      <c r="U399" s="17"/>
    </row>
    <row r="400" spans="1:21" ht="18.75" customHeight="1" x14ac:dyDescent="0.3">
      <c r="A400" s="32" t="str">
        <f>(SALES!$A:$A)</f>
        <v>Friday, 12 January 2024</v>
      </c>
      <c r="B400" s="1">
        <f>(SALES!$C:$C)</f>
        <v>30</v>
      </c>
      <c r="C400" s="1">
        <f>(SALES!$D:$D)</f>
        <v>3</v>
      </c>
      <c r="D400" s="1" t="str">
        <f>(SALES!$E:$E)</f>
        <v>TOMATOES</v>
      </c>
      <c r="E400" s="1">
        <f>(SALES!$F:$F)</f>
        <v>3000</v>
      </c>
      <c r="F400" s="1">
        <f>(SALES!$G:$G)</f>
        <v>9000</v>
      </c>
      <c r="P400" s="2"/>
      <c r="Q400" s="7"/>
      <c r="R400" s="17"/>
      <c r="U400" s="17"/>
    </row>
    <row r="401" spans="1:21" ht="18.75" customHeight="1" x14ac:dyDescent="0.3">
      <c r="A401" s="32" t="str">
        <f>(SALES!$A:$A)</f>
        <v>Friday, 12 January 2024</v>
      </c>
      <c r="B401" s="1">
        <f>(SALES!$C:$C)</f>
        <v>31</v>
      </c>
      <c r="C401" s="1">
        <f>(SALES!$D:$D)</f>
        <v>3</v>
      </c>
      <c r="D401" s="1" t="str">
        <f>(SALES!$E:$E)</f>
        <v>IRISH POTATOES</v>
      </c>
      <c r="E401" s="1">
        <f>(SALES!$F:$F)</f>
        <v>3000</v>
      </c>
      <c r="F401" s="1">
        <f>(SALES!$G:$G)</f>
        <v>9000</v>
      </c>
      <c r="P401" s="2"/>
      <c r="Q401" s="7"/>
      <c r="R401" s="17"/>
      <c r="U401" s="17"/>
    </row>
    <row r="402" spans="1:21" ht="18.75" customHeight="1" x14ac:dyDescent="0.3">
      <c r="A402" s="32" t="str">
        <f>(SALES!$A:$A)</f>
        <v>Friday, 12 January 2024</v>
      </c>
      <c r="B402" s="1">
        <f>(SALES!$C:$C)</f>
        <v>32</v>
      </c>
      <c r="C402" s="1">
        <f>(SALES!$D:$D)</f>
        <v>1</v>
      </c>
      <c r="D402" s="1" t="str">
        <f>(SALES!$E:$E)</f>
        <v>BEEF</v>
      </c>
      <c r="E402" s="1">
        <f>(SALES!$F:$F)</f>
        <v>16000</v>
      </c>
      <c r="F402" s="1">
        <f>(SALES!$G:$G)</f>
        <v>16000</v>
      </c>
      <c r="P402" s="2"/>
      <c r="Q402" s="7"/>
      <c r="R402" s="17"/>
      <c r="U402" s="17"/>
    </row>
    <row r="403" spans="1:21" ht="18.75" customHeight="1" x14ac:dyDescent="0.3">
      <c r="A403" s="32" t="str">
        <f>(SALES!$A:$A)</f>
        <v>Friday, 12 January 2024</v>
      </c>
      <c r="B403" s="1">
        <f>(SALES!$C:$C)</f>
        <v>33</v>
      </c>
      <c r="C403" s="1">
        <f>(SALES!$D:$D)</f>
        <v>4.5</v>
      </c>
      <c r="D403" s="1" t="str">
        <f>(SALES!$E:$E)</f>
        <v>MILK</v>
      </c>
      <c r="E403" s="1">
        <f>(SALES!$F:$F)</f>
        <v>2000</v>
      </c>
      <c r="F403" s="1">
        <f>(SALES!$G:$G)</f>
        <v>9000</v>
      </c>
      <c r="P403" s="2"/>
      <c r="Q403" s="7"/>
      <c r="R403" s="17"/>
      <c r="U403" s="17"/>
    </row>
    <row r="404" spans="1:21" ht="18.75" customHeight="1" x14ac:dyDescent="0.3">
      <c r="A404" s="32" t="str">
        <f>(SALES!$A:$A)</f>
        <v>Friday, 12 January 2024</v>
      </c>
      <c r="B404" s="1">
        <f>(SALES!$C:$C)</f>
        <v>34</v>
      </c>
      <c r="C404" s="1">
        <f>(SALES!$D:$D)</f>
        <v>0.3</v>
      </c>
      <c r="D404" s="1" t="str">
        <f>(SALES!$E:$E)</f>
        <v>TOMATOES</v>
      </c>
      <c r="E404" s="1">
        <f>(SALES!$F:$F)</f>
        <v>3000</v>
      </c>
      <c r="F404" s="1">
        <f>(SALES!$G:$G)</f>
        <v>900</v>
      </c>
      <c r="P404" s="2"/>
      <c r="Q404" s="7"/>
      <c r="R404" s="17"/>
      <c r="U404" s="17"/>
    </row>
    <row r="405" spans="1:21" ht="18.75" customHeight="1" x14ac:dyDescent="0.3">
      <c r="A405" s="32" t="str">
        <f>(SALES!$A:$A)</f>
        <v>Friday, 12 January 2024</v>
      </c>
      <c r="B405" s="1">
        <f>(SALES!$C:$C)</f>
        <v>35</v>
      </c>
      <c r="C405" s="1">
        <f>(SALES!$D:$D)</f>
        <v>0.5</v>
      </c>
      <c r="D405" s="1" t="str">
        <f>(SALES!$E:$E)</f>
        <v>LOCAL EGGS</v>
      </c>
      <c r="E405" s="1">
        <f>(SALES!$F:$F)</f>
        <v>25000</v>
      </c>
      <c r="F405" s="1">
        <f>(SALES!$G:$G)</f>
        <v>12500</v>
      </c>
      <c r="P405" s="2"/>
      <c r="Q405" s="7"/>
      <c r="R405" s="17"/>
      <c r="U405" s="17"/>
    </row>
    <row r="406" spans="1:21" ht="18.75" customHeight="1" x14ac:dyDescent="0.3">
      <c r="A406" s="32" t="str">
        <f>(SALES!$A:$A)</f>
        <v>Friday, 12 January 2024</v>
      </c>
      <c r="B406" s="1">
        <f>(SALES!$C:$C)</f>
        <v>36</v>
      </c>
      <c r="C406" s="1">
        <f>(SALES!$D:$D)</f>
        <v>6.7</v>
      </c>
      <c r="D406" s="1" t="str">
        <f>(SALES!$E:$E)</f>
        <v>MATOOKE KGS</v>
      </c>
      <c r="E406" s="1">
        <f>(SALES!$F:$F)</f>
        <v>1500</v>
      </c>
      <c r="F406" s="1">
        <f>(SALES!$G:$G)</f>
        <v>10050</v>
      </c>
      <c r="P406" s="2"/>
      <c r="Q406" s="7"/>
      <c r="R406" s="17"/>
      <c r="U406" s="17"/>
    </row>
    <row r="407" spans="1:21" ht="18.75" customHeight="1" x14ac:dyDescent="0.3">
      <c r="A407" s="32" t="str">
        <f>(SALES!$A:$A)</f>
        <v>Friday, 12 January 2024</v>
      </c>
      <c r="B407" s="1">
        <f>(SALES!$C:$C)</f>
        <v>37</v>
      </c>
      <c r="C407" s="1">
        <f>(SALES!$D:$D)</f>
        <v>0.5</v>
      </c>
      <c r="D407" s="1" t="str">
        <f>(SALES!$E:$E)</f>
        <v>GOAT</v>
      </c>
      <c r="E407" s="1">
        <f>(SALES!$F:$F)</f>
        <v>19000</v>
      </c>
      <c r="F407" s="1">
        <f>(SALES!$G:$G)</f>
        <v>9500</v>
      </c>
      <c r="P407" s="2"/>
      <c r="Q407" s="7"/>
      <c r="R407" s="17"/>
      <c r="U407" s="17"/>
    </row>
    <row r="408" spans="1:21" ht="18.75" customHeight="1" x14ac:dyDescent="0.3">
      <c r="A408" s="32" t="str">
        <f>(SALES!$A:$A)</f>
        <v>Friday, 12 January 2024</v>
      </c>
      <c r="B408" s="1">
        <f>(SALES!$C:$C)</f>
        <v>38</v>
      </c>
      <c r="C408" s="1">
        <f>(SALES!$D:$D)</f>
        <v>1</v>
      </c>
      <c r="D408" s="1" t="str">
        <f>(SALES!$E:$E)</f>
        <v>IRISH POTATOES</v>
      </c>
      <c r="E408" s="1">
        <f>(SALES!$F:$F)</f>
        <v>3000</v>
      </c>
      <c r="F408" s="1">
        <f>(SALES!$G:$G)</f>
        <v>3000</v>
      </c>
      <c r="P408" s="2"/>
      <c r="Q408" s="7"/>
      <c r="R408" s="16"/>
      <c r="S408" s="12"/>
      <c r="T408" s="12"/>
      <c r="U408" s="16"/>
    </row>
    <row r="409" spans="1:21" ht="18.75" customHeight="1" x14ac:dyDescent="0.3">
      <c r="A409" s="32" t="str">
        <f>(SALES!$A:$A)</f>
        <v>Friday, 12 January 2024</v>
      </c>
      <c r="B409" s="1">
        <f>(SALES!$C:$C)</f>
        <v>39</v>
      </c>
      <c r="C409" s="1">
        <f>(SALES!$D:$D)</f>
        <v>1</v>
      </c>
      <c r="D409" s="1" t="str">
        <f>(SALES!$E:$E)</f>
        <v>GONJA</v>
      </c>
      <c r="E409" s="1">
        <f>(SALES!$F:$F)</f>
        <v>5000</v>
      </c>
      <c r="F409" s="1">
        <f>(SALES!$G:$G)</f>
        <v>5000</v>
      </c>
      <c r="P409" s="2"/>
      <c r="Q409" s="7"/>
      <c r="R409" s="16"/>
      <c r="S409" s="12"/>
      <c r="T409" s="12"/>
      <c r="U409" s="16"/>
    </row>
    <row r="410" spans="1:21" ht="18.75" customHeight="1" x14ac:dyDescent="0.3">
      <c r="A410" s="32" t="str">
        <f>(SALES!$A:$A)</f>
        <v>Friday, 12 January 2024</v>
      </c>
      <c r="B410" s="1">
        <f>(SALES!$C:$C)</f>
        <v>40</v>
      </c>
      <c r="C410" s="1">
        <f>(SALES!$D:$D)</f>
        <v>1</v>
      </c>
      <c r="D410" s="1" t="str">
        <f>(SALES!$E:$E)</f>
        <v>PLAIN YOGHURT</v>
      </c>
      <c r="E410" s="1">
        <f>(SALES!$F:$F)</f>
        <v>4000</v>
      </c>
      <c r="F410" s="1">
        <f>(SALES!$G:$G)</f>
        <v>4000</v>
      </c>
      <c r="P410" s="2"/>
      <c r="Q410" s="7"/>
      <c r="R410" s="17"/>
      <c r="U410" s="16"/>
    </row>
    <row r="411" spans="1:21" ht="18.75" customHeight="1" x14ac:dyDescent="0.3">
      <c r="A411" s="32" t="str">
        <f>(SALES!$A:$A)</f>
        <v>Friday, 12 January 2024</v>
      </c>
      <c r="B411" s="1">
        <f>(SALES!$C:$C)</f>
        <v>41</v>
      </c>
      <c r="C411" s="1">
        <f>(SALES!$D:$D)</f>
        <v>1</v>
      </c>
      <c r="D411" s="1" t="str">
        <f>(SALES!$E:$E)</f>
        <v>BEEF</v>
      </c>
      <c r="E411" s="1">
        <f>(SALES!$F:$F)</f>
        <v>16000</v>
      </c>
      <c r="F411" s="1">
        <f>(SALES!$G:$G)</f>
        <v>16000</v>
      </c>
      <c r="P411" s="2"/>
      <c r="Q411" s="7"/>
      <c r="R411" s="16"/>
      <c r="S411" s="12"/>
      <c r="T411" s="12"/>
      <c r="U411" s="16"/>
    </row>
    <row r="412" spans="1:21" ht="18.75" customHeight="1" x14ac:dyDescent="0.3">
      <c r="A412" s="32" t="str">
        <f>(SALES!$A:$A)</f>
        <v>Friday, 12 January 2024</v>
      </c>
      <c r="B412" s="1">
        <f>(SALES!$C:$C)</f>
        <v>42</v>
      </c>
      <c r="C412" s="1">
        <f>(SALES!$D:$D)</f>
        <v>0.5</v>
      </c>
      <c r="D412" s="1" t="str">
        <f>(SALES!$E:$E)</f>
        <v>YELLOW YOLK EGGS</v>
      </c>
      <c r="E412" s="1">
        <f>(SALES!$F:$F)</f>
        <v>20000</v>
      </c>
      <c r="F412" s="1">
        <f>(SALES!$G:$G)</f>
        <v>10000</v>
      </c>
      <c r="P412" s="2"/>
      <c r="Q412" s="7"/>
      <c r="R412" s="17"/>
      <c r="U412" s="16"/>
    </row>
    <row r="413" spans="1:21" ht="18.75" customHeight="1" x14ac:dyDescent="0.3">
      <c r="A413" s="32" t="str">
        <f>(SALES!$A:$A)</f>
        <v>Friday, 12 January 2024</v>
      </c>
      <c r="B413" s="1">
        <f>(SALES!$C:$C)</f>
        <v>43</v>
      </c>
      <c r="C413" s="1">
        <f>(SALES!$D:$D)</f>
        <v>3.4</v>
      </c>
      <c r="D413" s="1" t="str">
        <f>(SALES!$E:$E)</f>
        <v>MATOOKE KGS</v>
      </c>
      <c r="E413" s="1">
        <f>(SALES!$F:$F)</f>
        <v>1500</v>
      </c>
      <c r="F413" s="1">
        <f>(SALES!$G:$G)</f>
        <v>5100</v>
      </c>
      <c r="P413" s="2"/>
      <c r="Q413" s="7"/>
      <c r="R413" s="16"/>
      <c r="S413" s="12"/>
      <c r="T413" s="12"/>
      <c r="U413" s="16"/>
    </row>
    <row r="414" spans="1:21" ht="18.75" customHeight="1" x14ac:dyDescent="0.3">
      <c r="A414" s="32" t="str">
        <f>(SALES!$A:$A)</f>
        <v>Friday, 12 January 2024</v>
      </c>
      <c r="B414" s="1">
        <f>(SALES!$C:$C)</f>
        <v>44</v>
      </c>
      <c r="C414" s="1">
        <f>(SALES!$D:$D)</f>
        <v>0.3</v>
      </c>
      <c r="D414" s="1" t="str">
        <f>(SALES!$E:$E)</f>
        <v>TOMATOES</v>
      </c>
      <c r="E414" s="1">
        <f>(SALES!$F:$F)</f>
        <v>3000</v>
      </c>
      <c r="F414" s="1">
        <f>(SALES!$G:$G)</f>
        <v>900</v>
      </c>
      <c r="P414" s="2"/>
      <c r="Q414" s="7"/>
      <c r="R414" s="17"/>
      <c r="U414" s="16"/>
    </row>
    <row r="415" spans="1:21" ht="18.75" customHeight="1" x14ac:dyDescent="0.3">
      <c r="A415" s="32" t="str">
        <f>(SALES!$A:$A)</f>
        <v>Friday, 12 January 2024</v>
      </c>
      <c r="B415" s="1">
        <f>(SALES!$C:$C)</f>
        <v>45</v>
      </c>
      <c r="C415" s="1">
        <f>(SALES!$D:$D)</f>
        <v>0.2</v>
      </c>
      <c r="D415" s="1" t="str">
        <f>(SALES!$E:$E)</f>
        <v>ONIONS</v>
      </c>
      <c r="E415" s="1">
        <f>(SALES!$F:$F)</f>
        <v>6000</v>
      </c>
      <c r="F415" s="1">
        <f>(SALES!$G:$G)</f>
        <v>1200</v>
      </c>
      <c r="P415" s="2"/>
      <c r="Q415" s="7"/>
      <c r="R415" s="17"/>
      <c r="U415" s="16"/>
    </row>
    <row r="416" spans="1:21" ht="18.75" customHeight="1" x14ac:dyDescent="0.3">
      <c r="A416" s="32" t="str">
        <f>(SALES!$A:$A)</f>
        <v>Friday, 12 January 2024</v>
      </c>
      <c r="B416" s="1">
        <f>(SALES!$C:$C)</f>
        <v>46</v>
      </c>
      <c r="C416" s="1">
        <f>(SALES!$D:$D)</f>
        <v>2</v>
      </c>
      <c r="D416" s="1" t="str">
        <f>(SALES!$E:$E)</f>
        <v>MATOOKE KGS</v>
      </c>
      <c r="E416" s="1">
        <f>(SALES!$F:$F)</f>
        <v>1500</v>
      </c>
      <c r="F416" s="1">
        <f>(SALES!$G:$G)</f>
        <v>3000</v>
      </c>
      <c r="P416" s="2"/>
      <c r="Q416" s="7"/>
      <c r="R416" s="17"/>
      <c r="U416" s="16"/>
    </row>
    <row r="417" spans="1:21" ht="18.75" customHeight="1" x14ac:dyDescent="0.3">
      <c r="A417" s="32" t="str">
        <f>(SALES!$A:$A)</f>
        <v>Saturday, 13 January 2024</v>
      </c>
      <c r="B417" s="1">
        <f>(SALES!$C:$C)</f>
        <v>47</v>
      </c>
      <c r="C417" s="1">
        <f>(SALES!$D:$D)</f>
        <v>1</v>
      </c>
      <c r="D417" s="1" t="str">
        <f>(SALES!$E:$E)</f>
        <v>MATOOKE</v>
      </c>
      <c r="E417" s="1">
        <f>(SALES!$F:$F)</f>
        <v>22000</v>
      </c>
      <c r="F417" s="1">
        <f>(SALES!$G:$G)</f>
        <v>22000</v>
      </c>
      <c r="P417" s="2"/>
      <c r="Q417" s="7"/>
      <c r="R417" s="17"/>
      <c r="U417" s="16"/>
    </row>
    <row r="418" spans="1:21" ht="18.75" customHeight="1" x14ac:dyDescent="0.3">
      <c r="A418" s="32" t="str">
        <f>(SALES!$A:$A)</f>
        <v>Saturday, 13 January 2024</v>
      </c>
      <c r="B418" s="1">
        <f>(SALES!$C:$C)</f>
        <v>48</v>
      </c>
      <c r="C418" s="1">
        <f>(SALES!$D:$D)</f>
        <v>0.7</v>
      </c>
      <c r="D418" s="1" t="str">
        <f>(SALES!$E:$E)</f>
        <v>MATOOKE KGS</v>
      </c>
      <c r="E418" s="1">
        <f>(SALES!$F:$F)</f>
        <v>1500</v>
      </c>
      <c r="F418" s="1">
        <f>(SALES!$G:$G)</f>
        <v>1050</v>
      </c>
      <c r="P418" s="2"/>
      <c r="Q418" s="7"/>
      <c r="R418" s="17"/>
      <c r="U418" s="16"/>
    </row>
    <row r="419" spans="1:21" ht="18.75" customHeight="1" x14ac:dyDescent="0.3">
      <c r="A419" s="32" t="str">
        <f>(SALES!$A:$A)</f>
        <v>Saturday, 13 January 2024</v>
      </c>
      <c r="B419" s="1">
        <f>(SALES!$C:$C)</f>
        <v>1</v>
      </c>
      <c r="C419" s="1">
        <f>(SALES!$D:$D)</f>
        <v>1</v>
      </c>
      <c r="D419" s="1" t="str">
        <f>(SALES!$E:$E)</f>
        <v>MATOOKE</v>
      </c>
      <c r="E419" s="1">
        <f>(SALES!$F:$F)</f>
        <v>24000</v>
      </c>
      <c r="F419" s="1">
        <f>(SALES!$G:$G)</f>
        <v>24000</v>
      </c>
      <c r="P419" s="2"/>
      <c r="Q419" s="7"/>
      <c r="R419" s="16"/>
      <c r="S419" s="12"/>
      <c r="T419" s="12"/>
      <c r="U419" s="16"/>
    </row>
    <row r="420" spans="1:21" ht="18.75" customHeight="1" x14ac:dyDescent="0.3">
      <c r="A420" s="32" t="str">
        <f>(SALES!$A:$A)</f>
        <v>Saturday, 13 January 2024</v>
      </c>
      <c r="B420" s="1">
        <f>(SALES!$C:$C)</f>
        <v>2</v>
      </c>
      <c r="C420" s="1">
        <f>(SALES!$D:$D)</f>
        <v>1</v>
      </c>
      <c r="D420" s="1" t="str">
        <f>(SALES!$E:$E)</f>
        <v>MATOOKE</v>
      </c>
      <c r="E420" s="1">
        <f>(SALES!$F:$F)</f>
        <v>18000</v>
      </c>
      <c r="F420" s="1">
        <f>(SALES!$G:$G)</f>
        <v>18000</v>
      </c>
      <c r="P420" s="2"/>
      <c r="Q420" s="7"/>
      <c r="R420" s="17"/>
      <c r="U420" s="16"/>
    </row>
    <row r="421" spans="1:21" ht="18.75" customHeight="1" x14ac:dyDescent="0.3">
      <c r="A421" s="32" t="str">
        <f>(SALES!$A:$A)</f>
        <v>Saturday, 13 January 2024</v>
      </c>
      <c r="B421" s="1">
        <f>(SALES!$C:$C)</f>
        <v>3</v>
      </c>
      <c r="C421" s="1">
        <f>(SALES!$D:$D)</f>
        <v>3</v>
      </c>
      <c r="D421" s="1" t="str">
        <f>(SALES!$E:$E)</f>
        <v>DOG BONES</v>
      </c>
      <c r="E421" s="1">
        <f>(SALES!$F:$F)</f>
        <v>4000</v>
      </c>
      <c r="F421" s="1">
        <f>(SALES!$G:$G)</f>
        <v>12000</v>
      </c>
      <c r="P421" s="2"/>
      <c r="Q421" s="7"/>
      <c r="R421" s="17"/>
      <c r="U421" s="16"/>
    </row>
    <row r="422" spans="1:21" ht="18.75" customHeight="1" x14ac:dyDescent="0.3">
      <c r="A422" s="32" t="str">
        <f>(SALES!$A:$A)</f>
        <v>Saturday, 13 January 2024</v>
      </c>
      <c r="B422" s="1">
        <f>(SALES!$C:$C)</f>
        <v>4</v>
      </c>
      <c r="C422" s="1">
        <f>(SALES!$D:$D)</f>
        <v>1</v>
      </c>
      <c r="D422" s="1" t="str">
        <f>(SALES!$E:$E)</f>
        <v>YELLOW YOLK EGGS</v>
      </c>
      <c r="E422" s="1">
        <f>(SALES!$F:$F)</f>
        <v>20000</v>
      </c>
      <c r="F422" s="1">
        <f>(SALES!$G:$G)</f>
        <v>20000</v>
      </c>
      <c r="P422" s="2"/>
      <c r="Q422" s="7"/>
      <c r="R422" s="17"/>
      <c r="U422" s="16"/>
    </row>
    <row r="423" spans="1:21" ht="18.75" customHeight="1" x14ac:dyDescent="0.3">
      <c r="A423" s="32" t="str">
        <f>(SALES!$A:$A)</f>
        <v>Saturday, 13 January 2024</v>
      </c>
      <c r="B423" s="1">
        <f>(SALES!$C:$C)</f>
        <v>6</v>
      </c>
      <c r="C423" s="1">
        <f>(SALES!$D:$D)</f>
        <v>2</v>
      </c>
      <c r="D423" s="1" t="str">
        <f>(SALES!$E:$E)</f>
        <v>BEEF</v>
      </c>
      <c r="E423" s="1">
        <f>(SALES!$F:$F)</f>
        <v>16000</v>
      </c>
      <c r="F423" s="1">
        <f>(SALES!$G:$G)</f>
        <v>32000</v>
      </c>
      <c r="P423" s="2"/>
      <c r="Q423" s="7"/>
      <c r="R423" s="16"/>
      <c r="S423" s="12"/>
      <c r="T423" s="12"/>
      <c r="U423" s="16"/>
    </row>
    <row r="424" spans="1:21" ht="18.75" customHeight="1" x14ac:dyDescent="0.3">
      <c r="A424" s="32" t="str">
        <f>(SALES!$A:$A)</f>
        <v>Saturday, 13 January 2024</v>
      </c>
      <c r="B424" s="1">
        <f>(SALES!$C:$C)</f>
        <v>7</v>
      </c>
      <c r="C424" s="1">
        <f>(SALES!$D:$D)</f>
        <v>1</v>
      </c>
      <c r="D424" s="1" t="str">
        <f>(SALES!$E:$E)</f>
        <v>MATOOKE</v>
      </c>
      <c r="E424" s="1">
        <f>(SALES!$F:$F)</f>
        <v>10500</v>
      </c>
      <c r="F424" s="1">
        <f>(SALES!$G:$G)</f>
        <v>10500</v>
      </c>
      <c r="P424" s="2"/>
      <c r="Q424" s="7"/>
      <c r="R424" s="17"/>
      <c r="U424" s="16"/>
    </row>
    <row r="425" spans="1:21" ht="18.75" customHeight="1" x14ac:dyDescent="0.3">
      <c r="A425" s="32" t="str">
        <f>(SALES!$A:$A)</f>
        <v>Saturday, 13 January 2024</v>
      </c>
      <c r="B425" s="1">
        <f>(SALES!$C:$C)</f>
        <v>8</v>
      </c>
      <c r="C425" s="1">
        <f>(SALES!$D:$D)</f>
        <v>0.3</v>
      </c>
      <c r="D425" s="1" t="str">
        <f>(SALES!$E:$E)</f>
        <v>TOMATOES</v>
      </c>
      <c r="E425" s="1">
        <f>(SALES!$F:$F)</f>
        <v>3000</v>
      </c>
      <c r="F425" s="1">
        <f>(SALES!$G:$G)</f>
        <v>900</v>
      </c>
      <c r="P425" s="2"/>
      <c r="Q425" s="7"/>
      <c r="R425" s="17"/>
      <c r="U425" s="16"/>
    </row>
    <row r="426" spans="1:21" ht="18.75" customHeight="1" x14ac:dyDescent="0.3">
      <c r="A426" s="32" t="str">
        <f>(SALES!$A:$A)</f>
        <v>Saturday, 13 January 2024</v>
      </c>
      <c r="B426" s="1">
        <f>(SALES!$C:$C)</f>
        <v>9</v>
      </c>
      <c r="C426" s="1">
        <f>(SALES!$D:$D)</f>
        <v>3.4</v>
      </c>
      <c r="D426" s="1" t="str">
        <f>(SALES!$E:$E)</f>
        <v>MATOOKE</v>
      </c>
      <c r="E426" s="1">
        <f>(SALES!$F:$F)</f>
        <v>1500</v>
      </c>
      <c r="F426" s="1">
        <f>(SALES!$G:$G)</f>
        <v>5100</v>
      </c>
      <c r="P426" s="2"/>
      <c r="Q426" s="7"/>
      <c r="R426" s="16"/>
      <c r="S426" s="12"/>
      <c r="T426" s="12"/>
      <c r="U426" s="16"/>
    </row>
    <row r="427" spans="1:21" ht="18.75" customHeight="1" x14ac:dyDescent="0.3">
      <c r="A427" s="32" t="str">
        <f>(SALES!$A:$A)</f>
        <v>Saturday, 13 January 2024</v>
      </c>
      <c r="B427" s="1">
        <f>(SALES!$C:$C)</f>
        <v>10</v>
      </c>
      <c r="C427" s="1">
        <f>(SALES!$D:$D)</f>
        <v>1</v>
      </c>
      <c r="D427" s="1" t="str">
        <f>(SALES!$E:$E)</f>
        <v>MATOOKE</v>
      </c>
      <c r="E427" s="1">
        <f>(SALES!$F:$F)</f>
        <v>13500</v>
      </c>
      <c r="F427" s="1">
        <f>(SALES!$G:$G)</f>
        <v>13500</v>
      </c>
      <c r="P427" s="2"/>
      <c r="Q427" s="7"/>
      <c r="R427" s="16"/>
      <c r="S427" s="12"/>
      <c r="T427" s="12"/>
      <c r="U427" s="16"/>
    </row>
    <row r="428" spans="1:21" ht="18.75" customHeight="1" x14ac:dyDescent="0.3">
      <c r="A428" s="32" t="str">
        <f>(SALES!$A:$A)</f>
        <v>Saturday, 13 January 2024</v>
      </c>
      <c r="B428" s="1">
        <f>(SALES!$C:$C)</f>
        <v>11</v>
      </c>
      <c r="C428" s="1">
        <f>(SALES!$D:$D)</f>
        <v>3</v>
      </c>
      <c r="D428" s="1" t="str">
        <f>(SALES!$E:$E)</f>
        <v>GOAT</v>
      </c>
      <c r="E428" s="1">
        <f>(SALES!$F:$F)</f>
        <v>20000</v>
      </c>
      <c r="F428" s="1">
        <f>(SALES!$G:$G)</f>
        <v>60000</v>
      </c>
      <c r="P428" s="2"/>
      <c r="Q428" s="7"/>
      <c r="R428" s="16"/>
      <c r="S428" s="12"/>
      <c r="T428" s="12"/>
      <c r="U428" s="16"/>
    </row>
    <row r="429" spans="1:21" ht="18.75" customHeight="1" x14ac:dyDescent="0.3">
      <c r="A429" s="32" t="str">
        <f>(SALES!$A:$A)</f>
        <v>Saturday, 13 January 2024</v>
      </c>
      <c r="B429" s="1">
        <f>(SALES!$C:$C)</f>
        <v>12</v>
      </c>
      <c r="C429" s="1">
        <f>(SALES!$D:$D)</f>
        <v>1</v>
      </c>
      <c r="D429" s="1" t="str">
        <f>(SALES!$E:$E)</f>
        <v>CHICKEN</v>
      </c>
      <c r="E429" s="1">
        <f>(SALES!$F:$F)</f>
        <v>30000</v>
      </c>
      <c r="F429" s="1">
        <f>(SALES!$G:$G)</f>
        <v>30000</v>
      </c>
      <c r="P429" s="2"/>
      <c r="Q429" s="7"/>
      <c r="R429" s="17"/>
      <c r="U429" s="16"/>
    </row>
    <row r="430" spans="1:21" ht="18.75" customHeight="1" x14ac:dyDescent="0.3">
      <c r="A430" s="32" t="str">
        <f>(SALES!$A:$A)</f>
        <v>Saturday, 13 January 2024</v>
      </c>
      <c r="B430" s="1">
        <f>(SALES!$C:$C)</f>
        <v>13</v>
      </c>
      <c r="C430" s="1">
        <f>(SALES!$D:$D)</f>
        <v>5</v>
      </c>
      <c r="D430" s="1" t="str">
        <f>(SALES!$E:$E)</f>
        <v>MILK</v>
      </c>
      <c r="E430" s="1">
        <f>(SALES!$F:$F)</f>
        <v>2000</v>
      </c>
      <c r="F430" s="1">
        <f>(SALES!$G:$G)</f>
        <v>10000</v>
      </c>
      <c r="P430" s="2"/>
      <c r="Q430" s="7"/>
      <c r="R430" s="17"/>
      <c r="U430" s="16"/>
    </row>
    <row r="431" spans="1:21" ht="18.75" customHeight="1" x14ac:dyDescent="0.3">
      <c r="A431" s="32" t="str">
        <f>(SALES!$A:$A)</f>
        <v>Saturday, 13 January 2024</v>
      </c>
      <c r="B431" s="1">
        <f>(SALES!$C:$C)</f>
        <v>14</v>
      </c>
      <c r="C431" s="1">
        <f>(SALES!$D:$D)</f>
        <v>1</v>
      </c>
      <c r="D431" s="1" t="str">
        <f>(SALES!$E:$E)</f>
        <v>MATOOKE</v>
      </c>
      <c r="E431" s="1">
        <f>(SALES!$F:$F)</f>
        <v>20000</v>
      </c>
      <c r="F431" s="1">
        <f>(SALES!$G:$G)</f>
        <v>20000</v>
      </c>
      <c r="P431" s="2"/>
      <c r="Q431" s="7"/>
      <c r="R431" s="16"/>
      <c r="S431" s="12"/>
      <c r="T431" s="12"/>
      <c r="U431" s="16"/>
    </row>
    <row r="432" spans="1:21" ht="18.75" customHeight="1" x14ac:dyDescent="0.3">
      <c r="A432" s="32" t="str">
        <f>(SALES!$A:$A)</f>
        <v>Saturday, 13 January 2024</v>
      </c>
      <c r="B432" s="1">
        <f>(SALES!$C:$C)</f>
        <v>15</v>
      </c>
      <c r="C432" s="1">
        <f>(SALES!$D:$D)</f>
        <v>1</v>
      </c>
      <c r="D432" s="1" t="str">
        <f>(SALES!$E:$E)</f>
        <v>MILK</v>
      </c>
      <c r="E432" s="1">
        <f>(SALES!$F:$F)</f>
        <v>2000</v>
      </c>
      <c r="F432" s="1">
        <f>(SALES!$G:$G)</f>
        <v>2000</v>
      </c>
      <c r="P432" s="2"/>
      <c r="Q432" s="7"/>
      <c r="R432" s="16"/>
      <c r="S432" s="12"/>
      <c r="T432" s="12"/>
      <c r="U432" s="16"/>
    </row>
    <row r="433" spans="1:21" ht="18.75" customHeight="1" x14ac:dyDescent="0.3">
      <c r="A433" s="32" t="str">
        <f>(SALES!$A:$A)</f>
        <v>Saturday, 13 January 2024</v>
      </c>
      <c r="B433" s="1">
        <f>(SALES!$C:$C)</f>
        <v>16</v>
      </c>
      <c r="C433" s="1">
        <f>(SALES!$D:$D)</f>
        <v>1</v>
      </c>
      <c r="D433" s="1" t="str">
        <f>(SALES!$E:$E)</f>
        <v>YELLOW YOLK EGGS</v>
      </c>
      <c r="E433" s="1">
        <f>(SALES!$F:$F)</f>
        <v>20000</v>
      </c>
      <c r="F433" s="1">
        <f>(SALES!$G:$G)</f>
        <v>20000</v>
      </c>
      <c r="P433" s="2"/>
      <c r="Q433" s="7"/>
      <c r="R433" s="16"/>
      <c r="S433" s="12"/>
      <c r="T433" s="12"/>
      <c r="U433" s="16"/>
    </row>
    <row r="434" spans="1:21" ht="18.75" customHeight="1" x14ac:dyDescent="0.3">
      <c r="A434" s="32" t="str">
        <f>(SALES!$A:$A)</f>
        <v>Saturday, 13 January 2024</v>
      </c>
      <c r="B434" s="1">
        <f>(SALES!$C:$C)</f>
        <v>17</v>
      </c>
      <c r="C434" s="1">
        <f>(SALES!$D:$D)</f>
        <v>2.7</v>
      </c>
      <c r="D434" s="1" t="str">
        <f>(SALES!$E:$E)</f>
        <v>MATOOKE</v>
      </c>
      <c r="E434" s="1">
        <f>(SALES!$F:$F)</f>
        <v>1500</v>
      </c>
      <c r="F434" s="1">
        <f>(SALES!$G:$G)</f>
        <v>4050.0000000000005</v>
      </c>
      <c r="P434" s="2"/>
      <c r="Q434" s="7"/>
      <c r="R434" s="16"/>
      <c r="S434" s="12"/>
      <c r="T434" s="12"/>
      <c r="U434" s="16"/>
    </row>
    <row r="435" spans="1:21" ht="18.75" customHeight="1" x14ac:dyDescent="0.3">
      <c r="A435" s="32" t="str">
        <f>(SALES!$A:$A)</f>
        <v>Saturday, 13 January 2024</v>
      </c>
      <c r="B435" s="1">
        <f>(SALES!$C:$C)</f>
        <v>18</v>
      </c>
      <c r="C435" s="1">
        <f>(SALES!$D:$D)</f>
        <v>1</v>
      </c>
      <c r="D435" s="1" t="str">
        <f>(SALES!$E:$E)</f>
        <v>YELLOW YOLK EGGS</v>
      </c>
      <c r="E435" s="1">
        <f>(SALES!$F:$F)</f>
        <v>20000</v>
      </c>
      <c r="F435" s="1">
        <f>(SALES!$G:$G)</f>
        <v>20000</v>
      </c>
      <c r="P435" s="2"/>
      <c r="Q435" s="7"/>
      <c r="R435" s="16"/>
      <c r="S435" s="12"/>
      <c r="T435" s="12"/>
      <c r="U435" s="16"/>
    </row>
    <row r="436" spans="1:21" ht="18.75" customHeight="1" x14ac:dyDescent="0.3">
      <c r="A436" s="32" t="str">
        <f>(SALES!$A:$A)</f>
        <v>Saturday, 13 January 2024</v>
      </c>
      <c r="B436" s="1">
        <f>(SALES!$C:$C)</f>
        <v>19</v>
      </c>
      <c r="C436" s="1">
        <f>(SALES!$D:$D)</f>
        <v>1</v>
      </c>
      <c r="D436" s="1" t="str">
        <f>(SALES!$E:$E)</f>
        <v>BEEF</v>
      </c>
      <c r="E436" s="1">
        <f>(SALES!$F:$F)</f>
        <v>16000</v>
      </c>
      <c r="F436" s="1">
        <f>(SALES!$G:$G)</f>
        <v>16000</v>
      </c>
      <c r="P436" s="2"/>
      <c r="Q436" s="7"/>
      <c r="R436" s="17"/>
      <c r="U436" s="16"/>
    </row>
    <row r="437" spans="1:21" ht="18.75" customHeight="1" x14ac:dyDescent="0.3">
      <c r="A437" s="32" t="str">
        <f>(SALES!$A:$A)</f>
        <v>Saturday, 13 January 2024</v>
      </c>
      <c r="B437" s="1">
        <f>(SALES!$C:$C)</f>
        <v>20</v>
      </c>
      <c r="C437" s="1">
        <f>(SALES!$D:$D)</f>
        <v>5</v>
      </c>
      <c r="D437" s="1" t="str">
        <f>(SALES!$E:$E)</f>
        <v>IRISH POTATOES</v>
      </c>
      <c r="E437" s="1">
        <f>(SALES!$F:$F)</f>
        <v>3000</v>
      </c>
      <c r="F437" s="1">
        <f>(SALES!$G:$G)</f>
        <v>15000</v>
      </c>
      <c r="P437" s="2"/>
      <c r="Q437" s="7"/>
      <c r="R437" s="17"/>
      <c r="U437" s="16"/>
    </row>
    <row r="438" spans="1:21" ht="18.75" customHeight="1" x14ac:dyDescent="0.3">
      <c r="A438" s="32" t="str">
        <f>(SALES!$A:$A)</f>
        <v>Saturday, 13 January 2024</v>
      </c>
      <c r="B438" s="1">
        <f>(SALES!$C:$C)</f>
        <v>21</v>
      </c>
      <c r="C438" s="1">
        <f>(SALES!$D:$D)</f>
        <v>1.6</v>
      </c>
      <c r="D438" s="1" t="str">
        <f>(SALES!$E:$E)</f>
        <v>ONIONS</v>
      </c>
      <c r="E438" s="1">
        <f>(SALES!$F:$F)</f>
        <v>6000</v>
      </c>
      <c r="F438" s="1">
        <f>(SALES!$G:$G)</f>
        <v>9600</v>
      </c>
      <c r="P438" s="2"/>
      <c r="Q438" s="7"/>
      <c r="R438" s="17"/>
      <c r="U438" s="16"/>
    </row>
    <row r="439" spans="1:21" ht="18.75" customHeight="1" x14ac:dyDescent="0.3">
      <c r="A439" s="32" t="str">
        <f>(SALES!$A:$A)</f>
        <v>Saturday, 13 January 2024</v>
      </c>
      <c r="B439" s="1">
        <f>(SALES!$C:$C)</f>
        <v>22</v>
      </c>
      <c r="C439" s="1">
        <f>(SALES!$D:$D)</f>
        <v>1</v>
      </c>
      <c r="D439" s="1" t="str">
        <f>(SALES!$E:$E)</f>
        <v>MATOOKE</v>
      </c>
      <c r="E439" s="1">
        <f>(SALES!$F:$F)</f>
        <v>10000</v>
      </c>
      <c r="F439" s="1">
        <f>(SALES!$G:$G)</f>
        <v>10000</v>
      </c>
      <c r="P439" s="2"/>
      <c r="Q439" s="7"/>
      <c r="R439" s="17"/>
      <c r="U439" s="16"/>
    </row>
    <row r="440" spans="1:21" ht="18.75" customHeight="1" x14ac:dyDescent="0.3">
      <c r="A440" s="32" t="str">
        <f>(SALES!$A:$A)</f>
        <v>Saturday, 13 January 2024</v>
      </c>
      <c r="B440" s="1">
        <f>(SALES!$C:$C)</f>
        <v>23</v>
      </c>
      <c r="C440" s="1">
        <f>(SALES!$D:$D)</f>
        <v>1</v>
      </c>
      <c r="D440" s="1" t="str">
        <f>(SALES!$E:$E)</f>
        <v>MATOOKE</v>
      </c>
      <c r="E440" s="1">
        <f>(SALES!$F:$F)</f>
        <v>13000</v>
      </c>
      <c r="F440" s="1">
        <f>(SALES!$G:$G)</f>
        <v>13000</v>
      </c>
      <c r="P440" s="2"/>
      <c r="Q440" s="7"/>
      <c r="R440" s="16"/>
      <c r="S440" s="12"/>
      <c r="T440" s="12"/>
      <c r="U440" s="16"/>
    </row>
    <row r="441" spans="1:21" ht="18.75" customHeight="1" x14ac:dyDescent="0.3">
      <c r="A441" s="32" t="str">
        <f>(SALES!$A:$A)</f>
        <v>Saturday, 13 January 2024</v>
      </c>
      <c r="B441" s="1">
        <f>(SALES!$C:$C)</f>
        <v>24</v>
      </c>
      <c r="C441" s="1">
        <f>(SALES!$D:$D)</f>
        <v>0.1</v>
      </c>
      <c r="D441" s="1" t="str">
        <f>(SALES!$E:$E)</f>
        <v>ZIP LOCKS</v>
      </c>
      <c r="E441" s="1">
        <f>(SALES!$F:$F)</f>
        <v>30000</v>
      </c>
      <c r="F441" s="1">
        <f>(SALES!$G:$G)</f>
        <v>3000</v>
      </c>
      <c r="P441" s="2"/>
      <c r="Q441" s="7"/>
      <c r="R441" s="16"/>
      <c r="S441" s="12"/>
      <c r="T441" s="12"/>
      <c r="U441" s="16"/>
    </row>
    <row r="442" spans="1:21" ht="18.75" customHeight="1" x14ac:dyDescent="0.3">
      <c r="A442" s="32" t="str">
        <f>(SALES!$A:$A)</f>
        <v>Saturday, 13 January 2024</v>
      </c>
      <c r="B442" s="1">
        <f>(SALES!$C:$C)</f>
        <v>25</v>
      </c>
      <c r="C442" s="1">
        <f>(SALES!$D:$D)</f>
        <v>1.5</v>
      </c>
      <c r="D442" s="1" t="str">
        <f>(SALES!$E:$E)</f>
        <v>BEEF</v>
      </c>
      <c r="E442" s="1">
        <f>(SALES!$F:$F)</f>
        <v>16000</v>
      </c>
      <c r="F442" s="1">
        <f>(SALES!$G:$G)</f>
        <v>24000</v>
      </c>
      <c r="P442" s="2"/>
      <c r="Q442" s="7"/>
      <c r="R442" s="16"/>
      <c r="S442" s="12"/>
      <c r="T442" s="12"/>
      <c r="U442" s="16"/>
    </row>
    <row r="443" spans="1:21" ht="18.75" customHeight="1" x14ac:dyDescent="0.3">
      <c r="A443" s="32" t="str">
        <f>(SALES!$A:$A)</f>
        <v>Saturday, 13 January 2024</v>
      </c>
      <c r="B443" s="1">
        <f>(SALES!$C:$C)</f>
        <v>26</v>
      </c>
      <c r="C443" s="1">
        <f>(SALES!$D:$D)</f>
        <v>4</v>
      </c>
      <c r="D443" s="1" t="str">
        <f>(SALES!$E:$E)</f>
        <v>MATOOKE KGS</v>
      </c>
      <c r="E443" s="1">
        <f>(SALES!$F:$F)</f>
        <v>1500</v>
      </c>
      <c r="F443" s="1">
        <f>(SALES!$G:$G)</f>
        <v>6000</v>
      </c>
      <c r="P443" s="2"/>
      <c r="Q443" s="7"/>
      <c r="R443" s="16"/>
      <c r="S443" s="12"/>
      <c r="T443" s="12"/>
      <c r="U443" s="16"/>
    </row>
    <row r="444" spans="1:21" ht="18.75" customHeight="1" x14ac:dyDescent="0.3">
      <c r="A444" s="32" t="str">
        <f>(SALES!$A:$A)</f>
        <v>Saturday, 13 January 2024</v>
      </c>
      <c r="B444" s="1">
        <f>(SALES!$C:$C)</f>
        <v>27</v>
      </c>
      <c r="C444" s="1">
        <f>(SALES!$D:$D)</f>
        <v>1</v>
      </c>
      <c r="D444" s="1" t="str">
        <f>(SALES!$E:$E)</f>
        <v>IRISH POTATOES</v>
      </c>
      <c r="E444" s="1">
        <f>(SALES!$F:$F)</f>
        <v>3000</v>
      </c>
      <c r="F444" s="1">
        <f>(SALES!$G:$G)</f>
        <v>3000</v>
      </c>
      <c r="P444" s="2"/>
      <c r="Q444" s="7"/>
      <c r="R444" s="16"/>
      <c r="S444" s="12"/>
      <c r="T444" s="12"/>
      <c r="U444" s="16"/>
    </row>
    <row r="445" spans="1:21" ht="18.75" customHeight="1" x14ac:dyDescent="0.3">
      <c r="A445" s="32" t="str">
        <f>(SALES!$A:$A)</f>
        <v>Saturday, 13 January 2024</v>
      </c>
      <c r="B445" s="1">
        <f>(SALES!$C:$C)</f>
        <v>28</v>
      </c>
      <c r="C445" s="1">
        <f>(SALES!$D:$D)</f>
        <v>1</v>
      </c>
      <c r="D445" s="1" t="str">
        <f>(SALES!$E:$E)</f>
        <v>MINCED BEEF</v>
      </c>
      <c r="E445" s="1">
        <f>(SALES!$F:$F)</f>
        <v>22000</v>
      </c>
      <c r="F445" s="1">
        <f>(SALES!$G:$G)</f>
        <v>22000</v>
      </c>
      <c r="P445" s="2"/>
      <c r="Q445" s="7"/>
      <c r="R445" s="16"/>
      <c r="S445" s="12"/>
      <c r="T445" s="12"/>
      <c r="U445" s="16"/>
    </row>
    <row r="446" spans="1:21" ht="18.75" customHeight="1" x14ac:dyDescent="0.3">
      <c r="A446" s="32" t="str">
        <f>(SALES!$A:$A)</f>
        <v>Saturday, 13 January 2024</v>
      </c>
      <c r="B446" s="1">
        <f>(SALES!$C:$C)</f>
        <v>29</v>
      </c>
      <c r="C446" s="1">
        <f>(SALES!$D:$D)</f>
        <v>0.5</v>
      </c>
      <c r="D446" s="1" t="str">
        <f>(SALES!$E:$E)</f>
        <v>BEEF</v>
      </c>
      <c r="E446" s="1">
        <f>(SALES!$F:$F)</f>
        <v>16000</v>
      </c>
      <c r="F446" s="1">
        <f>(SALES!$G:$G)</f>
        <v>8000</v>
      </c>
      <c r="P446" s="2"/>
      <c r="Q446" s="7"/>
      <c r="R446" s="17"/>
      <c r="U446" s="16"/>
    </row>
    <row r="447" spans="1:21" ht="18.75" customHeight="1" x14ac:dyDescent="0.3">
      <c r="A447" s="32" t="str">
        <f>(SALES!$A:$A)</f>
        <v>Saturday, 13 January 2024</v>
      </c>
      <c r="B447" s="1">
        <f>(SALES!$C:$C)</f>
        <v>30</v>
      </c>
      <c r="C447" s="1">
        <f>(SALES!$D:$D)</f>
        <v>0.5</v>
      </c>
      <c r="D447" s="1" t="str">
        <f>(SALES!$E:$E)</f>
        <v>MINCED BEEF</v>
      </c>
      <c r="E447" s="1">
        <f>(SALES!$F:$F)</f>
        <v>22000</v>
      </c>
      <c r="F447" s="1">
        <f>(SALES!$G:$G)</f>
        <v>11000</v>
      </c>
      <c r="P447" s="2"/>
      <c r="Q447" s="7"/>
      <c r="R447" s="16"/>
      <c r="S447" s="12"/>
      <c r="T447" s="12"/>
      <c r="U447" s="16"/>
    </row>
    <row r="448" spans="1:21" ht="18.75" customHeight="1" x14ac:dyDescent="0.3">
      <c r="A448" s="32" t="str">
        <f>(SALES!$A:$A)</f>
        <v>Saturday, 13 January 2024</v>
      </c>
      <c r="B448" s="1">
        <f>(SALES!$C:$C)</f>
        <v>31</v>
      </c>
      <c r="C448" s="1">
        <f>(SALES!$D:$D)</f>
        <v>1</v>
      </c>
      <c r="D448" s="1" t="str">
        <f>(SALES!$E:$E)</f>
        <v>YELLOW YOLK EGGS</v>
      </c>
      <c r="E448" s="1">
        <f>(SALES!$F:$F)</f>
        <v>20000</v>
      </c>
      <c r="F448" s="1">
        <f>(SALES!$G:$G)</f>
        <v>20000</v>
      </c>
      <c r="P448" s="2"/>
      <c r="Q448" s="7"/>
      <c r="R448" s="16"/>
      <c r="S448" s="12"/>
      <c r="T448" s="12"/>
      <c r="U448" s="16"/>
    </row>
    <row r="449" spans="1:21" ht="18.75" customHeight="1" x14ac:dyDescent="0.3">
      <c r="A449" s="32" t="str">
        <f>(SALES!$A:$A)</f>
        <v>Saturday, 13 January 2024</v>
      </c>
      <c r="B449" s="1">
        <f>(SALES!$C:$C)</f>
        <v>32</v>
      </c>
      <c r="C449" s="1">
        <f>(SALES!$D:$D)</f>
        <v>1</v>
      </c>
      <c r="D449" s="1" t="str">
        <f>(SALES!$E:$E)</f>
        <v>MATOOKE</v>
      </c>
      <c r="E449" s="1">
        <f>(SALES!$F:$F)</f>
        <v>23000</v>
      </c>
      <c r="F449" s="1">
        <f>(SALES!$G:$G)</f>
        <v>23000</v>
      </c>
      <c r="P449" s="2"/>
      <c r="Q449" s="7"/>
      <c r="R449" s="16"/>
      <c r="S449" s="12"/>
      <c r="T449" s="12"/>
      <c r="U449" s="16"/>
    </row>
    <row r="450" spans="1:21" ht="18.75" customHeight="1" x14ac:dyDescent="0.3">
      <c r="A450" s="32" t="str">
        <f>(SALES!$A:$A)</f>
        <v>Saturday, 13 January 2024</v>
      </c>
      <c r="B450" s="1">
        <f>(SALES!$C:$C)</f>
        <v>33</v>
      </c>
      <c r="C450" s="1">
        <f>(SALES!$D:$D)</f>
        <v>1</v>
      </c>
      <c r="D450" s="1" t="str">
        <f>(SALES!$E:$E)</f>
        <v>MATOOKE</v>
      </c>
      <c r="E450" s="1">
        <f>(SALES!$F:$F)</f>
        <v>22000</v>
      </c>
      <c r="F450" s="1">
        <f>(SALES!$G:$G)</f>
        <v>22000</v>
      </c>
      <c r="P450" s="2"/>
      <c r="Q450" s="7"/>
      <c r="R450" s="17"/>
      <c r="U450" s="16"/>
    </row>
    <row r="451" spans="1:21" ht="18.75" customHeight="1" x14ac:dyDescent="0.3">
      <c r="A451" s="32" t="str">
        <f>(SALES!$A:$A)</f>
        <v>Saturday, 13 January 2024</v>
      </c>
      <c r="B451" s="1">
        <f>(SALES!$C:$C)</f>
        <v>34</v>
      </c>
      <c r="C451" s="1">
        <f>(SALES!$D:$D)</f>
        <v>1</v>
      </c>
      <c r="D451" s="1" t="str">
        <f>(SALES!$E:$E)</f>
        <v>MATOOKE</v>
      </c>
      <c r="E451" s="1">
        <f>(SALES!$F:$F)</f>
        <v>27000</v>
      </c>
      <c r="F451" s="1">
        <f>(SALES!$G:$G)</f>
        <v>27000</v>
      </c>
      <c r="P451" s="2"/>
      <c r="Q451" s="7"/>
      <c r="R451" s="17"/>
      <c r="U451" s="16"/>
    </row>
    <row r="452" spans="1:21" ht="18.75" customHeight="1" x14ac:dyDescent="0.3">
      <c r="A452" s="32" t="str">
        <f>(SALES!$A:$A)</f>
        <v>Saturday, 13 January 2024</v>
      </c>
      <c r="B452" s="1">
        <f>(SALES!$C:$C)</f>
        <v>35</v>
      </c>
      <c r="C452" s="1">
        <f>(SALES!$D:$D)</f>
        <v>1</v>
      </c>
      <c r="D452" s="1" t="str">
        <f>(SALES!$E:$E)</f>
        <v>MATOOKE</v>
      </c>
      <c r="E452" s="1">
        <f>(SALES!$F:$F)</f>
        <v>18500</v>
      </c>
      <c r="F452" s="1">
        <f>(SALES!$G:$G)</f>
        <v>18500</v>
      </c>
      <c r="P452" s="2"/>
      <c r="Q452" s="7"/>
      <c r="R452" s="16"/>
      <c r="S452" s="12"/>
      <c r="T452" s="12"/>
      <c r="U452" s="16"/>
    </row>
    <row r="453" spans="1:21" ht="18.75" customHeight="1" x14ac:dyDescent="0.3">
      <c r="A453" s="32" t="str">
        <f>(SALES!$A:$A)</f>
        <v>Saturday, 13 January 2024</v>
      </c>
      <c r="B453" s="1">
        <f>(SALES!$C:$C)</f>
        <v>36</v>
      </c>
      <c r="C453" s="1">
        <f>(SALES!$D:$D)</f>
        <v>2</v>
      </c>
      <c r="D453" s="1" t="str">
        <f>(SALES!$E:$E)</f>
        <v>DOG BONES</v>
      </c>
      <c r="E453" s="1">
        <f>(SALES!$F:$F)</f>
        <v>4000</v>
      </c>
      <c r="F453" s="1">
        <f>(SALES!$G:$G)</f>
        <v>8000</v>
      </c>
      <c r="P453" s="2"/>
      <c r="Q453" s="7"/>
      <c r="R453" s="17"/>
      <c r="U453" s="16"/>
    </row>
    <row r="454" spans="1:21" ht="18.75" customHeight="1" x14ac:dyDescent="0.3">
      <c r="A454" s="32" t="str">
        <f>(SALES!$A:$A)</f>
        <v>Saturday, 13 January 2024</v>
      </c>
      <c r="B454" s="1">
        <f>(SALES!$C:$C)</f>
        <v>37</v>
      </c>
      <c r="C454" s="1">
        <f>(SALES!$D:$D)</f>
        <v>0.5</v>
      </c>
      <c r="D454" s="1" t="str">
        <f>(SALES!$E:$E)</f>
        <v>MILK</v>
      </c>
      <c r="E454" s="1">
        <f>(SALES!$F:$F)</f>
        <v>2000</v>
      </c>
      <c r="F454" s="1">
        <f>(SALES!$G:$G)</f>
        <v>1000</v>
      </c>
      <c r="P454" s="2"/>
      <c r="Q454" s="7"/>
      <c r="R454" s="19"/>
      <c r="T454" s="4"/>
      <c r="U454" s="17"/>
    </row>
    <row r="455" spans="1:21" ht="18.75" customHeight="1" x14ac:dyDescent="0.3">
      <c r="A455" s="32" t="str">
        <f>(SALES!$A:$A)</f>
        <v>Saturday, 13 January 2024</v>
      </c>
      <c r="B455" s="1">
        <f>(SALES!$C:$C)</f>
        <v>38</v>
      </c>
      <c r="C455" s="1">
        <f>(SALES!$D:$D)</f>
        <v>1</v>
      </c>
      <c r="D455" s="1" t="str">
        <f>(SALES!$E:$E)</f>
        <v>BEEF</v>
      </c>
      <c r="E455" s="1">
        <f>(SALES!$F:$F)</f>
        <v>16000</v>
      </c>
      <c r="F455" s="1">
        <f>(SALES!$G:$G)</f>
        <v>16000</v>
      </c>
      <c r="P455" s="2"/>
      <c r="Q455" s="7"/>
      <c r="R455" s="19"/>
      <c r="T455" s="4"/>
      <c r="U455" s="17"/>
    </row>
    <row r="456" spans="1:21" ht="18.75" customHeight="1" x14ac:dyDescent="0.3">
      <c r="A456" s="32" t="str">
        <f>(SALES!$A:$A)</f>
        <v>Saturday, 13 January 2024</v>
      </c>
      <c r="B456" s="1">
        <f>(SALES!$C:$C)</f>
        <v>39</v>
      </c>
      <c r="C456" s="1">
        <f>(SALES!$D:$D)</f>
        <v>0.5</v>
      </c>
      <c r="D456" s="1" t="str">
        <f>(SALES!$E:$E)</f>
        <v>GOAT</v>
      </c>
      <c r="E456" s="1">
        <f>(SALES!$F:$F)</f>
        <v>19000</v>
      </c>
      <c r="F456" s="1">
        <f>(SALES!$G:$G)</f>
        <v>9500</v>
      </c>
      <c r="P456" s="2"/>
      <c r="Q456" s="7"/>
      <c r="R456" s="19"/>
      <c r="T456" s="4"/>
      <c r="U456" s="17"/>
    </row>
    <row r="457" spans="1:21" ht="18.75" customHeight="1" x14ac:dyDescent="0.3">
      <c r="A457" s="32" t="str">
        <f>(SALES!$A:$A)</f>
        <v>Saturday, 13 January 2024</v>
      </c>
      <c r="B457" s="1">
        <f>(SALES!$C:$C)</f>
        <v>40</v>
      </c>
      <c r="C457" s="1">
        <f>(SALES!$D:$D)</f>
        <v>2</v>
      </c>
      <c r="D457" s="1" t="str">
        <f>(SALES!$E:$E)</f>
        <v>MARINATED CHICKEN</v>
      </c>
      <c r="E457" s="1">
        <f>(SALES!$F:$F)</f>
        <v>25000</v>
      </c>
      <c r="F457" s="1">
        <f>(SALES!$G:$G)</f>
        <v>50000</v>
      </c>
      <c r="P457" s="2"/>
      <c r="Q457" s="7"/>
      <c r="R457" s="19"/>
      <c r="T457" s="4"/>
      <c r="U457" s="17"/>
    </row>
    <row r="458" spans="1:21" ht="18.75" customHeight="1" x14ac:dyDescent="0.3">
      <c r="A458" s="32" t="str">
        <f>(SALES!$A:$A)</f>
        <v>Saturday, 13 January 2024</v>
      </c>
      <c r="B458" s="1">
        <f>(SALES!$C:$C)</f>
        <v>41</v>
      </c>
      <c r="C458" s="1">
        <f>(SALES!$D:$D)</f>
        <v>2</v>
      </c>
      <c r="D458" s="1" t="str">
        <f>(SALES!$E:$E)</f>
        <v>MARINATED GOAT LEG</v>
      </c>
      <c r="E458" s="1">
        <f>(SALES!$F:$F)</f>
        <v>28000</v>
      </c>
      <c r="F458" s="1">
        <f>(SALES!$G:$G)</f>
        <v>56000</v>
      </c>
      <c r="P458" s="2"/>
      <c r="Q458" s="7"/>
      <c r="R458" s="17"/>
      <c r="U458" s="17"/>
    </row>
    <row r="459" spans="1:21" ht="18.75" customHeight="1" x14ac:dyDescent="0.3">
      <c r="A459" s="32" t="str">
        <f>(SALES!$A:$A)</f>
        <v>Saturday, 13 January 2024</v>
      </c>
      <c r="B459" s="1">
        <f>(SALES!$C:$C)</f>
        <v>42</v>
      </c>
      <c r="C459" s="1">
        <f>(SALES!$D:$D)</f>
        <v>1</v>
      </c>
      <c r="D459" s="1" t="str">
        <f>(SALES!$E:$E)</f>
        <v>CHICKEN</v>
      </c>
      <c r="E459" s="1">
        <f>(SALES!$F:$F)</f>
        <v>30000</v>
      </c>
      <c r="F459" s="1">
        <f>(SALES!$G:$G)</f>
        <v>30000</v>
      </c>
      <c r="P459" s="2"/>
      <c r="Q459" s="7"/>
      <c r="R459" s="17"/>
      <c r="U459" s="17"/>
    </row>
    <row r="460" spans="1:21" ht="18.75" customHeight="1" x14ac:dyDescent="0.3">
      <c r="A460" s="32" t="str">
        <f>(SALES!$A:$A)</f>
        <v>Saturday, 13 January 2024</v>
      </c>
      <c r="B460" s="1">
        <f>(SALES!$C:$C)</f>
        <v>43</v>
      </c>
      <c r="C460" s="1">
        <f>(SALES!$D:$D)</f>
        <v>10</v>
      </c>
      <c r="D460" s="1" t="str">
        <f>(SALES!$E:$E)</f>
        <v>MILK</v>
      </c>
      <c r="E460" s="1">
        <f>(SALES!$F:$F)</f>
        <v>2000</v>
      </c>
      <c r="F460" s="1">
        <f>(SALES!$G:$G)</f>
        <v>20000</v>
      </c>
      <c r="P460" s="2"/>
      <c r="Q460" s="7"/>
      <c r="R460" s="17"/>
      <c r="U460" s="17"/>
    </row>
    <row r="461" spans="1:21" ht="18.75" customHeight="1" x14ac:dyDescent="0.3">
      <c r="A461" s="32" t="str">
        <f>(SALES!$A:$A)</f>
        <v>Saturday, 13 January 2024</v>
      </c>
      <c r="B461" s="1">
        <f>(SALES!$C:$C)</f>
        <v>44</v>
      </c>
      <c r="C461" s="1">
        <f>(SALES!$D:$D)</f>
        <v>2</v>
      </c>
      <c r="D461" s="1" t="str">
        <f>(SALES!$E:$E)</f>
        <v>GOAT</v>
      </c>
      <c r="E461" s="1">
        <f>(SALES!$F:$F)</f>
        <v>19000</v>
      </c>
      <c r="F461" s="1">
        <f>(SALES!$G:$G)</f>
        <v>38000</v>
      </c>
      <c r="P461" s="2"/>
      <c r="Q461" s="7"/>
      <c r="R461" s="19"/>
      <c r="U461" s="17"/>
    </row>
    <row r="462" spans="1:21" ht="18.75" customHeight="1" x14ac:dyDescent="0.3">
      <c r="A462" s="32" t="str">
        <f>(SALES!$A:$A)</f>
        <v>Saturday, 13 January 2024</v>
      </c>
      <c r="B462" s="1">
        <f>(SALES!$C:$C)</f>
        <v>45</v>
      </c>
      <c r="C462" s="1">
        <f>(SALES!$D:$D)</f>
        <v>2</v>
      </c>
      <c r="D462" s="1" t="str">
        <f>(SALES!$E:$E)</f>
        <v>BEEF</v>
      </c>
      <c r="E462" s="1">
        <f>(SALES!$F:$F)</f>
        <v>16000</v>
      </c>
      <c r="F462" s="1">
        <f>(SALES!$G:$G)</f>
        <v>32000</v>
      </c>
      <c r="P462" s="2"/>
      <c r="Q462" s="7"/>
      <c r="R462" s="17"/>
      <c r="U462" s="17"/>
    </row>
    <row r="463" spans="1:21" ht="18.75" customHeight="1" x14ac:dyDescent="0.3">
      <c r="A463" s="32" t="str">
        <f>(SALES!$A:$A)</f>
        <v>Saturday, 13 January 2024</v>
      </c>
      <c r="B463" s="1">
        <f>(SALES!$C:$C)</f>
        <v>46</v>
      </c>
      <c r="C463" s="1">
        <f>(SALES!$D:$D)</f>
        <v>2</v>
      </c>
      <c r="D463" s="1" t="str">
        <f>(SALES!$E:$E)</f>
        <v>GONJA</v>
      </c>
      <c r="E463" s="1">
        <f>(SALES!$F:$F)</f>
        <v>5000</v>
      </c>
      <c r="F463" s="1">
        <f>(SALES!$G:$G)</f>
        <v>10000</v>
      </c>
      <c r="P463" s="2"/>
      <c r="Q463" s="7"/>
      <c r="R463" s="17"/>
      <c r="U463" s="17"/>
    </row>
    <row r="464" spans="1:21" ht="18.75" customHeight="1" x14ac:dyDescent="0.3">
      <c r="A464" s="32" t="str">
        <f>(SALES!$A:$A)</f>
        <v>Saturday, 13 January 2024</v>
      </c>
      <c r="B464" s="1">
        <f>(SALES!$C:$C)</f>
        <v>47</v>
      </c>
      <c r="C464" s="1">
        <f>(SALES!$D:$D)</f>
        <v>1</v>
      </c>
      <c r="D464" s="1" t="str">
        <f>(SALES!$E:$E)</f>
        <v>MATOOKE</v>
      </c>
      <c r="E464" s="1">
        <f>(SALES!$F:$F)</f>
        <v>10000</v>
      </c>
      <c r="F464" s="1">
        <f>(SALES!$G:$G)</f>
        <v>10000</v>
      </c>
      <c r="P464" s="2"/>
      <c r="Q464" s="7"/>
      <c r="R464" s="19"/>
      <c r="U464" s="17"/>
    </row>
    <row r="465" spans="1:21" ht="18.75" customHeight="1" x14ac:dyDescent="0.3">
      <c r="A465" s="32" t="str">
        <f>(SALES!$A:$A)</f>
        <v>Saturday, 13 January 2024</v>
      </c>
      <c r="B465" s="1">
        <f>(SALES!$C:$C)</f>
        <v>48</v>
      </c>
      <c r="C465" s="1">
        <f>(SALES!$D:$D)</f>
        <v>3</v>
      </c>
      <c r="D465" s="1" t="str">
        <f>(SALES!$E:$E)</f>
        <v>DOG BONES</v>
      </c>
      <c r="E465" s="1">
        <f>(SALES!$F:$F)</f>
        <v>4000</v>
      </c>
      <c r="F465" s="1">
        <f>(SALES!$G:$G)</f>
        <v>12000</v>
      </c>
      <c r="P465" s="2"/>
      <c r="Q465" s="7"/>
      <c r="R465" s="19"/>
      <c r="U465" s="17"/>
    </row>
    <row r="466" spans="1:21" ht="18.75" customHeight="1" x14ac:dyDescent="0.3">
      <c r="A466" s="32" t="str">
        <f>(SALES!$A:$A)</f>
        <v>Saturday, 13 January 2024</v>
      </c>
      <c r="B466" s="1">
        <f>(SALES!$C:$C)</f>
        <v>49</v>
      </c>
      <c r="C466" s="1">
        <f>(SALES!$D:$D)</f>
        <v>0.5</v>
      </c>
      <c r="D466" s="1" t="str">
        <f>(SALES!$E:$E)</f>
        <v>MILK</v>
      </c>
      <c r="E466" s="1">
        <f>(SALES!$F:$F)</f>
        <v>2000</v>
      </c>
      <c r="F466" s="1">
        <f>(SALES!$G:$G)</f>
        <v>1000</v>
      </c>
      <c r="P466" s="2"/>
      <c r="Q466" s="7"/>
      <c r="R466" s="19"/>
      <c r="U466" s="17"/>
    </row>
    <row r="467" spans="1:21" ht="18.75" customHeight="1" x14ac:dyDescent="0.3">
      <c r="A467" s="32" t="str">
        <f>(SALES!$A:$A)</f>
        <v>Saturday, 13 January 2024</v>
      </c>
      <c r="B467" s="1">
        <f>(SALES!$C:$C)</f>
        <v>50</v>
      </c>
      <c r="C467" s="1">
        <f>(SALES!$D:$D)</f>
        <v>10</v>
      </c>
      <c r="D467" s="1" t="str">
        <f>(SALES!$E:$E)</f>
        <v>MILK</v>
      </c>
      <c r="E467" s="1">
        <f>(SALES!$F:$F)</f>
        <v>2000</v>
      </c>
      <c r="F467" s="1">
        <f>(SALES!$G:$G)</f>
        <v>20000</v>
      </c>
      <c r="P467" s="2"/>
      <c r="Q467" s="7"/>
      <c r="R467" s="19"/>
      <c r="U467" s="17"/>
    </row>
    <row r="468" spans="1:21" ht="18.75" customHeight="1" x14ac:dyDescent="0.3">
      <c r="A468" s="32" t="str">
        <f>(SALES!$A:$A)</f>
        <v>Saturday, 13 January 2024</v>
      </c>
      <c r="B468" s="1">
        <f>(SALES!$C:$C)</f>
        <v>51</v>
      </c>
      <c r="C468" s="1">
        <f>(SALES!$D:$D)</f>
        <v>1</v>
      </c>
      <c r="D468" s="1" t="str">
        <f>(SALES!$E:$E)</f>
        <v>MATOOKE</v>
      </c>
      <c r="E468" s="1">
        <f>(SALES!$F:$F)</f>
        <v>22000</v>
      </c>
      <c r="F468" s="1">
        <f>(SALES!$G:$G)</f>
        <v>22000</v>
      </c>
      <c r="P468" s="2"/>
      <c r="Q468" s="7"/>
      <c r="R468" s="17"/>
      <c r="U468" s="16"/>
    </row>
    <row r="469" spans="1:21" ht="18.75" customHeight="1" x14ac:dyDescent="0.3">
      <c r="A469" s="32" t="str">
        <f>(SALES!$A:$A)</f>
        <v>Saturday, 13 January 2024</v>
      </c>
      <c r="B469" s="1">
        <f>(SALES!$C:$C)</f>
        <v>52</v>
      </c>
      <c r="C469" s="1">
        <f>(SALES!$D:$D)</f>
        <v>4</v>
      </c>
      <c r="D469" s="1" t="str">
        <f>(SALES!$E:$E)</f>
        <v>MATOOKE KGS</v>
      </c>
      <c r="E469" s="1">
        <f>(SALES!$F:$F)</f>
        <v>1500</v>
      </c>
      <c r="F469" s="1">
        <f>(SALES!$G:$G)</f>
        <v>6000</v>
      </c>
      <c r="P469" s="2"/>
      <c r="Q469" s="7"/>
      <c r="R469" s="17"/>
      <c r="U469" s="16"/>
    </row>
    <row r="470" spans="1:21" ht="18.75" customHeight="1" x14ac:dyDescent="0.3">
      <c r="A470" s="32" t="str">
        <f>(SALES!$A:$A)</f>
        <v>Saturday, 13 January 2024</v>
      </c>
      <c r="B470" s="1">
        <f>(SALES!$C:$C)</f>
        <v>53</v>
      </c>
      <c r="C470" s="1">
        <f>(SALES!$D:$D)</f>
        <v>3</v>
      </c>
      <c r="D470" s="1" t="str">
        <f>(SALES!$E:$E)</f>
        <v>MATOOKE KGS</v>
      </c>
      <c r="E470" s="1">
        <f>(SALES!$F:$F)</f>
        <v>1500</v>
      </c>
      <c r="F470" s="1">
        <f>(SALES!$G:$G)</f>
        <v>4500</v>
      </c>
      <c r="P470" s="2"/>
      <c r="Q470" s="7"/>
      <c r="R470" s="17"/>
      <c r="U470" s="16"/>
    </row>
    <row r="471" spans="1:21" ht="18.75" customHeight="1" x14ac:dyDescent="0.3">
      <c r="A471" s="32" t="str">
        <f>(SALES!$A:$A)</f>
        <v>Saturday, 13 January 2024</v>
      </c>
      <c r="B471" s="1">
        <f>(SALES!$C:$C)</f>
        <v>54</v>
      </c>
      <c r="C471" s="1">
        <f>(SALES!$D:$D)</f>
        <v>0.8</v>
      </c>
      <c r="D471" s="1" t="str">
        <f>(SALES!$E:$E)</f>
        <v>MATOOKE KGS</v>
      </c>
      <c r="E471" s="1">
        <f>(SALES!$F:$F)</f>
        <v>1500</v>
      </c>
      <c r="F471" s="1">
        <f>(SALES!$G:$G)</f>
        <v>1200</v>
      </c>
      <c r="P471" s="12"/>
      <c r="Q471" s="7"/>
      <c r="R471" s="16"/>
      <c r="S471" s="12"/>
      <c r="T471" s="12"/>
      <c r="U471" s="16"/>
    </row>
    <row r="472" spans="1:21" ht="18.75" customHeight="1" x14ac:dyDescent="0.3">
      <c r="A472" s="32" t="str">
        <f>(SALES!$A:$A)</f>
        <v>Saturday, 13 January 2024</v>
      </c>
      <c r="B472" s="1">
        <f>(SALES!$C:$C)</f>
        <v>55</v>
      </c>
      <c r="C472" s="1">
        <f>(SALES!$D:$D)</f>
        <v>1</v>
      </c>
      <c r="D472" s="1" t="str">
        <f>(SALES!$E:$E)</f>
        <v>MATOOKE</v>
      </c>
      <c r="E472" s="1">
        <f>(SALES!$F:$F)</f>
        <v>21000</v>
      </c>
      <c r="F472" s="1">
        <f>(SALES!$G:$G)</f>
        <v>21000</v>
      </c>
      <c r="P472" s="12"/>
      <c r="Q472" s="7"/>
      <c r="R472" s="16"/>
      <c r="S472" s="12"/>
      <c r="T472" s="12"/>
      <c r="U472" s="16"/>
    </row>
    <row r="473" spans="1:21" ht="18.75" customHeight="1" x14ac:dyDescent="0.3">
      <c r="A473" s="32" t="str">
        <f>(SALES!$A:$A)</f>
        <v>Saturday, 13 January 2024</v>
      </c>
      <c r="B473" s="1">
        <f>(SALES!$C:$C)</f>
        <v>56</v>
      </c>
      <c r="C473" s="1">
        <f>(SALES!$D:$D)</f>
        <v>1</v>
      </c>
      <c r="D473" s="1" t="str">
        <f>(SALES!$E:$E)</f>
        <v>MATOOKE</v>
      </c>
      <c r="E473" s="1">
        <f>(SALES!$F:$F)</f>
        <v>19000</v>
      </c>
      <c r="F473" s="1">
        <f>(SALES!$G:$G)</f>
        <v>19000</v>
      </c>
      <c r="P473" s="12"/>
      <c r="Q473" s="7"/>
      <c r="R473" s="16"/>
      <c r="S473" s="12"/>
      <c r="T473" s="12"/>
      <c r="U473" s="16"/>
    </row>
    <row r="474" spans="1:21" ht="18.75" customHeight="1" x14ac:dyDescent="0.3">
      <c r="A474" s="32" t="str">
        <f>(SALES!$A:$A)</f>
        <v>Saturday, 13 January 2024</v>
      </c>
      <c r="B474" s="1">
        <f>(SALES!$C:$C)</f>
        <v>57</v>
      </c>
      <c r="C474" s="1">
        <f>(SALES!$D:$D)</f>
        <v>1</v>
      </c>
      <c r="D474" s="1" t="str">
        <f>(SALES!$E:$E)</f>
        <v>IRISH POTATOES</v>
      </c>
      <c r="E474" s="1">
        <f>(SALES!$F:$F)</f>
        <v>3000</v>
      </c>
      <c r="F474" s="1">
        <f>(SALES!$G:$G)</f>
        <v>3000</v>
      </c>
      <c r="P474" s="12"/>
      <c r="Q474" s="7"/>
      <c r="R474" s="16"/>
      <c r="S474" s="12"/>
      <c r="T474" s="12"/>
      <c r="U474" s="16"/>
    </row>
    <row r="475" spans="1:21" ht="18.75" customHeight="1" x14ac:dyDescent="0.3">
      <c r="A475" s="32" t="str">
        <f>(SALES!$A:$A)</f>
        <v>Monday, 15 January 2024</v>
      </c>
      <c r="B475" s="1">
        <f>(SALES!$C:$C)</f>
        <v>58</v>
      </c>
      <c r="C475" s="1">
        <f>(SALES!$D:$D)</f>
        <v>2</v>
      </c>
      <c r="D475" s="1" t="str">
        <f>(SALES!$E:$E)</f>
        <v>MATOOKE KGS</v>
      </c>
      <c r="E475" s="1">
        <f>(SALES!$F:$F)</f>
        <v>1500</v>
      </c>
      <c r="F475" s="1">
        <f>(SALES!$G:$G)</f>
        <v>3000</v>
      </c>
      <c r="P475" s="12"/>
      <c r="Q475" s="7"/>
      <c r="R475" s="16"/>
      <c r="S475" s="12"/>
      <c r="T475" s="12"/>
      <c r="U475" s="16"/>
    </row>
    <row r="476" spans="1:21" ht="18.75" customHeight="1" x14ac:dyDescent="0.3">
      <c r="A476" s="32" t="str">
        <f>(SALES!$A:$A)</f>
        <v>Monday, 15 January 2024</v>
      </c>
      <c r="B476" s="1">
        <f>(SALES!$C:$C)</f>
        <v>59</v>
      </c>
      <c r="C476" s="1">
        <f>(SALES!$D:$D)</f>
        <v>1</v>
      </c>
      <c r="D476" s="1" t="str">
        <f>(SALES!$E:$E)</f>
        <v>MATOOKE</v>
      </c>
      <c r="E476" s="1">
        <f>(SALES!$F:$F)</f>
        <v>17000</v>
      </c>
      <c r="F476" s="1">
        <f>(SALES!$G:$G)</f>
        <v>17000</v>
      </c>
      <c r="P476" s="12"/>
      <c r="Q476" s="7"/>
      <c r="R476" s="16"/>
      <c r="S476" s="12"/>
      <c r="T476" s="12"/>
      <c r="U476" s="16"/>
    </row>
    <row r="477" spans="1:21" ht="18.75" customHeight="1" x14ac:dyDescent="0.3">
      <c r="A477" s="32" t="str">
        <f>(SALES!$A:$A)</f>
        <v>Monday, 15 January 2024</v>
      </c>
      <c r="B477" s="1">
        <f>(SALES!$C:$C)</f>
        <v>1</v>
      </c>
      <c r="C477" s="1">
        <f>(SALES!$D:$D)</f>
        <v>1</v>
      </c>
      <c r="D477" s="1" t="str">
        <f>(SALES!$E:$E)</f>
        <v>MATOOKE KGS</v>
      </c>
      <c r="E477" s="1">
        <f>(SALES!$F:$F)</f>
        <v>1500</v>
      </c>
      <c r="F477" s="1">
        <f>(SALES!$G:$G)</f>
        <v>1500</v>
      </c>
      <c r="P477" s="12"/>
      <c r="Q477" s="7"/>
      <c r="R477" s="16"/>
      <c r="S477" s="12"/>
      <c r="T477" s="12"/>
      <c r="U477" s="16"/>
    </row>
    <row r="478" spans="1:21" ht="18.75" customHeight="1" x14ac:dyDescent="0.3">
      <c r="A478" s="32" t="str">
        <f>(SALES!$A:$A)</f>
        <v>Monday, 15 January 2024</v>
      </c>
      <c r="B478" s="1">
        <f>(SALES!$C:$C)</f>
        <v>2</v>
      </c>
      <c r="C478" s="1">
        <f>(SALES!$D:$D)</f>
        <v>4</v>
      </c>
      <c r="D478" s="1" t="str">
        <f>(SALES!$E:$E)</f>
        <v>MATOOKE KGS</v>
      </c>
      <c r="E478" s="1">
        <f>(SALES!$F:$F)</f>
        <v>1500</v>
      </c>
      <c r="F478" s="1">
        <f>(SALES!$G:$G)</f>
        <v>6000</v>
      </c>
      <c r="P478" s="12"/>
      <c r="Q478" s="7"/>
      <c r="R478" s="16"/>
      <c r="S478" s="12"/>
      <c r="T478" s="12"/>
      <c r="U478" s="16"/>
    </row>
    <row r="479" spans="1:21" ht="18.75" customHeight="1" x14ac:dyDescent="0.3">
      <c r="A479" s="32" t="str">
        <f>(SALES!$A:$A)</f>
        <v>Monday, 15 January 2024</v>
      </c>
      <c r="B479" s="1">
        <f>(SALES!$C:$C)</f>
        <v>3</v>
      </c>
      <c r="C479" s="1">
        <f>(SALES!$D:$D)</f>
        <v>0.5</v>
      </c>
      <c r="D479" s="1" t="str">
        <f>(SALES!$E:$E)</f>
        <v>YELLOW YOLK EGGS</v>
      </c>
      <c r="E479" s="1">
        <f>(SALES!$F:$F)</f>
        <v>20000</v>
      </c>
      <c r="F479" s="1">
        <f>(SALES!$G:$G)</f>
        <v>10000</v>
      </c>
      <c r="P479" s="12"/>
      <c r="Q479" s="7"/>
      <c r="R479" s="16"/>
      <c r="S479" s="12"/>
      <c r="T479" s="12"/>
      <c r="U479" s="16"/>
    </row>
    <row r="480" spans="1:21" ht="18.75" customHeight="1" x14ac:dyDescent="0.3">
      <c r="A480" s="32" t="str">
        <f>(SALES!$A:$A)</f>
        <v>Monday, 15 January 2024</v>
      </c>
      <c r="B480" s="1">
        <f>(SALES!$C:$C)</f>
        <v>4</v>
      </c>
      <c r="C480" s="1">
        <f>(SALES!$D:$D)</f>
        <v>1</v>
      </c>
      <c r="D480" s="1" t="str">
        <f>(SALES!$E:$E)</f>
        <v>YELLOW YOLK EGGS</v>
      </c>
      <c r="E480" s="1">
        <f>(SALES!$F:$F)</f>
        <v>20000</v>
      </c>
      <c r="F480" s="1">
        <f>(SALES!$G:$G)</f>
        <v>20000</v>
      </c>
      <c r="P480" s="12"/>
      <c r="Q480" s="7"/>
      <c r="R480" s="16"/>
      <c r="S480" s="12"/>
      <c r="T480" s="12"/>
      <c r="U480" s="16"/>
    </row>
    <row r="481" spans="1:21" ht="18.75" customHeight="1" x14ac:dyDescent="0.3">
      <c r="A481" s="32" t="str">
        <f>(SALES!$A:$A)</f>
        <v>Monday, 15 January 2024</v>
      </c>
      <c r="B481" s="1">
        <f>(SALES!$C:$C)</f>
        <v>5</v>
      </c>
      <c r="C481" s="1">
        <f>(SALES!$D:$D)</f>
        <v>4</v>
      </c>
      <c r="D481" s="1" t="str">
        <f>(SALES!$E:$E)</f>
        <v>MATOOKE KGS</v>
      </c>
      <c r="E481" s="1">
        <f>(SALES!$F:$F)</f>
        <v>1500</v>
      </c>
      <c r="F481" s="1">
        <f>(SALES!$G:$G)</f>
        <v>6000</v>
      </c>
      <c r="P481" s="12"/>
      <c r="Q481" s="7"/>
      <c r="R481" s="16"/>
      <c r="S481" s="12"/>
      <c r="T481" s="12"/>
      <c r="U481" s="16"/>
    </row>
    <row r="482" spans="1:21" ht="18.75" customHeight="1" x14ac:dyDescent="0.3">
      <c r="A482" s="32" t="str">
        <f>(SALES!$A:$A)</f>
        <v>Monday, 15 January 2024</v>
      </c>
      <c r="B482" s="1">
        <f>(SALES!$C:$C)</f>
        <v>6</v>
      </c>
      <c r="C482" s="1">
        <f>(SALES!$D:$D)</f>
        <v>1</v>
      </c>
      <c r="D482" s="1" t="str">
        <f>(SALES!$E:$E)</f>
        <v>MILK</v>
      </c>
      <c r="E482" s="1">
        <f>(SALES!$F:$F)</f>
        <v>2000</v>
      </c>
      <c r="F482" s="1">
        <f>(SALES!$G:$G)</f>
        <v>2000</v>
      </c>
      <c r="P482" s="12"/>
      <c r="Q482" s="7"/>
      <c r="R482" s="16"/>
      <c r="S482" s="12"/>
      <c r="T482" s="12"/>
      <c r="U482" s="16"/>
    </row>
    <row r="483" spans="1:21" ht="18.75" customHeight="1" x14ac:dyDescent="0.3">
      <c r="A483" s="32" t="str">
        <f>(SALES!$A:$A)</f>
        <v>Monday, 15 January 2024</v>
      </c>
      <c r="B483" s="1">
        <f>(SALES!$C:$C)</f>
        <v>7</v>
      </c>
      <c r="C483" s="1">
        <f>(SALES!$D:$D)</f>
        <v>1</v>
      </c>
      <c r="D483" s="1" t="str">
        <f>(SALES!$E:$E)</f>
        <v>TOMATOES</v>
      </c>
      <c r="E483" s="1">
        <f>(SALES!$F:$F)</f>
        <v>3000</v>
      </c>
      <c r="F483" s="1">
        <f>(SALES!$G:$G)</f>
        <v>3000</v>
      </c>
      <c r="P483" s="12"/>
      <c r="Q483" s="7"/>
      <c r="R483" s="16"/>
      <c r="S483" s="12"/>
      <c r="T483" s="12"/>
      <c r="U483" s="16"/>
    </row>
    <row r="484" spans="1:21" ht="18.75" customHeight="1" x14ac:dyDescent="0.3">
      <c r="A484" s="32" t="str">
        <f>(SALES!$A:$A)</f>
        <v>Monday, 15 January 2024</v>
      </c>
      <c r="B484" s="1">
        <f>(SALES!$C:$C)</f>
        <v>8</v>
      </c>
      <c r="C484" s="1">
        <f>(SALES!$D:$D)</f>
        <v>1</v>
      </c>
      <c r="D484" s="1" t="str">
        <f>(SALES!$E:$E)</f>
        <v>IRISH POTATOES</v>
      </c>
      <c r="E484" s="1">
        <f>(SALES!$F:$F)</f>
        <v>3000</v>
      </c>
      <c r="F484" s="1">
        <f>(SALES!$G:$G)</f>
        <v>3000</v>
      </c>
      <c r="P484" s="12"/>
      <c r="Q484" s="7"/>
      <c r="R484" s="16"/>
      <c r="S484" s="12"/>
      <c r="T484" s="12"/>
      <c r="U484" s="16"/>
    </row>
    <row r="485" spans="1:21" ht="18.75" customHeight="1" x14ac:dyDescent="0.3">
      <c r="A485" s="32" t="str">
        <f>(SALES!$A:$A)</f>
        <v>Monday, 15 January 2024</v>
      </c>
      <c r="B485" s="1">
        <f>(SALES!$C:$C)</f>
        <v>9</v>
      </c>
      <c r="C485" s="1">
        <f>(SALES!$D:$D)</f>
        <v>1</v>
      </c>
      <c r="D485" s="1" t="str">
        <f>(SALES!$E:$E)</f>
        <v>MATOOKE</v>
      </c>
      <c r="E485" s="1">
        <f>(SALES!$F:$F)</f>
        <v>14500</v>
      </c>
      <c r="F485" s="1">
        <f>(SALES!$G:$G)</f>
        <v>14500</v>
      </c>
      <c r="P485" s="12"/>
      <c r="Q485" s="7"/>
      <c r="R485" s="16"/>
      <c r="S485" s="12"/>
      <c r="T485" s="12"/>
      <c r="U485" s="16"/>
    </row>
    <row r="486" spans="1:21" ht="18.75" customHeight="1" x14ac:dyDescent="0.3">
      <c r="A486" s="32" t="str">
        <f>(SALES!$A:$A)</f>
        <v>Monday, 15 January 2024</v>
      </c>
      <c r="B486" s="1">
        <f>(SALES!$C:$C)</f>
        <v>10</v>
      </c>
      <c r="C486" s="1">
        <f>(SALES!$D:$D)</f>
        <v>1</v>
      </c>
      <c r="D486" s="1" t="str">
        <f>(SALES!$E:$E)</f>
        <v>YELLOW YOLK EGGS</v>
      </c>
      <c r="E486" s="1">
        <f>(SALES!$F:$F)</f>
        <v>20000</v>
      </c>
      <c r="F486" s="1">
        <f>(SALES!$G:$G)</f>
        <v>20000</v>
      </c>
      <c r="P486" s="12"/>
      <c r="Q486" s="7"/>
      <c r="R486" s="16"/>
      <c r="S486" s="12"/>
      <c r="T486" s="12"/>
      <c r="U486" s="16"/>
    </row>
    <row r="487" spans="1:21" ht="18.75" customHeight="1" x14ac:dyDescent="0.3">
      <c r="A487" s="32" t="str">
        <f>(SALES!$A:$A)</f>
        <v>Monday, 15 January 2024</v>
      </c>
      <c r="B487" s="1">
        <f>(SALES!$C:$C)</f>
        <v>11</v>
      </c>
      <c r="C487" s="1">
        <f>(SALES!$D:$D)</f>
        <v>1</v>
      </c>
      <c r="D487" s="1" t="str">
        <f>(SALES!$E:$E)</f>
        <v>MILK</v>
      </c>
      <c r="E487" s="1">
        <f>(SALES!$F:$F)</f>
        <v>2000</v>
      </c>
      <c r="F487" s="1">
        <f>(SALES!$G:$G)</f>
        <v>2000</v>
      </c>
      <c r="P487" s="12"/>
      <c r="Q487" s="7"/>
      <c r="R487" s="16"/>
      <c r="S487" s="12"/>
      <c r="T487" s="12"/>
      <c r="U487" s="16"/>
    </row>
    <row r="488" spans="1:21" ht="18.75" customHeight="1" x14ac:dyDescent="0.3">
      <c r="A488" s="32" t="str">
        <f>(SALES!$A:$A)</f>
        <v>Monday, 15 January 2024</v>
      </c>
      <c r="B488" s="1">
        <f>(SALES!$C:$C)</f>
        <v>12</v>
      </c>
      <c r="C488" s="1">
        <f>(SALES!$D:$D)</f>
        <v>2</v>
      </c>
      <c r="D488" s="1" t="str">
        <f>(SALES!$E:$E)</f>
        <v>MATOOKE KGS</v>
      </c>
      <c r="E488" s="1">
        <f>(SALES!$F:$F)</f>
        <v>1500</v>
      </c>
      <c r="F488" s="1">
        <f>(SALES!$G:$G)</f>
        <v>3000</v>
      </c>
      <c r="P488" s="12"/>
      <c r="Q488" s="7"/>
      <c r="R488" s="16"/>
      <c r="S488" s="12"/>
      <c r="T488" s="12"/>
      <c r="U488" s="16"/>
    </row>
    <row r="489" spans="1:21" ht="18.75" customHeight="1" x14ac:dyDescent="0.3">
      <c r="A489" s="32" t="str">
        <f>(SALES!$A:$A)</f>
        <v>Monday, 15 January 2024</v>
      </c>
      <c r="B489" s="1">
        <f>(SALES!$C:$C)</f>
        <v>13</v>
      </c>
      <c r="C489" s="1">
        <f>(SALES!$D:$D)</f>
        <v>1</v>
      </c>
      <c r="D489" s="1" t="str">
        <f>(SALES!$E:$E)</f>
        <v>MATOOKE</v>
      </c>
      <c r="E489" s="1">
        <f>(SALES!$F:$F)</f>
        <v>18500</v>
      </c>
      <c r="F489" s="1">
        <f>(SALES!$G:$G)</f>
        <v>18500</v>
      </c>
      <c r="P489" s="12"/>
      <c r="Q489" s="7"/>
      <c r="R489" s="16"/>
      <c r="S489" s="12"/>
      <c r="T489" s="12"/>
      <c r="U489" s="16"/>
    </row>
    <row r="490" spans="1:21" ht="18.75" customHeight="1" x14ac:dyDescent="0.3">
      <c r="A490" s="32" t="str">
        <f>(SALES!$A:$A)</f>
        <v>Monday, 15 January 2024</v>
      </c>
      <c r="B490" s="1">
        <f>(SALES!$C:$C)</f>
        <v>14</v>
      </c>
      <c r="C490" s="1">
        <f>(SALES!$D:$D)</f>
        <v>1</v>
      </c>
      <c r="D490" s="1" t="str">
        <f>(SALES!$E:$E)</f>
        <v>MATOOKE</v>
      </c>
      <c r="E490" s="1">
        <f>(SALES!$F:$F)</f>
        <v>13000</v>
      </c>
      <c r="F490" s="1">
        <f>(SALES!$G:$G)</f>
        <v>13000</v>
      </c>
      <c r="P490" s="12"/>
      <c r="Q490" s="7"/>
      <c r="R490" s="16"/>
      <c r="S490" s="12"/>
      <c r="T490" s="12"/>
      <c r="U490" s="16"/>
    </row>
    <row r="491" spans="1:21" ht="18.75" customHeight="1" x14ac:dyDescent="0.3">
      <c r="A491" s="32" t="str">
        <f>(SALES!$A:$A)</f>
        <v>Monday, 15 January 2024</v>
      </c>
      <c r="B491" s="1">
        <f>(SALES!$C:$C)</f>
        <v>15</v>
      </c>
      <c r="C491" s="1">
        <f>(SALES!$D:$D)</f>
        <v>1</v>
      </c>
      <c r="D491" s="1" t="str">
        <f>(SALES!$E:$E)</f>
        <v>MATOOKE</v>
      </c>
      <c r="E491" s="1">
        <f>(SALES!$F:$F)</f>
        <v>9500</v>
      </c>
      <c r="F491" s="1">
        <f>(SALES!$G:$G)</f>
        <v>9500</v>
      </c>
      <c r="P491" s="12"/>
      <c r="Q491" s="7"/>
      <c r="R491" s="16"/>
      <c r="S491" s="12"/>
      <c r="T491" s="12"/>
      <c r="U491" s="16"/>
    </row>
    <row r="492" spans="1:21" ht="18.75" customHeight="1" x14ac:dyDescent="0.3">
      <c r="A492" s="32" t="str">
        <f>(SALES!$A:$A)</f>
        <v>Monday, 15 January 2024</v>
      </c>
      <c r="B492" s="1">
        <f>(SALES!$C:$C)</f>
        <v>16</v>
      </c>
      <c r="C492" s="1">
        <f>(SALES!$D:$D)</f>
        <v>1</v>
      </c>
      <c r="D492" s="1" t="str">
        <f>(SALES!$E:$E)</f>
        <v>MATOOKE</v>
      </c>
      <c r="E492" s="1">
        <f>(SALES!$F:$F)</f>
        <v>11500</v>
      </c>
      <c r="F492" s="1">
        <f>(SALES!$G:$G)</f>
        <v>11500</v>
      </c>
      <c r="P492" s="12"/>
      <c r="Q492" s="7"/>
      <c r="R492" s="16"/>
      <c r="S492" s="12"/>
      <c r="T492" s="12"/>
      <c r="U492" s="16"/>
    </row>
    <row r="493" spans="1:21" ht="18.75" customHeight="1" x14ac:dyDescent="0.3">
      <c r="A493" s="32" t="str">
        <f>(SALES!$A:$A)</f>
        <v>Monday, 15 January 2024</v>
      </c>
      <c r="B493" s="1">
        <f>(SALES!$C:$C)</f>
        <v>17</v>
      </c>
      <c r="C493" s="1">
        <f>(SALES!$D:$D)</f>
        <v>1</v>
      </c>
      <c r="D493" s="1" t="str">
        <f>(SALES!$E:$E)</f>
        <v>BEEF</v>
      </c>
      <c r="E493" s="1">
        <f>(SALES!$F:$F)</f>
        <v>16000</v>
      </c>
      <c r="F493" s="1">
        <f>(SALES!$G:$G)</f>
        <v>16000</v>
      </c>
      <c r="P493" s="12"/>
      <c r="Q493" s="7"/>
      <c r="R493" s="16"/>
      <c r="S493" s="12"/>
      <c r="T493" s="12"/>
      <c r="U493" s="16"/>
    </row>
    <row r="494" spans="1:21" ht="18.75" customHeight="1" x14ac:dyDescent="0.3">
      <c r="A494" s="32" t="str">
        <f>(SALES!$A:$A)</f>
        <v>Monday, 15 January 2024</v>
      </c>
      <c r="B494" s="1">
        <f>(SALES!$C:$C)</f>
        <v>18</v>
      </c>
      <c r="C494" s="1">
        <f>(SALES!$D:$D)</f>
        <v>1</v>
      </c>
      <c r="D494" s="1" t="str">
        <f>(SALES!$E:$E)</f>
        <v>MATOOKE</v>
      </c>
      <c r="E494" s="1">
        <f>(SALES!$F:$F)</f>
        <v>11000</v>
      </c>
      <c r="F494" s="1">
        <f>(SALES!$G:$G)</f>
        <v>11000</v>
      </c>
      <c r="P494" s="12"/>
      <c r="Q494" s="7"/>
      <c r="R494" s="16"/>
      <c r="S494" s="12"/>
      <c r="T494" s="12"/>
      <c r="U494" s="16"/>
    </row>
    <row r="495" spans="1:21" ht="18.75" customHeight="1" x14ac:dyDescent="0.3">
      <c r="A495" s="32" t="str">
        <f>(SALES!$A:$A)</f>
        <v>Monday, 15 January 2024</v>
      </c>
      <c r="B495" s="1">
        <f>(SALES!$C:$C)</f>
        <v>19</v>
      </c>
      <c r="C495" s="1">
        <f>(SALES!$D:$D)</f>
        <v>10</v>
      </c>
      <c r="D495" s="1" t="str">
        <f>(SALES!$E:$E)</f>
        <v>MILK</v>
      </c>
      <c r="E495" s="1">
        <f>(SALES!$F:$F)</f>
        <v>2000</v>
      </c>
      <c r="F495" s="1">
        <f>(SALES!$G:$G)</f>
        <v>20000</v>
      </c>
      <c r="P495" s="12"/>
      <c r="Q495" s="7"/>
      <c r="R495" s="16"/>
      <c r="S495" s="12"/>
      <c r="T495" s="12"/>
      <c r="U495" s="16"/>
    </row>
    <row r="496" spans="1:21" ht="18.75" customHeight="1" x14ac:dyDescent="0.3">
      <c r="A496" s="32" t="str">
        <f>(SALES!$A:$A)</f>
        <v>Monday, 15 January 2024</v>
      </c>
      <c r="B496" s="1">
        <f>(SALES!$C:$C)</f>
        <v>20</v>
      </c>
      <c r="C496" s="1">
        <f>(SALES!$D:$D)</f>
        <v>1</v>
      </c>
      <c r="D496" s="1" t="str">
        <f>(SALES!$E:$E)</f>
        <v>BEEF FILLET</v>
      </c>
      <c r="E496" s="1">
        <f>(SALES!$F:$F)</f>
        <v>30000</v>
      </c>
      <c r="F496" s="1">
        <f>(SALES!$G:$G)</f>
        <v>30000</v>
      </c>
      <c r="P496" s="12"/>
      <c r="Q496" s="7"/>
      <c r="R496" s="16"/>
      <c r="S496" s="12"/>
      <c r="T496" s="12"/>
      <c r="U496" s="16"/>
    </row>
    <row r="497" spans="1:21" ht="18.75" customHeight="1" x14ac:dyDescent="0.3">
      <c r="A497" s="32" t="str">
        <f>(SALES!$A:$A)</f>
        <v>Monday, 15 January 2024</v>
      </c>
      <c r="B497" s="1">
        <f>(SALES!$C:$C)</f>
        <v>21</v>
      </c>
      <c r="C497" s="1">
        <f>(SALES!$D:$D)</f>
        <v>1</v>
      </c>
      <c r="D497" s="1" t="str">
        <f>(SALES!$E:$E)</f>
        <v>TOMATOES</v>
      </c>
      <c r="E497" s="1">
        <f>(SALES!$F:$F)</f>
        <v>3000</v>
      </c>
      <c r="F497" s="1">
        <f>(SALES!$G:$G)</f>
        <v>3000</v>
      </c>
      <c r="P497" s="12"/>
      <c r="Q497" s="7"/>
      <c r="R497" s="16"/>
      <c r="S497" s="12"/>
      <c r="T497" s="12"/>
      <c r="U497" s="16"/>
    </row>
    <row r="498" spans="1:21" ht="18.75" customHeight="1" x14ac:dyDescent="0.3">
      <c r="A498" s="32" t="str">
        <f>(SALES!$A:$A)</f>
        <v>Monday, 15 January 2024</v>
      </c>
      <c r="B498" s="1">
        <f>(SALES!$C:$C)</f>
        <v>22</v>
      </c>
      <c r="C498" s="1">
        <f>(SALES!$D:$D)</f>
        <v>0.5</v>
      </c>
      <c r="D498" s="1" t="str">
        <f>(SALES!$E:$E)</f>
        <v>ONIONS</v>
      </c>
      <c r="E498" s="1">
        <f>(SALES!$F:$F)</f>
        <v>6000</v>
      </c>
      <c r="F498" s="1">
        <f>(SALES!$G:$G)</f>
        <v>3000</v>
      </c>
      <c r="P498" s="12"/>
      <c r="Q498" s="7"/>
      <c r="R498" s="16"/>
      <c r="S498" s="12"/>
      <c r="T498" s="12"/>
      <c r="U498" s="16"/>
    </row>
    <row r="499" spans="1:21" ht="18.75" customHeight="1" x14ac:dyDescent="0.3">
      <c r="A499" s="32" t="str">
        <f>(SALES!$A:$A)</f>
        <v>Monday, 15 January 2024</v>
      </c>
      <c r="B499" s="1">
        <f>(SALES!$C:$C)</f>
        <v>23</v>
      </c>
      <c r="C499" s="1">
        <f>(SALES!$D:$D)</f>
        <v>1</v>
      </c>
      <c r="D499" s="1" t="str">
        <f>(SALES!$E:$E)</f>
        <v>BEEF SAUSAGES</v>
      </c>
      <c r="E499" s="1">
        <f>(SALES!$F:$F)</f>
        <v>30000</v>
      </c>
      <c r="F499" s="1">
        <f>(SALES!$G:$G)</f>
        <v>30000</v>
      </c>
      <c r="P499" s="12"/>
      <c r="Q499" s="7"/>
      <c r="R499" s="16"/>
      <c r="S499" s="12"/>
      <c r="T499" s="12"/>
      <c r="U499" s="16"/>
    </row>
    <row r="500" spans="1:21" ht="18.75" customHeight="1" x14ac:dyDescent="0.3">
      <c r="A500" s="32" t="str">
        <f>(SALES!$A:$A)</f>
        <v>Monday, 15 January 2024</v>
      </c>
      <c r="B500" s="1">
        <f>(SALES!$C:$C)</f>
        <v>24</v>
      </c>
      <c r="C500" s="1">
        <f>(SALES!$D:$D)</f>
        <v>2</v>
      </c>
      <c r="D500" s="1" t="str">
        <f>(SALES!$E:$E)</f>
        <v>ZIP LOCKS</v>
      </c>
      <c r="E500" s="1">
        <f>(SALES!$F:$F)</f>
        <v>30000</v>
      </c>
      <c r="F500" s="1">
        <f>(SALES!$G:$G)</f>
        <v>60000</v>
      </c>
      <c r="P500" s="12"/>
      <c r="Q500" s="7"/>
      <c r="R500" s="16"/>
      <c r="S500" s="12"/>
      <c r="T500" s="12"/>
      <c r="U500" s="16"/>
    </row>
    <row r="501" spans="1:21" ht="18.75" customHeight="1" x14ac:dyDescent="0.3">
      <c r="A501" s="32" t="str">
        <f>(SALES!$A:$A)</f>
        <v>Monday, 15 January 2024</v>
      </c>
      <c r="B501" s="1">
        <f>(SALES!$C:$C)</f>
        <v>25</v>
      </c>
      <c r="C501" s="1">
        <f>(SALES!$D:$D)</f>
        <v>1</v>
      </c>
      <c r="D501" s="1" t="str">
        <f>(SALES!$E:$E)</f>
        <v>YELLOW YOLK EGGS</v>
      </c>
      <c r="E501" s="1">
        <f>(SALES!$F:$F)</f>
        <v>20000</v>
      </c>
      <c r="F501" s="1">
        <f>(SALES!$G:$G)</f>
        <v>20000</v>
      </c>
      <c r="P501" s="12"/>
      <c r="Q501" s="7"/>
      <c r="R501" s="16"/>
      <c r="S501" s="12"/>
      <c r="T501" s="12"/>
      <c r="U501" s="16"/>
    </row>
    <row r="502" spans="1:21" ht="18.75" customHeight="1" x14ac:dyDescent="0.3">
      <c r="A502" s="32" t="str">
        <f>(SALES!$A:$A)</f>
        <v>Monday, 15 January 2024</v>
      </c>
      <c r="B502" s="1">
        <f>(SALES!$C:$C)</f>
        <v>26</v>
      </c>
      <c r="C502" s="1">
        <f>(SALES!$D:$D)</f>
        <v>1</v>
      </c>
      <c r="D502" s="1" t="str">
        <f>(SALES!$E:$E)</f>
        <v>MATOOKE</v>
      </c>
      <c r="E502" s="1">
        <f>(SALES!$F:$F)</f>
        <v>15500</v>
      </c>
      <c r="F502" s="1">
        <f>(SALES!$G:$G)</f>
        <v>15500</v>
      </c>
      <c r="P502" s="12"/>
      <c r="Q502" s="7"/>
      <c r="R502" s="16"/>
      <c r="S502" s="12"/>
      <c r="T502" s="12"/>
      <c r="U502" s="16"/>
    </row>
    <row r="503" spans="1:21" ht="18.75" customHeight="1" x14ac:dyDescent="0.3">
      <c r="A503" s="32" t="str">
        <f>(SALES!$A:$A)</f>
        <v>Monday, 15 January 2024</v>
      </c>
      <c r="B503" s="1">
        <f>(SALES!$C:$C)</f>
        <v>27</v>
      </c>
      <c r="C503" s="1">
        <f>(SALES!$D:$D)</f>
        <v>1</v>
      </c>
      <c r="D503" s="1" t="str">
        <f>(SALES!$E:$E)</f>
        <v>BONELESS BEEF</v>
      </c>
      <c r="E503" s="1">
        <f>(SALES!$F:$F)</f>
        <v>22000</v>
      </c>
      <c r="F503" s="1">
        <f>(SALES!$G:$G)</f>
        <v>22000</v>
      </c>
      <c r="P503" s="12"/>
      <c r="Q503" s="7"/>
      <c r="R503" s="16"/>
      <c r="S503" s="12"/>
      <c r="T503" s="12"/>
      <c r="U503" s="16"/>
    </row>
    <row r="504" spans="1:21" ht="18.75" customHeight="1" x14ac:dyDescent="0.3">
      <c r="A504" s="32" t="str">
        <f>(SALES!$A:$A)</f>
        <v>Monday, 15 January 2024</v>
      </c>
      <c r="B504" s="1">
        <f>(SALES!$C:$C)</f>
        <v>28</v>
      </c>
      <c r="C504" s="1">
        <f>(SALES!$D:$D)</f>
        <v>1</v>
      </c>
      <c r="D504" s="1" t="str">
        <f>(SALES!$E:$E)</f>
        <v>BEEF</v>
      </c>
      <c r="E504" s="1">
        <f>(SALES!$F:$F)</f>
        <v>16000</v>
      </c>
      <c r="F504" s="1">
        <f>(SALES!$G:$G)</f>
        <v>16000</v>
      </c>
      <c r="P504" s="12"/>
      <c r="Q504" s="7"/>
      <c r="R504" s="16"/>
      <c r="S504" s="12"/>
      <c r="T504" s="12"/>
      <c r="U504" s="16"/>
    </row>
    <row r="505" spans="1:21" ht="18.75" customHeight="1" x14ac:dyDescent="0.3">
      <c r="A505" s="32" t="str">
        <f>(SALES!$A:$A)</f>
        <v>Monday, 15 January 2024</v>
      </c>
      <c r="B505" s="1">
        <f>(SALES!$C:$C)</f>
        <v>29</v>
      </c>
      <c r="C505" s="1">
        <f>(SALES!$D:$D)</f>
        <v>1</v>
      </c>
      <c r="D505" s="1" t="str">
        <f>(SALES!$E:$E)</f>
        <v>MILK</v>
      </c>
      <c r="E505" s="1">
        <f>(SALES!$F:$F)</f>
        <v>2000</v>
      </c>
      <c r="F505" s="1">
        <f>(SALES!$G:$G)</f>
        <v>2000</v>
      </c>
      <c r="P505" s="12"/>
      <c r="Q505" s="7"/>
      <c r="R505" s="16"/>
      <c r="S505" s="12"/>
      <c r="T505" s="12"/>
      <c r="U505" s="16"/>
    </row>
    <row r="506" spans="1:21" ht="18.75" customHeight="1" x14ac:dyDescent="0.3">
      <c r="A506" s="32" t="str">
        <f>(SALES!$A:$A)</f>
        <v>Monday, 15 January 2024</v>
      </c>
      <c r="B506" s="1">
        <f>(SALES!$C:$C)</f>
        <v>30</v>
      </c>
      <c r="C506" s="1">
        <f>(SALES!$D:$D)</f>
        <v>1</v>
      </c>
      <c r="D506" s="1" t="str">
        <f>(SALES!$E:$E)</f>
        <v>YELLOW YOLK EGGS</v>
      </c>
      <c r="E506" s="1">
        <f>(SALES!$F:$F)</f>
        <v>20000</v>
      </c>
      <c r="F506" s="1">
        <f>(SALES!$G:$G)</f>
        <v>20000</v>
      </c>
      <c r="P506" s="12"/>
      <c r="Q506" s="7"/>
      <c r="R506" s="16"/>
      <c r="S506" s="12"/>
      <c r="T506" s="12"/>
      <c r="U506" s="16"/>
    </row>
    <row r="507" spans="1:21" ht="18.75" customHeight="1" x14ac:dyDescent="0.3">
      <c r="A507" s="32" t="str">
        <f>(SALES!$A:$A)</f>
        <v>Monday, 15 January 2024</v>
      </c>
      <c r="B507" s="1">
        <f>(SALES!$C:$C)</f>
        <v>31</v>
      </c>
      <c r="C507" s="1">
        <f>(SALES!$D:$D)</f>
        <v>1</v>
      </c>
      <c r="D507" s="1" t="str">
        <f>(SALES!$E:$E)</f>
        <v>GOAT</v>
      </c>
      <c r="E507" s="1">
        <f>(SALES!$F:$F)</f>
        <v>19000</v>
      </c>
      <c r="F507" s="1">
        <f>(SALES!$G:$G)</f>
        <v>19000</v>
      </c>
      <c r="P507" s="12"/>
      <c r="Q507" s="7"/>
      <c r="R507" s="16"/>
      <c r="S507" s="12"/>
      <c r="T507" s="12"/>
      <c r="U507" s="16"/>
    </row>
    <row r="508" spans="1:21" ht="18.75" customHeight="1" x14ac:dyDescent="0.3">
      <c r="A508" s="32" t="str">
        <f>(SALES!$A:$A)</f>
        <v>Monday, 15 January 2024</v>
      </c>
      <c r="B508" s="1">
        <f>(SALES!$C:$C)</f>
        <v>32</v>
      </c>
      <c r="C508" s="1">
        <f>(SALES!$D:$D)</f>
        <v>1</v>
      </c>
      <c r="D508" s="1" t="str">
        <f>(SALES!$E:$E)</f>
        <v>MINCED BEEF</v>
      </c>
      <c r="E508" s="1">
        <f>(SALES!$F:$F)</f>
        <v>22000</v>
      </c>
      <c r="F508" s="1">
        <f>(SALES!$G:$G)</f>
        <v>22000</v>
      </c>
      <c r="P508" s="12"/>
      <c r="Q508" s="7"/>
      <c r="R508" s="16"/>
      <c r="S508" s="12"/>
      <c r="T508" s="12"/>
      <c r="U508" s="16"/>
    </row>
    <row r="509" spans="1:21" ht="18.75" customHeight="1" x14ac:dyDescent="0.3">
      <c r="A509" s="32" t="str">
        <f>(SALES!$A:$A)</f>
        <v>Monday, 15 January 2024</v>
      </c>
      <c r="B509" s="1">
        <f>(SALES!$C:$C)</f>
        <v>36</v>
      </c>
      <c r="C509" s="1">
        <f>(SALES!$D:$D)</f>
        <v>4</v>
      </c>
      <c r="D509" s="1" t="str">
        <f>(SALES!$E:$E)</f>
        <v>DOG BONES</v>
      </c>
      <c r="E509" s="1">
        <f>(SALES!$F:$F)</f>
        <v>4000</v>
      </c>
      <c r="F509" s="1">
        <f>(SALES!$G:$G)</f>
        <v>16000</v>
      </c>
      <c r="P509" s="12"/>
      <c r="Q509" s="7"/>
      <c r="R509" s="16"/>
      <c r="S509" s="12"/>
      <c r="T509" s="12"/>
      <c r="U509" s="16"/>
    </row>
    <row r="510" spans="1:21" ht="18.75" customHeight="1" x14ac:dyDescent="0.3">
      <c r="A510" s="32" t="str">
        <f>(SALES!$A:$A)</f>
        <v>Monday, 15 January 2024</v>
      </c>
      <c r="B510" s="1">
        <f>(SALES!$C:$C)</f>
        <v>37</v>
      </c>
      <c r="C510" s="1">
        <f>(SALES!$D:$D)</f>
        <v>1</v>
      </c>
      <c r="D510" s="1" t="str">
        <f>(SALES!$E:$E)</f>
        <v>GONJA</v>
      </c>
      <c r="E510" s="1">
        <f>(SALES!$F:$F)</f>
        <v>5000</v>
      </c>
      <c r="F510" s="1">
        <f>(SALES!$G:$G)</f>
        <v>5000</v>
      </c>
      <c r="P510" s="12"/>
      <c r="Q510" s="7"/>
      <c r="R510" s="16"/>
      <c r="S510" s="12"/>
      <c r="T510" s="12"/>
      <c r="U510" s="16"/>
    </row>
    <row r="511" spans="1:21" ht="18.75" customHeight="1" x14ac:dyDescent="0.3">
      <c r="A511" s="32" t="str">
        <f>(SALES!$A:$A)</f>
        <v>Monday, 15 January 2024</v>
      </c>
      <c r="B511" s="1">
        <f>(SALES!$C:$C)</f>
        <v>38</v>
      </c>
      <c r="C511" s="1">
        <f>(SALES!$D:$D)</f>
        <v>1</v>
      </c>
      <c r="D511" s="1" t="str">
        <f>(SALES!$E:$E)</f>
        <v>BEEF</v>
      </c>
      <c r="E511" s="1">
        <f>(SALES!$F:$F)</f>
        <v>16000</v>
      </c>
      <c r="F511" s="1">
        <f>(SALES!$G:$G)</f>
        <v>16000</v>
      </c>
      <c r="P511" s="12"/>
      <c r="Q511" s="7"/>
      <c r="R511" s="16"/>
      <c r="S511" s="12"/>
      <c r="T511" s="12"/>
      <c r="U511" s="16"/>
    </row>
    <row r="512" spans="1:21" ht="18.75" customHeight="1" x14ac:dyDescent="0.3">
      <c r="A512" s="32" t="str">
        <f>(SALES!$A:$A)</f>
        <v>Monday, 15 January 2024</v>
      </c>
      <c r="B512" s="1">
        <f>(SALES!$C:$C)</f>
        <v>39</v>
      </c>
      <c r="C512" s="1">
        <f>(SALES!$D:$D)</f>
        <v>1</v>
      </c>
      <c r="D512" s="1" t="str">
        <f>(SALES!$E:$E)</f>
        <v>MATOOKE</v>
      </c>
      <c r="E512" s="1">
        <f>(SALES!$F:$F)</f>
        <v>27500</v>
      </c>
      <c r="F512" s="1">
        <f>(SALES!$G:$G)</f>
        <v>27500</v>
      </c>
      <c r="P512" s="12"/>
      <c r="Q512" s="7"/>
      <c r="R512" s="16"/>
      <c r="S512" s="12"/>
      <c r="T512" s="12"/>
      <c r="U512" s="16"/>
    </row>
    <row r="513" spans="1:21" ht="18.75" customHeight="1" x14ac:dyDescent="0.3">
      <c r="A513" s="32" t="str">
        <f>(SALES!$A:$A)</f>
        <v>Monday, 15 January 2024</v>
      </c>
      <c r="B513" s="1">
        <f>(SALES!$C:$C)</f>
        <v>40</v>
      </c>
      <c r="C513" s="1">
        <f>(SALES!$D:$D)</f>
        <v>2</v>
      </c>
      <c r="D513" s="1" t="str">
        <f>(SALES!$E:$E)</f>
        <v>MATOOKE KGS</v>
      </c>
      <c r="E513" s="1">
        <f>(SALES!$F:$F)</f>
        <v>1500</v>
      </c>
      <c r="F513" s="1">
        <f>(SALES!$G:$G)</f>
        <v>3000</v>
      </c>
      <c r="P513" s="12"/>
      <c r="Q513" s="7"/>
      <c r="R513" s="16"/>
      <c r="S513" s="12"/>
      <c r="T513" s="12"/>
      <c r="U513" s="16"/>
    </row>
    <row r="514" spans="1:21" ht="18.75" customHeight="1" x14ac:dyDescent="0.3">
      <c r="A514" s="32" t="str">
        <f>(SALES!$A:$A)</f>
        <v>Monday, 15 January 2024</v>
      </c>
      <c r="B514" s="1">
        <f>(SALES!$C:$C)</f>
        <v>41</v>
      </c>
      <c r="C514" s="1">
        <f>(SALES!$D:$D)</f>
        <v>2</v>
      </c>
      <c r="D514" s="1" t="str">
        <f>(SALES!$E:$E)</f>
        <v>MILK</v>
      </c>
      <c r="E514" s="1">
        <f>(SALES!$F:$F)</f>
        <v>2000</v>
      </c>
      <c r="F514" s="1">
        <f>(SALES!$G:$G)</f>
        <v>4000</v>
      </c>
      <c r="P514" s="12"/>
      <c r="Q514" s="7"/>
      <c r="R514" s="17"/>
      <c r="U514" s="17"/>
    </row>
    <row r="515" spans="1:21" ht="18.75" customHeight="1" x14ac:dyDescent="0.3">
      <c r="A515" s="32" t="str">
        <f>(SALES!$A:$A)</f>
        <v>Monday, 15 January 2024</v>
      </c>
      <c r="B515" s="1">
        <f>(SALES!$C:$C)</f>
        <v>42</v>
      </c>
      <c r="C515" s="1">
        <f>(SALES!$D:$D)</f>
        <v>2</v>
      </c>
      <c r="D515" s="1" t="str">
        <f>(SALES!$E:$E)</f>
        <v>MATOOKE KGS</v>
      </c>
      <c r="E515" s="1">
        <f>(SALES!$F:$F)</f>
        <v>1500</v>
      </c>
      <c r="F515" s="1">
        <f>(SALES!$G:$G)</f>
        <v>3000</v>
      </c>
      <c r="P515" s="12"/>
      <c r="Q515" s="7"/>
      <c r="R515" s="16"/>
      <c r="S515" s="12"/>
      <c r="T515" s="12"/>
      <c r="U515" s="16"/>
    </row>
    <row r="516" spans="1:21" ht="18.75" customHeight="1" x14ac:dyDescent="0.3">
      <c r="A516" s="32" t="str">
        <f>(SALES!$A:$A)</f>
        <v>Monday, 15 January 2024</v>
      </c>
      <c r="B516" s="1">
        <f>(SALES!$C:$C)</f>
        <v>43</v>
      </c>
      <c r="C516" s="1">
        <f>(SALES!$D:$D)</f>
        <v>2</v>
      </c>
      <c r="D516" s="1" t="str">
        <f>(SALES!$E:$E)</f>
        <v>DOG MINCE</v>
      </c>
      <c r="E516" s="1">
        <f>(SALES!$F:$F)</f>
        <v>5000</v>
      </c>
      <c r="F516" s="1">
        <f>(SALES!$G:$G)</f>
        <v>10000</v>
      </c>
      <c r="P516" s="12"/>
      <c r="Q516" s="7"/>
      <c r="R516" s="16"/>
      <c r="S516" s="12"/>
      <c r="T516" s="12"/>
      <c r="U516" s="16"/>
    </row>
    <row r="517" spans="1:21" ht="18.75" customHeight="1" x14ac:dyDescent="0.3">
      <c r="A517" s="32" t="str">
        <f>(SALES!$A:$A)</f>
        <v>Monday, 15 January 2024</v>
      </c>
      <c r="B517" s="1">
        <f>(SALES!$C:$C)</f>
        <v>44</v>
      </c>
      <c r="C517" s="1">
        <f>(SALES!$D:$D)</f>
        <v>2.2999999999999998</v>
      </c>
      <c r="D517" s="1" t="str">
        <f>(SALES!$E:$E)</f>
        <v>MATOOKE KGS</v>
      </c>
      <c r="E517" s="1">
        <f>(SALES!$F:$F)</f>
        <v>1500</v>
      </c>
      <c r="F517" s="1">
        <f>(SALES!$G:$G)</f>
        <v>3449.9999999999995</v>
      </c>
      <c r="P517" s="12"/>
      <c r="Q517" s="7"/>
      <c r="R517" s="16"/>
      <c r="S517" s="12"/>
      <c r="T517" s="12"/>
      <c r="U517" s="16"/>
    </row>
    <row r="518" spans="1:21" ht="18.75" customHeight="1" x14ac:dyDescent="0.3">
      <c r="A518" s="32" t="str">
        <f>(SALES!$A:$A)</f>
        <v>Monday, 15 January 2024</v>
      </c>
      <c r="B518" s="1">
        <f>(SALES!$C:$C)</f>
        <v>45</v>
      </c>
      <c r="C518" s="1">
        <f>(SALES!$D:$D)</f>
        <v>1</v>
      </c>
      <c r="D518" s="1" t="str">
        <f>(SALES!$E:$E)</f>
        <v>MATOOKE</v>
      </c>
      <c r="E518" s="1">
        <f>(SALES!$F:$F)</f>
        <v>21000</v>
      </c>
      <c r="F518" s="1">
        <f>(SALES!$G:$G)</f>
        <v>21000</v>
      </c>
      <c r="P518" s="12"/>
      <c r="Q518" s="7"/>
      <c r="R518" s="16"/>
      <c r="S518" s="12"/>
      <c r="T518" s="12"/>
      <c r="U518" s="16"/>
    </row>
    <row r="519" spans="1:21" ht="18.75" customHeight="1" x14ac:dyDescent="0.3">
      <c r="A519" s="32" t="str">
        <f>(SALES!$A:$A)</f>
        <v>Monday, 15 January 2024</v>
      </c>
      <c r="B519" s="1">
        <f>(SALES!$C:$C)</f>
        <v>46</v>
      </c>
      <c r="C519" s="1">
        <f>(SALES!$D:$D)</f>
        <v>1</v>
      </c>
      <c r="D519" s="1" t="str">
        <f>(SALES!$E:$E)</f>
        <v>GONJA</v>
      </c>
      <c r="E519" s="1">
        <f>(SALES!$F:$F)</f>
        <v>5000</v>
      </c>
      <c r="F519" s="1">
        <f>(SALES!$G:$G)</f>
        <v>5000</v>
      </c>
      <c r="P519" s="22"/>
      <c r="Q519" s="23"/>
      <c r="R519" s="18"/>
      <c r="S519" s="24"/>
      <c r="T519" s="24"/>
      <c r="U519" s="18"/>
    </row>
    <row r="520" spans="1:21" ht="18.75" customHeight="1" x14ac:dyDescent="0.3">
      <c r="A520" s="32" t="str">
        <f>(SALES!$A:$A)</f>
        <v>Monday, 15 January 2024</v>
      </c>
      <c r="B520" s="1">
        <f>(SALES!$C:$C)</f>
        <v>47</v>
      </c>
      <c r="C520" s="1">
        <f>(SALES!$D:$D)</f>
        <v>1</v>
      </c>
      <c r="D520" s="1" t="str">
        <f>(SALES!$E:$E)</f>
        <v>MATOOKE KGS</v>
      </c>
      <c r="E520" s="1">
        <f>(SALES!$F:$F)</f>
        <v>1500</v>
      </c>
      <c r="F520" s="1">
        <f>(SALES!$G:$G)</f>
        <v>1500</v>
      </c>
      <c r="P520" s="12"/>
      <c r="Q520" s="7"/>
      <c r="R520" s="16"/>
      <c r="S520" s="12"/>
      <c r="T520" s="12"/>
      <c r="U520" s="16"/>
    </row>
    <row r="521" spans="1:21" ht="18.75" customHeight="1" x14ac:dyDescent="0.3">
      <c r="A521" s="32" t="str">
        <f>(SALES!$A:$A)</f>
        <v>Monday, 15 January 2024</v>
      </c>
      <c r="B521" s="1">
        <f>(SALES!$C:$C)</f>
        <v>48</v>
      </c>
      <c r="C521" s="1">
        <f>(SALES!$D:$D)</f>
        <v>1</v>
      </c>
      <c r="D521" s="1" t="str">
        <f>(SALES!$E:$E)</f>
        <v>YELLOW YOLK EGGS</v>
      </c>
      <c r="E521" s="1">
        <f>(SALES!$F:$F)</f>
        <v>20000</v>
      </c>
      <c r="F521" s="1">
        <f>(SALES!$G:$G)</f>
        <v>20000</v>
      </c>
      <c r="P521" s="12"/>
      <c r="Q521" s="7"/>
      <c r="R521" s="16"/>
      <c r="S521" s="12"/>
      <c r="T521" s="12"/>
      <c r="U521" s="16"/>
    </row>
    <row r="522" spans="1:21" ht="18.75" customHeight="1" x14ac:dyDescent="0.3">
      <c r="A522" s="32" t="str">
        <f>(SALES!$A:$A)</f>
        <v>Monday, 15 January 2024</v>
      </c>
      <c r="B522" s="1">
        <f>(SALES!$C:$C)</f>
        <v>49</v>
      </c>
      <c r="C522" s="1">
        <f>(SALES!$D:$D)</f>
        <v>1</v>
      </c>
      <c r="D522" s="1" t="str">
        <f>(SALES!$E:$E)</f>
        <v>ONIONS</v>
      </c>
      <c r="E522" s="1">
        <f>(SALES!$F:$F)</f>
        <v>6000</v>
      </c>
      <c r="F522" s="1">
        <f>(SALES!$G:$G)</f>
        <v>6000</v>
      </c>
      <c r="P522" s="12"/>
      <c r="Q522" s="7"/>
      <c r="R522" s="16"/>
      <c r="S522" s="12"/>
      <c r="T522" s="12"/>
      <c r="U522" s="16"/>
    </row>
    <row r="523" spans="1:21" ht="18.75" customHeight="1" x14ac:dyDescent="0.3">
      <c r="A523" s="32" t="str">
        <f>(SALES!$A:$A)</f>
        <v>Monday, 15 January 2024</v>
      </c>
      <c r="B523" s="1">
        <f>(SALES!$C:$C)</f>
        <v>50</v>
      </c>
      <c r="C523" s="1">
        <f>(SALES!$D:$D)</f>
        <v>1</v>
      </c>
      <c r="D523" s="1" t="str">
        <f>(SALES!$E:$E)</f>
        <v>MATOOKE</v>
      </c>
      <c r="E523" s="1">
        <f>(SALES!$F:$F)</f>
        <v>21000</v>
      </c>
      <c r="F523" s="1">
        <f>(SALES!$G:$G)</f>
        <v>21000</v>
      </c>
      <c r="P523" s="12"/>
      <c r="Q523" s="7"/>
      <c r="R523" s="17"/>
      <c r="U523" s="16"/>
    </row>
    <row r="524" spans="1:21" ht="18.75" customHeight="1" x14ac:dyDescent="0.3">
      <c r="A524" s="32" t="str">
        <f>(SALES!$A:$A)</f>
        <v>Tuesday, 16 January 2024</v>
      </c>
      <c r="B524" s="1">
        <f>(SALES!$C:$C)</f>
        <v>51</v>
      </c>
      <c r="C524" s="1">
        <f>(SALES!$D:$D)</f>
        <v>5</v>
      </c>
      <c r="D524" s="1" t="str">
        <f>(SALES!$E:$E)</f>
        <v>MILK</v>
      </c>
      <c r="E524" s="1">
        <f>(SALES!$F:$F)</f>
        <v>2000</v>
      </c>
      <c r="F524" s="1">
        <f>(SALES!$G:$G)</f>
        <v>10000</v>
      </c>
      <c r="P524" s="12"/>
      <c r="Q524" s="7"/>
      <c r="R524" s="17"/>
      <c r="U524" s="16"/>
    </row>
    <row r="525" spans="1:21" ht="18.75" customHeight="1" x14ac:dyDescent="0.3">
      <c r="A525" s="32" t="str">
        <f>(SALES!$A:$A)</f>
        <v>Tuesday, 16 January 2024</v>
      </c>
      <c r="B525" s="1">
        <f>(SALES!$C:$C)</f>
        <v>54</v>
      </c>
      <c r="C525" s="1">
        <f>(SALES!$D:$D)</f>
        <v>2</v>
      </c>
      <c r="D525" s="1" t="str">
        <f>(SALES!$E:$E)</f>
        <v>YELLOW YOLK EGGS</v>
      </c>
      <c r="E525" s="1">
        <f>(SALES!$F:$F)</f>
        <v>20000</v>
      </c>
      <c r="F525" s="1">
        <f>(SALES!$G:$G)</f>
        <v>40000</v>
      </c>
      <c r="P525" s="12"/>
      <c r="Q525" s="7"/>
      <c r="R525" s="16"/>
      <c r="S525" s="12"/>
      <c r="T525" s="12"/>
      <c r="U525" s="16"/>
    </row>
    <row r="526" spans="1:21" ht="18.75" customHeight="1" x14ac:dyDescent="0.3">
      <c r="A526" s="32" t="str">
        <f>(SALES!$A:$A)</f>
        <v>Tuesday, 16 January 2024</v>
      </c>
      <c r="B526" s="1">
        <f>(SALES!$C:$C)</f>
        <v>12</v>
      </c>
      <c r="C526" s="1">
        <f>(SALES!$D:$D)</f>
        <v>1</v>
      </c>
      <c r="D526" s="1" t="str">
        <f>(SALES!$E:$E)</f>
        <v>BEEF</v>
      </c>
      <c r="E526" s="1">
        <f>(SALES!$F:$F)</f>
        <v>16000</v>
      </c>
      <c r="F526" s="1">
        <f>(SALES!$G:$G)</f>
        <v>16000</v>
      </c>
      <c r="P526" s="12"/>
      <c r="Q526" s="7"/>
      <c r="R526" s="19"/>
      <c r="T526" s="4"/>
      <c r="U526" s="16"/>
    </row>
    <row r="527" spans="1:21" ht="18.75" customHeight="1" x14ac:dyDescent="0.3">
      <c r="A527" s="32" t="str">
        <f>(SALES!$A:$A)</f>
        <v>Tuesday, 16 January 2024</v>
      </c>
      <c r="B527" s="1">
        <f>(SALES!$C:$C)</f>
        <v>11</v>
      </c>
      <c r="C527" s="1">
        <f>(SALES!$D:$D)</f>
        <v>1</v>
      </c>
      <c r="D527" s="1" t="str">
        <f>(SALES!$E:$E)</f>
        <v>BONELESS BEEF</v>
      </c>
      <c r="E527" s="1">
        <f>(SALES!$F:$F)</f>
        <v>22000</v>
      </c>
      <c r="F527" s="1">
        <f>(SALES!$G:$G)</f>
        <v>22000</v>
      </c>
      <c r="P527" s="12"/>
      <c r="Q527" s="7"/>
      <c r="R527" s="17"/>
      <c r="U527" s="16"/>
    </row>
    <row r="528" spans="1:21" ht="18.75" customHeight="1" x14ac:dyDescent="0.3">
      <c r="A528" s="32" t="str">
        <f>(SALES!$A:$A)</f>
        <v>Tuesday, 16 January 2024</v>
      </c>
      <c r="B528" s="1">
        <f>(SALES!$C:$C)</f>
        <v>9</v>
      </c>
      <c r="C528" s="1">
        <f>(SALES!$D:$D)</f>
        <v>1</v>
      </c>
      <c r="D528" s="1" t="str">
        <f>(SALES!$E:$E)</f>
        <v>CHICKEN</v>
      </c>
      <c r="E528" s="1">
        <f>(SALES!$F:$F)</f>
        <v>30000</v>
      </c>
      <c r="F528" s="1">
        <f>(SALES!$G:$G)</f>
        <v>30000</v>
      </c>
      <c r="P528" s="12"/>
      <c r="Q528" s="7"/>
      <c r="R528" s="16"/>
      <c r="S528" s="12"/>
      <c r="T528" s="12"/>
      <c r="U528" s="16"/>
    </row>
    <row r="529" spans="1:21" ht="18.75" customHeight="1" x14ac:dyDescent="0.3">
      <c r="A529" s="32" t="str">
        <f>(SALES!$A:$A)</f>
        <v>Tuesday, 16 January 2024</v>
      </c>
      <c r="B529" s="1">
        <f>(SALES!$C:$C)</f>
        <v>10</v>
      </c>
      <c r="C529" s="1">
        <f>(SALES!$D:$D)</f>
        <v>2</v>
      </c>
      <c r="D529" s="1" t="str">
        <f>(SALES!$E:$E)</f>
        <v>GOAT LEG</v>
      </c>
      <c r="E529" s="1">
        <f>(SALES!$F:$F)</f>
        <v>22000</v>
      </c>
      <c r="F529" s="1">
        <f>(SALES!$G:$G)</f>
        <v>44000</v>
      </c>
      <c r="P529" s="12"/>
      <c r="Q529" s="7"/>
      <c r="R529" s="19"/>
      <c r="T529" s="4"/>
      <c r="U529" s="16"/>
    </row>
    <row r="530" spans="1:21" ht="18.75" customHeight="1" x14ac:dyDescent="0.3">
      <c r="A530" s="32" t="str">
        <f>(SALES!$A:$A)</f>
        <v>Tuesday, 16 January 2024</v>
      </c>
      <c r="B530" s="1">
        <f>(SALES!$C:$C)</f>
        <v>9</v>
      </c>
      <c r="C530" s="1">
        <f>(SALES!$D:$D)</f>
        <v>1</v>
      </c>
      <c r="D530" s="1" t="str">
        <f>(SALES!$E:$E)</f>
        <v>BEEF</v>
      </c>
      <c r="E530" s="1">
        <f>(SALES!$F:$F)</f>
        <v>16000</v>
      </c>
      <c r="F530" s="1">
        <f>(SALES!$G:$G)</f>
        <v>16000</v>
      </c>
      <c r="P530" s="12"/>
      <c r="Q530" s="7"/>
      <c r="R530" s="16"/>
      <c r="S530" s="12"/>
      <c r="T530" s="12"/>
      <c r="U530" s="16"/>
    </row>
    <row r="531" spans="1:21" ht="18.75" customHeight="1" x14ac:dyDescent="0.3">
      <c r="A531" s="32" t="str">
        <f>(SALES!$A:$A)</f>
        <v>Tuesday, 16 January 2024</v>
      </c>
      <c r="B531" s="1">
        <f>(SALES!$C:$C)</f>
        <v>45</v>
      </c>
      <c r="C531" s="1">
        <f>(SALES!$D:$D)</f>
        <v>2</v>
      </c>
      <c r="D531" s="1" t="str">
        <f>(SALES!$E:$E)</f>
        <v>BEEF</v>
      </c>
      <c r="E531" s="1">
        <f>(SALES!$F:$F)</f>
        <v>16000</v>
      </c>
      <c r="F531" s="1">
        <f>(SALES!$G:$G)</f>
        <v>32000</v>
      </c>
      <c r="P531" s="12"/>
      <c r="Q531" s="7"/>
      <c r="R531" s="16"/>
      <c r="S531" s="12"/>
      <c r="T531" s="12"/>
      <c r="U531" s="16"/>
    </row>
    <row r="532" spans="1:21" ht="18.75" customHeight="1" x14ac:dyDescent="0.3">
      <c r="A532" s="32" t="str">
        <f>(SALES!$A:$A)</f>
        <v>Tuesday, 16 January 2024</v>
      </c>
      <c r="B532" s="1">
        <f>(SALES!$C:$C)</f>
        <v>44</v>
      </c>
      <c r="C532" s="1">
        <f>(SALES!$D:$D)</f>
        <v>1</v>
      </c>
      <c r="D532" s="1" t="str">
        <f>(SALES!$E:$E)</f>
        <v>MATOOKE</v>
      </c>
      <c r="E532" s="1">
        <f>(SALES!$F:$F)</f>
        <v>10000</v>
      </c>
      <c r="F532" s="1">
        <f>(SALES!$G:$G)</f>
        <v>10000</v>
      </c>
      <c r="P532" s="12"/>
      <c r="Q532" s="7"/>
      <c r="R532" s="16"/>
      <c r="S532" s="12"/>
      <c r="T532" s="12"/>
      <c r="U532" s="16"/>
    </row>
    <row r="533" spans="1:21" ht="18.75" customHeight="1" x14ac:dyDescent="0.3">
      <c r="A533" s="32" t="str">
        <f>(SALES!$A:$A)</f>
        <v>Tuesday, 16 January 2024</v>
      </c>
      <c r="B533" s="1">
        <f>(SALES!$C:$C)</f>
        <v>53</v>
      </c>
      <c r="C533" s="1">
        <f>(SALES!$D:$D)</f>
        <v>1</v>
      </c>
      <c r="D533" s="1" t="str">
        <f>(SALES!$E:$E)</f>
        <v>MATOOKE</v>
      </c>
      <c r="E533" s="1">
        <f>(SALES!$F:$F)</f>
        <v>25000</v>
      </c>
      <c r="F533" s="1">
        <f>(SALES!$G:$G)</f>
        <v>25000</v>
      </c>
      <c r="P533" s="12"/>
      <c r="Q533" s="7"/>
      <c r="R533" s="16"/>
      <c r="S533" s="12"/>
      <c r="T533" s="12"/>
      <c r="U533" s="16"/>
    </row>
    <row r="534" spans="1:21" ht="18.75" customHeight="1" x14ac:dyDescent="0.3">
      <c r="A534" s="32" t="str">
        <f>(SALES!$A:$A)</f>
        <v>Tuesday, 16 January 2024</v>
      </c>
      <c r="B534" s="1">
        <f>(SALES!$C:$C)</f>
        <v>21</v>
      </c>
      <c r="C534" s="1">
        <f>(SALES!$D:$D)</f>
        <v>2</v>
      </c>
      <c r="D534" s="1" t="str">
        <f>(SALES!$E:$E)</f>
        <v>MATOOKE</v>
      </c>
      <c r="E534" s="1">
        <f>(SALES!$F:$F)</f>
        <v>20000</v>
      </c>
      <c r="F534" s="1">
        <f>(SALES!$G:$G)</f>
        <v>40000</v>
      </c>
      <c r="P534" s="12"/>
      <c r="Q534" s="7"/>
      <c r="R534" s="16"/>
      <c r="S534" s="12"/>
      <c r="T534" s="12"/>
      <c r="U534" s="16"/>
    </row>
    <row r="535" spans="1:21" ht="18.75" customHeight="1" x14ac:dyDescent="0.3">
      <c r="A535" s="32" t="str">
        <f>(SALES!$A:$A)</f>
        <v>Tuesday, 16 January 2024</v>
      </c>
      <c r="B535" s="1">
        <f>(SALES!$C:$C)</f>
        <v>8</v>
      </c>
      <c r="C535" s="1">
        <f>(SALES!$D:$D)</f>
        <v>3</v>
      </c>
      <c r="D535" s="1" t="str">
        <f>(SALES!$E:$E)</f>
        <v>MATOOKE KGS</v>
      </c>
      <c r="E535" s="1">
        <f>(SALES!$F:$F)</f>
        <v>1500</v>
      </c>
      <c r="F535" s="1">
        <f>(SALES!$G:$G)</f>
        <v>4500</v>
      </c>
      <c r="P535" s="12"/>
      <c r="Q535" s="7"/>
      <c r="R535" s="16"/>
      <c r="S535" s="12"/>
      <c r="T535" s="12"/>
      <c r="U535" s="16"/>
    </row>
    <row r="536" spans="1:21" ht="18.75" customHeight="1" x14ac:dyDescent="0.3">
      <c r="A536" s="32" t="str">
        <f>(SALES!$A:$A)</f>
        <v>Tuesday, 16 January 2024</v>
      </c>
      <c r="B536" s="1">
        <f>(SALES!$C:$C)</f>
        <v>21</v>
      </c>
      <c r="C536" s="1">
        <f>(SALES!$D:$D)</f>
        <v>3</v>
      </c>
      <c r="D536" s="1" t="str">
        <f>(SALES!$E:$E)</f>
        <v>BEEF</v>
      </c>
      <c r="E536" s="1">
        <f>(SALES!$F:$F)</f>
        <v>16000</v>
      </c>
      <c r="F536" s="1">
        <f>(SALES!$G:$G)</f>
        <v>48000</v>
      </c>
      <c r="P536" s="12"/>
      <c r="Q536" s="7"/>
      <c r="R536" s="16"/>
      <c r="S536" s="12"/>
      <c r="T536" s="12"/>
      <c r="U536" s="16"/>
    </row>
    <row r="537" spans="1:21" ht="18.75" customHeight="1" x14ac:dyDescent="0.3">
      <c r="A537" s="32" t="str">
        <f>(SALES!$A:$A)</f>
        <v>Tuesday, 16 January 2024</v>
      </c>
      <c r="B537" s="1">
        <f>(SALES!$C:$C)</f>
        <v>16</v>
      </c>
      <c r="C537" s="1">
        <f>(SALES!$D:$D)</f>
        <v>1</v>
      </c>
      <c r="D537" s="1" t="str">
        <f>(SALES!$E:$E)</f>
        <v>MATOOKE</v>
      </c>
      <c r="E537" s="1">
        <f>(SALES!$F:$F)</f>
        <v>10000</v>
      </c>
      <c r="F537" s="1">
        <f>(SALES!$G:$G)</f>
        <v>10000</v>
      </c>
      <c r="P537" s="12"/>
      <c r="Q537" s="7"/>
      <c r="R537" s="16"/>
      <c r="S537" s="12"/>
      <c r="T537" s="12"/>
      <c r="U537" s="16"/>
    </row>
    <row r="538" spans="1:21" ht="18.75" customHeight="1" x14ac:dyDescent="0.3">
      <c r="A538" s="32" t="str">
        <f>(SALES!$A:$A)</f>
        <v>Tuesday, 16 January 2024</v>
      </c>
      <c r="B538" s="1">
        <f>(SALES!$C:$C)</f>
        <v>34</v>
      </c>
      <c r="C538" s="1">
        <f>(SALES!$D:$D)</f>
        <v>1</v>
      </c>
      <c r="D538" s="1" t="str">
        <f>(SALES!$E:$E)</f>
        <v>MINCED BEEF</v>
      </c>
      <c r="E538" s="1">
        <f>(SALES!$F:$F)</f>
        <v>20000</v>
      </c>
      <c r="F538" s="1">
        <f>(SALES!$G:$G)</f>
        <v>20000</v>
      </c>
      <c r="P538" s="12"/>
      <c r="Q538" s="7"/>
      <c r="R538" s="16"/>
      <c r="S538" s="12"/>
      <c r="T538" s="12"/>
      <c r="U538" s="16"/>
    </row>
    <row r="539" spans="1:21" ht="18.75" customHeight="1" x14ac:dyDescent="0.3">
      <c r="A539" s="32" t="str">
        <f>(SALES!$A:$A)</f>
        <v>Tuesday, 16 January 2024</v>
      </c>
      <c r="B539" s="1">
        <f>(SALES!$C:$C)</f>
        <v>32</v>
      </c>
      <c r="C539" s="1">
        <f>(SALES!$D:$D)</f>
        <v>1</v>
      </c>
      <c r="D539" s="1" t="str">
        <f>(SALES!$E:$E)</f>
        <v>YELLOW YOLK EGGS</v>
      </c>
      <c r="E539" s="1">
        <f>(SALES!$F:$F)</f>
        <v>20000</v>
      </c>
      <c r="F539" s="1">
        <f>(SALES!$G:$G)</f>
        <v>20000</v>
      </c>
      <c r="P539" s="12"/>
      <c r="Q539" s="7"/>
      <c r="R539" s="16"/>
      <c r="S539" s="12"/>
      <c r="T539" s="12"/>
      <c r="U539" s="16"/>
    </row>
    <row r="540" spans="1:21" ht="18.75" customHeight="1" x14ac:dyDescent="0.3">
      <c r="A540" s="32" t="str">
        <f>(SALES!$A:$A)</f>
        <v>Tuesday, 16 January 2024</v>
      </c>
      <c r="B540" s="1">
        <f>(SALES!$C:$C)</f>
        <v>41</v>
      </c>
      <c r="C540" s="1">
        <f>(SALES!$D:$D)</f>
        <v>1</v>
      </c>
      <c r="D540" s="1" t="str">
        <f>(SALES!$E:$E)</f>
        <v>BEEF</v>
      </c>
      <c r="E540" s="1">
        <f>(SALES!$F:$F)</f>
        <v>16000</v>
      </c>
      <c r="F540" s="1">
        <f>(SALES!$G:$G)</f>
        <v>16000</v>
      </c>
      <c r="P540" s="12"/>
      <c r="Q540" s="7"/>
      <c r="R540" s="16"/>
      <c r="S540" s="12"/>
      <c r="T540" s="12"/>
      <c r="U540" s="16"/>
    </row>
    <row r="541" spans="1:21" ht="18.75" customHeight="1" x14ac:dyDescent="0.3">
      <c r="A541" s="32" t="str">
        <f>(SALES!$A:$A)</f>
        <v>Tuesday, 16 January 2024</v>
      </c>
      <c r="B541" s="1">
        <f>(SALES!$C:$C)</f>
        <v>49</v>
      </c>
      <c r="C541" s="1">
        <f>(SALES!$D:$D)</f>
        <v>1</v>
      </c>
      <c r="D541" s="1" t="str">
        <f>(SALES!$E:$E)</f>
        <v>DOG MINCE</v>
      </c>
      <c r="E541" s="1">
        <f>(SALES!$F:$F)</f>
        <v>5000</v>
      </c>
      <c r="F541" s="1">
        <f>(SALES!$G:$G)</f>
        <v>5000</v>
      </c>
      <c r="P541" s="12"/>
      <c r="Q541" s="7"/>
      <c r="R541" s="16"/>
      <c r="S541" s="12"/>
      <c r="T541" s="12"/>
      <c r="U541" s="16"/>
    </row>
    <row r="542" spans="1:21" ht="18.75" customHeight="1" x14ac:dyDescent="0.3">
      <c r="A542" s="32" t="str">
        <f>(SALES!$A:$A)</f>
        <v>Tuesday, 16 January 2024</v>
      </c>
      <c r="B542" s="1">
        <f>(SALES!$C:$C)</f>
        <v>42</v>
      </c>
      <c r="C542" s="1">
        <f>(SALES!$D:$D)</f>
        <v>7</v>
      </c>
      <c r="D542" s="1" t="str">
        <f>(SALES!$E:$E)</f>
        <v>LOCAL EGGS PCS</v>
      </c>
      <c r="E542" s="1">
        <f>(SALES!$F:$F)</f>
        <v>900</v>
      </c>
      <c r="F542" s="1">
        <f>(SALES!$G:$G)</f>
        <v>6300</v>
      </c>
      <c r="P542" s="12"/>
      <c r="Q542" s="7"/>
      <c r="R542" s="16"/>
      <c r="S542" s="12"/>
      <c r="T542" s="12"/>
      <c r="U542" s="16"/>
    </row>
    <row r="543" spans="1:21" ht="18.75" customHeight="1" x14ac:dyDescent="0.3">
      <c r="A543" s="32" t="str">
        <f>(SALES!$A:$A)</f>
        <v>Tuesday, 16 January 2024</v>
      </c>
      <c r="B543" s="1">
        <f>(SALES!$C:$C)</f>
        <v>46</v>
      </c>
      <c r="C543" s="1">
        <f>(SALES!$D:$D)</f>
        <v>6.7</v>
      </c>
      <c r="D543" s="1" t="str">
        <f>(SALES!$E:$E)</f>
        <v>MATOOKE KGS</v>
      </c>
      <c r="E543" s="1">
        <f>(SALES!$F:$F)</f>
        <v>1500</v>
      </c>
      <c r="F543" s="1">
        <f>(SALES!$G:$G)</f>
        <v>10050</v>
      </c>
      <c r="P543" s="12"/>
      <c r="Q543" s="7"/>
      <c r="R543" s="16"/>
      <c r="S543" s="12"/>
      <c r="T543" s="12"/>
      <c r="U543" s="16"/>
    </row>
    <row r="544" spans="1:21" ht="18.75" customHeight="1" x14ac:dyDescent="0.3">
      <c r="A544" s="32" t="str">
        <f>(SALES!$A:$A)</f>
        <v>Tuesday, 16 January 2024</v>
      </c>
      <c r="B544" s="1">
        <f>(SALES!$C:$C)</f>
        <v>47</v>
      </c>
      <c r="C544" s="1">
        <f>(SALES!$D:$D)</f>
        <v>1</v>
      </c>
      <c r="D544" s="1" t="str">
        <f>(SALES!$E:$E)</f>
        <v>MATOOKE</v>
      </c>
      <c r="E544" s="1">
        <f>(SALES!$F:$F)</f>
        <v>18000</v>
      </c>
      <c r="F544" s="1">
        <f>(SALES!$G:$G)</f>
        <v>18000</v>
      </c>
      <c r="P544" s="12"/>
      <c r="Q544" s="7"/>
      <c r="R544" s="16"/>
      <c r="S544" s="12"/>
      <c r="T544" s="12"/>
      <c r="U544" s="16"/>
    </row>
    <row r="545" spans="1:21" ht="18.75" customHeight="1" x14ac:dyDescent="0.3">
      <c r="A545" s="32" t="str">
        <f>(SALES!$A:$A)</f>
        <v>Tuesday, 16 January 2024</v>
      </c>
      <c r="B545" s="1">
        <f>(SALES!$C:$C)</f>
        <v>48</v>
      </c>
      <c r="C545" s="1">
        <f>(SALES!$D:$D)</f>
        <v>1.3</v>
      </c>
      <c r="D545" s="1" t="str">
        <f>(SALES!$E:$E)</f>
        <v>MATOOKE KGS</v>
      </c>
      <c r="E545" s="1">
        <f>(SALES!$F:$F)</f>
        <v>1500</v>
      </c>
      <c r="F545" s="1">
        <f>(SALES!$G:$G)</f>
        <v>1950</v>
      </c>
      <c r="P545" s="12"/>
      <c r="Q545" s="7"/>
      <c r="R545" s="16"/>
      <c r="S545" s="12"/>
      <c r="T545" s="12"/>
      <c r="U545" s="16"/>
    </row>
    <row r="546" spans="1:21" ht="18.75" customHeight="1" x14ac:dyDescent="0.3">
      <c r="A546" s="32" t="str">
        <f>(SALES!$A:$A)</f>
        <v>Tuesday, 16 January 2024</v>
      </c>
      <c r="B546" s="1">
        <f>(SALES!$C:$C)</f>
        <v>25</v>
      </c>
      <c r="C546" s="1">
        <f>(SALES!$D:$D)</f>
        <v>1.6</v>
      </c>
      <c r="D546" s="1" t="str">
        <f>(SALES!$E:$E)</f>
        <v xml:space="preserve">BEFF SHIN </v>
      </c>
      <c r="E546" s="1">
        <f>(SALES!$F:$F)</f>
        <v>18000</v>
      </c>
      <c r="F546" s="1">
        <f>(SALES!$G:$G)</f>
        <v>28800</v>
      </c>
      <c r="P546" s="12"/>
      <c r="Q546" s="7"/>
      <c r="R546" s="16"/>
      <c r="S546" s="12"/>
      <c r="T546" s="12"/>
      <c r="U546" s="16"/>
    </row>
    <row r="547" spans="1:21" ht="18.75" customHeight="1" x14ac:dyDescent="0.3">
      <c r="A547" s="32" t="str">
        <f>(SALES!$A:$A)</f>
        <v>Tuesday, 16 January 2024</v>
      </c>
      <c r="B547" s="1">
        <f>(SALES!$C:$C)</f>
        <v>23</v>
      </c>
      <c r="C547" s="1">
        <f>(SALES!$D:$D)</f>
        <v>0.5</v>
      </c>
      <c r="D547" s="1" t="str">
        <f>(SALES!$E:$E)</f>
        <v>IRISH POTATOES</v>
      </c>
      <c r="E547" s="1">
        <f>(SALES!$F:$F)</f>
        <v>3000</v>
      </c>
      <c r="F547" s="1">
        <f>(SALES!$G:$G)</f>
        <v>1500</v>
      </c>
      <c r="P547" s="12"/>
      <c r="Q547" s="7"/>
      <c r="R547" s="16"/>
      <c r="S547" s="12"/>
      <c r="T547" s="12"/>
      <c r="U547" s="16"/>
    </row>
    <row r="548" spans="1:21" ht="18.75" customHeight="1" x14ac:dyDescent="0.3">
      <c r="A548" s="32" t="str">
        <f>(SALES!$A:$A)</f>
        <v>Tuesday, 16 January 2024</v>
      </c>
      <c r="B548" s="1">
        <f>(SALES!$C:$C)</f>
        <v>34</v>
      </c>
      <c r="C548" s="1">
        <f>(SALES!$D:$D)</f>
        <v>1</v>
      </c>
      <c r="D548" s="1" t="str">
        <f>(SALES!$E:$E)</f>
        <v>LOCAL EGGS</v>
      </c>
      <c r="E548" s="1">
        <f>(SALES!$F:$F)</f>
        <v>25000</v>
      </c>
      <c r="F548" s="1">
        <f>(SALES!$G:$G)</f>
        <v>25000</v>
      </c>
      <c r="P548" s="12"/>
      <c r="Q548" s="7"/>
      <c r="R548" s="16"/>
      <c r="S548" s="12"/>
      <c r="T548" s="12"/>
      <c r="U548" s="16"/>
    </row>
    <row r="549" spans="1:21" ht="18.75" customHeight="1" x14ac:dyDescent="0.3">
      <c r="A549" s="32" t="str">
        <f>(SALES!$A:$A)</f>
        <v>Tuesday, 16 January 2024</v>
      </c>
      <c r="B549" s="1">
        <f>(SALES!$C:$C)</f>
        <v>37</v>
      </c>
      <c r="C549" s="1">
        <f>(SALES!$D:$D)</f>
        <v>1</v>
      </c>
      <c r="D549" s="1" t="str">
        <f>(SALES!$E:$E)</f>
        <v>LOCAL EGGS</v>
      </c>
      <c r="E549" s="1">
        <f>(SALES!$F:$F)</f>
        <v>25000</v>
      </c>
      <c r="F549" s="1">
        <f>(SALES!$G:$G)</f>
        <v>25000</v>
      </c>
      <c r="P549" s="12"/>
      <c r="Q549" s="7"/>
      <c r="R549" s="16"/>
      <c r="S549" s="12"/>
      <c r="T549" s="12"/>
      <c r="U549" s="16"/>
    </row>
    <row r="550" spans="1:21" ht="18.75" customHeight="1" x14ac:dyDescent="0.3">
      <c r="A550" s="32" t="str">
        <f>(SALES!$A:$A)</f>
        <v>Tuesday, 16 January 2024</v>
      </c>
      <c r="B550" s="1">
        <f>(SALES!$C:$C)</f>
        <v>36</v>
      </c>
      <c r="C550" s="1">
        <f>(SALES!$D:$D)</f>
        <v>1</v>
      </c>
      <c r="D550" s="1" t="str">
        <f>(SALES!$E:$E)</f>
        <v>MATOOKE</v>
      </c>
      <c r="E550" s="1">
        <f>(SALES!$F:$F)</f>
        <v>8000</v>
      </c>
      <c r="F550" s="1">
        <f>(SALES!$G:$G)</f>
        <v>8000</v>
      </c>
      <c r="P550" s="12"/>
      <c r="Q550" s="7"/>
      <c r="R550" s="17"/>
      <c r="U550" s="16"/>
    </row>
    <row r="551" spans="1:21" ht="18.75" customHeight="1" x14ac:dyDescent="0.3">
      <c r="A551" s="32" t="str">
        <f>(SALES!$A:$A)</f>
        <v>Tuesday, 16 January 2024</v>
      </c>
      <c r="B551" s="1">
        <f>(SALES!$C:$C)</f>
        <v>39</v>
      </c>
      <c r="C551" s="1">
        <f>(SALES!$D:$D)</f>
        <v>1</v>
      </c>
      <c r="D551" s="1" t="str">
        <f>(SALES!$E:$E)</f>
        <v>MATOOKE</v>
      </c>
      <c r="E551" s="1">
        <f>(SALES!$F:$F)</f>
        <v>22500</v>
      </c>
      <c r="F551" s="1">
        <f>(SALES!$G:$G)</f>
        <v>22500</v>
      </c>
      <c r="P551" s="12"/>
      <c r="Q551" s="7"/>
      <c r="R551" s="16"/>
      <c r="S551" s="12"/>
      <c r="T551" s="12"/>
      <c r="U551" s="16"/>
    </row>
    <row r="552" spans="1:21" ht="18.75" customHeight="1" x14ac:dyDescent="0.3">
      <c r="A552" s="32" t="str">
        <f>(SALES!$A:$A)</f>
        <v>Tuesday, 16 January 2024</v>
      </c>
      <c r="B552" s="1">
        <f>(SALES!$C:$C)</f>
        <v>33</v>
      </c>
      <c r="C552" s="1">
        <f>(SALES!$D:$D)</f>
        <v>1</v>
      </c>
      <c r="D552" s="1" t="str">
        <f>(SALES!$E:$E)</f>
        <v>MATOOKE</v>
      </c>
      <c r="E552" s="1">
        <f>(SALES!$F:$F)</f>
        <v>23000</v>
      </c>
      <c r="F552" s="1">
        <f>(SALES!$G:$G)</f>
        <v>23000</v>
      </c>
      <c r="P552" s="12"/>
      <c r="Q552" s="7"/>
      <c r="R552" s="16"/>
      <c r="S552" s="12"/>
      <c r="T552" s="12"/>
      <c r="U552" s="16"/>
    </row>
    <row r="553" spans="1:21" ht="18.75" customHeight="1" x14ac:dyDescent="0.3">
      <c r="A553" s="32" t="str">
        <f>(SALES!$A:$A)</f>
        <v>Tuesday, 16 January 2024</v>
      </c>
      <c r="B553" s="1">
        <f>(SALES!$C:$C)</f>
        <v>35</v>
      </c>
      <c r="C553" s="1">
        <f>(SALES!$D:$D)</f>
        <v>1</v>
      </c>
      <c r="D553" s="1" t="str">
        <f>(SALES!$E:$E)</f>
        <v>MILK</v>
      </c>
      <c r="E553" s="1">
        <f>(SALES!$F:$F)</f>
        <v>2000</v>
      </c>
      <c r="F553" s="1">
        <f>(SALES!$G:$G)</f>
        <v>2000</v>
      </c>
      <c r="P553" s="12"/>
      <c r="Q553" s="7"/>
      <c r="R553" s="16"/>
      <c r="S553" s="12"/>
      <c r="T553" s="12"/>
      <c r="U553" s="16"/>
    </row>
    <row r="554" spans="1:21" ht="18.75" customHeight="1" x14ac:dyDescent="0.3">
      <c r="A554" s="32" t="str">
        <f>(SALES!$A:$A)</f>
        <v>Tuesday, 16 January 2024</v>
      </c>
      <c r="B554" s="1">
        <f>(SALES!$C:$C)</f>
        <v>38</v>
      </c>
      <c r="C554" s="1">
        <f>(SALES!$D:$D)</f>
        <v>1</v>
      </c>
      <c r="D554" s="1" t="str">
        <f>(SALES!$E:$E)</f>
        <v>ONIONS</v>
      </c>
      <c r="E554" s="1">
        <f>(SALES!$F:$F)</f>
        <v>6000</v>
      </c>
      <c r="F554" s="1">
        <f>(SALES!$G:$G)</f>
        <v>6000</v>
      </c>
      <c r="P554" s="12"/>
      <c r="Q554" s="7"/>
      <c r="R554" s="16"/>
      <c r="S554" s="12"/>
      <c r="T554" s="12"/>
      <c r="U554" s="16"/>
    </row>
    <row r="555" spans="1:21" ht="18.75" customHeight="1" x14ac:dyDescent="0.3">
      <c r="A555" s="32" t="str">
        <f>(SALES!$A:$A)</f>
        <v>Tuesday, 16 January 2024</v>
      </c>
      <c r="B555" s="1">
        <f>(SALES!$C:$C)</f>
        <v>22</v>
      </c>
      <c r="C555" s="1">
        <f>(SALES!$D:$D)</f>
        <v>0.6</v>
      </c>
      <c r="D555" s="1" t="str">
        <f>(SALES!$E:$E)</f>
        <v>TOMATOES</v>
      </c>
      <c r="E555" s="1">
        <f>(SALES!$F:$F)</f>
        <v>3000</v>
      </c>
      <c r="F555" s="1">
        <f>(SALES!$G:$G)</f>
        <v>1800</v>
      </c>
      <c r="P555" s="12"/>
      <c r="Q555" s="7"/>
      <c r="R555" s="16"/>
      <c r="S555" s="12"/>
      <c r="T555" s="12"/>
      <c r="U555" s="16"/>
    </row>
    <row r="556" spans="1:21" ht="18.75" customHeight="1" x14ac:dyDescent="0.3">
      <c r="A556" s="32" t="str">
        <f>(SALES!$A:$A)</f>
        <v>Tuesday, 16 January 2024</v>
      </c>
      <c r="B556" s="1">
        <f>(SALES!$C:$C)</f>
        <v>24</v>
      </c>
      <c r="C556" s="1">
        <f>(SALES!$D:$D)</f>
        <v>0.5</v>
      </c>
      <c r="D556" s="1" t="str">
        <f>(SALES!$E:$E)</f>
        <v>TOMATOES</v>
      </c>
      <c r="E556" s="1">
        <f>(SALES!$F:$F)</f>
        <v>3000</v>
      </c>
      <c r="F556" s="1">
        <f>(SALES!$G:$G)</f>
        <v>1500</v>
      </c>
      <c r="P556" s="12"/>
      <c r="Q556" s="7"/>
      <c r="R556" s="16"/>
      <c r="S556" s="12"/>
      <c r="T556" s="12"/>
      <c r="U556" s="16"/>
    </row>
    <row r="557" spans="1:21" ht="18.75" customHeight="1" x14ac:dyDescent="0.3">
      <c r="A557" s="32" t="str">
        <f>(SALES!$A:$A)</f>
        <v>Tuesday, 16 January 2024</v>
      </c>
      <c r="B557" s="1">
        <f>(SALES!$C:$C)</f>
        <v>19</v>
      </c>
      <c r="C557" s="1">
        <f>(SALES!$D:$D)</f>
        <v>1</v>
      </c>
      <c r="D557" s="1" t="str">
        <f>(SALES!$E:$E)</f>
        <v>BEEF</v>
      </c>
      <c r="E557" s="1">
        <f>(SALES!$F:$F)</f>
        <v>16000</v>
      </c>
      <c r="F557" s="1">
        <f>(SALES!$G:$G)</f>
        <v>16000</v>
      </c>
      <c r="P557" s="12"/>
      <c r="Q557" s="7"/>
      <c r="R557" s="17"/>
      <c r="T557" s="4"/>
      <c r="U557" s="16"/>
    </row>
    <row r="558" spans="1:21" ht="18.75" customHeight="1" x14ac:dyDescent="0.3">
      <c r="A558" s="32" t="str">
        <f>(SALES!$A:$A)</f>
        <v>Tuesday, 16 January 2024</v>
      </c>
      <c r="B558" s="1">
        <f>(SALES!$C:$C)</f>
        <v>32</v>
      </c>
      <c r="C558" s="1">
        <f>(SALES!$D:$D)</f>
        <v>2</v>
      </c>
      <c r="D558" s="1" t="str">
        <f>(SALES!$E:$E)</f>
        <v>BEEF</v>
      </c>
      <c r="E558" s="1">
        <f>(SALES!$F:$F)</f>
        <v>16000</v>
      </c>
      <c r="F558" s="1">
        <f>(SALES!$G:$G)</f>
        <v>32000</v>
      </c>
      <c r="P558" s="12"/>
      <c r="Q558" s="7"/>
      <c r="R558" s="19"/>
      <c r="T558" s="4"/>
      <c r="U558" s="16"/>
    </row>
    <row r="559" spans="1:21" ht="18.75" customHeight="1" x14ac:dyDescent="0.3">
      <c r="A559" s="32" t="str">
        <f>(SALES!$A:$A)</f>
        <v>Tuesday, 16 January 2024</v>
      </c>
      <c r="B559" s="1">
        <f>(SALES!$C:$C)</f>
        <v>33</v>
      </c>
      <c r="C559" s="1">
        <f>(SALES!$D:$D)</f>
        <v>1</v>
      </c>
      <c r="D559" s="1" t="str">
        <f>(SALES!$E:$E)</f>
        <v>BONELESS BEEF</v>
      </c>
      <c r="E559" s="1">
        <f>(SALES!$F:$F)</f>
        <v>22000</v>
      </c>
      <c r="F559" s="1">
        <f>(SALES!$G:$G)</f>
        <v>22000</v>
      </c>
      <c r="P559" s="12"/>
      <c r="Q559" s="7"/>
      <c r="R559" s="19"/>
      <c r="T559" s="4"/>
      <c r="U559" s="16"/>
    </row>
    <row r="560" spans="1:21" ht="18.75" customHeight="1" x14ac:dyDescent="0.3">
      <c r="A560" s="32" t="str">
        <f>(SALES!$A:$A)</f>
        <v>Tuesday, 16 January 2024</v>
      </c>
      <c r="B560" s="1">
        <f>(SALES!$C:$C)</f>
        <v>46</v>
      </c>
      <c r="C560" s="1">
        <f>(SALES!$D:$D)</f>
        <v>1</v>
      </c>
      <c r="D560" s="1" t="str">
        <f>(SALES!$E:$E)</f>
        <v>BONELESS BEEF</v>
      </c>
      <c r="E560" s="1">
        <f>(SALES!$F:$F)</f>
        <v>22000</v>
      </c>
      <c r="F560" s="1">
        <f>(SALES!$G:$G)</f>
        <v>22000</v>
      </c>
      <c r="P560" s="12"/>
      <c r="Q560" s="7"/>
      <c r="R560" s="16"/>
      <c r="S560" s="12"/>
      <c r="T560" s="12"/>
      <c r="U560" s="16"/>
    </row>
    <row r="561" spans="1:21" ht="18.75" customHeight="1" x14ac:dyDescent="0.3">
      <c r="A561" s="32" t="str">
        <f>(SALES!$A:$A)</f>
        <v>Tuesday, 16 January 2024</v>
      </c>
      <c r="B561" s="1">
        <f>(SALES!$C:$C)</f>
        <v>47</v>
      </c>
      <c r="C561" s="1">
        <f>(SALES!$D:$D)</f>
        <v>1</v>
      </c>
      <c r="D561" s="1" t="str">
        <f>(SALES!$E:$E)</f>
        <v>CHICKEN</v>
      </c>
      <c r="E561" s="1">
        <f>(SALES!$F:$F)</f>
        <v>30000</v>
      </c>
      <c r="F561" s="1">
        <f>(SALES!$G:$G)</f>
        <v>30000</v>
      </c>
      <c r="P561" s="12"/>
      <c r="Q561" s="7"/>
      <c r="R561" s="16"/>
      <c r="S561" s="12"/>
      <c r="T561" s="12"/>
      <c r="U561" s="16"/>
    </row>
    <row r="562" spans="1:21" ht="18.75" customHeight="1" x14ac:dyDescent="0.3">
      <c r="A562" s="32" t="str">
        <f>(SALES!$A:$A)</f>
        <v>Tuesday, 16 January 2024</v>
      </c>
      <c r="B562" s="1">
        <f>(SALES!$C:$C)</f>
        <v>30</v>
      </c>
      <c r="C562" s="1">
        <f>(SALES!$D:$D)</f>
        <v>1</v>
      </c>
      <c r="D562" s="1" t="str">
        <f>(SALES!$E:$E)</f>
        <v>GOAT</v>
      </c>
      <c r="E562" s="1">
        <f>(SALES!$F:$F)</f>
        <v>20000</v>
      </c>
      <c r="F562" s="1">
        <f>(SALES!$G:$G)</f>
        <v>20000</v>
      </c>
      <c r="P562" s="12"/>
      <c r="Q562" s="7"/>
      <c r="R562" s="16"/>
      <c r="S562" s="12"/>
      <c r="T562" s="12"/>
      <c r="U562" s="16"/>
    </row>
    <row r="563" spans="1:21" ht="18.75" customHeight="1" x14ac:dyDescent="0.3">
      <c r="A563" s="32" t="str">
        <f>(SALES!$A:$A)</f>
        <v>Tuesday, 16 January 2024</v>
      </c>
      <c r="B563" s="1">
        <f>(SALES!$C:$C)</f>
        <v>45</v>
      </c>
      <c r="C563" s="1">
        <f>(SALES!$D:$D)</f>
        <v>1</v>
      </c>
      <c r="D563" s="1" t="str">
        <f>(SALES!$E:$E)</f>
        <v>LOCAL EGGS</v>
      </c>
      <c r="E563" s="1">
        <f>(SALES!$F:$F)</f>
        <v>25000</v>
      </c>
      <c r="F563" s="1">
        <f>(SALES!$G:$G)</f>
        <v>25000</v>
      </c>
      <c r="P563" s="12"/>
      <c r="Q563" s="7"/>
      <c r="R563" s="16"/>
      <c r="S563" s="12"/>
      <c r="T563" s="12"/>
      <c r="U563" s="16"/>
    </row>
    <row r="564" spans="1:21" ht="18.75" customHeight="1" x14ac:dyDescent="0.3">
      <c r="A564" s="32" t="str">
        <f>(SALES!$A:$A)</f>
        <v>Tuesday, 16 January 2024</v>
      </c>
      <c r="B564" s="1">
        <f>(SALES!$C:$C)</f>
        <v>18</v>
      </c>
      <c r="C564" s="1">
        <f>(SALES!$D:$D)</f>
        <v>1</v>
      </c>
      <c r="D564" s="1" t="str">
        <f>(SALES!$E:$E)</f>
        <v>MATOOKE</v>
      </c>
      <c r="E564" s="1">
        <f>(SALES!$F:$F)</f>
        <v>24500</v>
      </c>
      <c r="F564" s="1">
        <f>(SALES!$G:$G)</f>
        <v>24500</v>
      </c>
      <c r="P564" s="12"/>
      <c r="Q564" s="7"/>
      <c r="R564" s="16"/>
      <c r="S564" s="12"/>
      <c r="T564" s="12"/>
      <c r="U564" s="16"/>
    </row>
    <row r="565" spans="1:21" ht="18.75" customHeight="1" x14ac:dyDescent="0.3">
      <c r="A565" s="32" t="str">
        <f>(SALES!$A:$A)</f>
        <v>Tuesday, 16 January 2024</v>
      </c>
      <c r="B565" s="1">
        <f>(SALES!$C:$C)</f>
        <v>26</v>
      </c>
      <c r="C565" s="1">
        <f>(SALES!$D:$D)</f>
        <v>2</v>
      </c>
      <c r="D565" s="1" t="str">
        <f>(SALES!$E:$E)</f>
        <v>MEAT BALLS</v>
      </c>
      <c r="E565" s="1">
        <f>(SALES!$F:$F)</f>
        <v>30000</v>
      </c>
      <c r="F565" s="1">
        <f>(SALES!$G:$G)</f>
        <v>60000</v>
      </c>
      <c r="P565" s="12"/>
      <c r="Q565" s="7"/>
      <c r="R565" s="16"/>
      <c r="S565" s="12"/>
      <c r="T565" s="12"/>
      <c r="U565" s="16"/>
    </row>
    <row r="566" spans="1:21" ht="18.75" customHeight="1" x14ac:dyDescent="0.3">
      <c r="A566" s="32" t="str">
        <f>(SALES!$A:$A)</f>
        <v>Tuesday, 16 January 2024</v>
      </c>
      <c r="B566" s="1">
        <f>(SALES!$C:$C)</f>
        <v>33</v>
      </c>
      <c r="C566" s="1">
        <f>(SALES!$D:$D)</f>
        <v>1</v>
      </c>
      <c r="D566" s="1" t="str">
        <f>(SALES!$E:$E)</f>
        <v>MATOOKE</v>
      </c>
      <c r="E566" s="1">
        <f>(SALES!$F:$F)</f>
        <v>11000</v>
      </c>
      <c r="F566" s="1">
        <f>(SALES!$G:$G)</f>
        <v>11000</v>
      </c>
      <c r="P566" s="12"/>
      <c r="Q566" s="7"/>
      <c r="R566" s="16"/>
      <c r="S566" s="12"/>
      <c r="T566" s="12"/>
      <c r="U566" s="16"/>
    </row>
    <row r="567" spans="1:21" ht="18.75" customHeight="1" x14ac:dyDescent="0.3">
      <c r="A567" s="32" t="str">
        <f>(SALES!$A:$A)</f>
        <v>Tuesday, 16 January 2024</v>
      </c>
      <c r="B567" s="1">
        <f>(SALES!$C:$C)</f>
        <v>34</v>
      </c>
      <c r="C567" s="1">
        <f>(SALES!$D:$D)</f>
        <v>2</v>
      </c>
      <c r="D567" s="1" t="str">
        <f>(SALES!$E:$E)</f>
        <v>MATOOKE</v>
      </c>
      <c r="E567" s="1">
        <f>(SALES!$F:$F)</f>
        <v>11000</v>
      </c>
      <c r="F567" s="1">
        <f>(SALES!$G:$G)</f>
        <v>22000</v>
      </c>
      <c r="P567" s="12"/>
      <c r="Q567" s="7"/>
      <c r="R567" s="16"/>
      <c r="S567" s="12"/>
      <c r="T567" s="12"/>
      <c r="U567" s="16"/>
    </row>
    <row r="568" spans="1:21" ht="18.75" customHeight="1" x14ac:dyDescent="0.3">
      <c r="A568" s="32" t="str">
        <f>(SALES!$A:$A)</f>
        <v>Tuesday, 16 January 2024</v>
      </c>
      <c r="B568" s="1">
        <f>(SALES!$C:$C)</f>
        <v>35</v>
      </c>
      <c r="C568" s="1">
        <f>(SALES!$D:$D)</f>
        <v>1</v>
      </c>
      <c r="D568" s="1" t="str">
        <f>(SALES!$E:$E)</f>
        <v>DOG MINCE</v>
      </c>
      <c r="E568" s="1">
        <f>(SALES!$F:$F)</f>
        <v>5000</v>
      </c>
      <c r="F568" s="1">
        <f>(SALES!$G:$G)</f>
        <v>5000</v>
      </c>
      <c r="P568" s="12"/>
      <c r="Q568" s="7"/>
      <c r="R568" s="16"/>
      <c r="S568" s="12"/>
      <c r="T568" s="12"/>
      <c r="U568" s="16"/>
    </row>
    <row r="569" spans="1:21" ht="18.75" customHeight="1" x14ac:dyDescent="0.3">
      <c r="A569" s="32" t="str">
        <f>(SALES!$A:$A)</f>
        <v>Tuesday, 16 January 2024</v>
      </c>
      <c r="B569" s="1">
        <f>(SALES!$C:$C)</f>
        <v>52</v>
      </c>
      <c r="C569" s="1">
        <f>(SALES!$D:$D)</f>
        <v>1</v>
      </c>
      <c r="D569" s="1" t="str">
        <f>(SALES!$E:$E)</f>
        <v>MATOOKE</v>
      </c>
      <c r="E569" s="1">
        <f>(SALES!$F:$F)</f>
        <v>14000</v>
      </c>
      <c r="F569" s="1">
        <f>(SALES!$G:$G)</f>
        <v>14000</v>
      </c>
      <c r="P569" s="12"/>
      <c r="Q569" s="7"/>
      <c r="R569" s="16"/>
      <c r="S569" s="12"/>
      <c r="T569" s="12"/>
      <c r="U569" s="16"/>
    </row>
    <row r="570" spans="1:21" ht="18.75" customHeight="1" x14ac:dyDescent="0.3">
      <c r="A570" s="32" t="str">
        <f>(SALES!$A:$A)</f>
        <v>Tuesday, 16 January 2024</v>
      </c>
      <c r="B570" s="1">
        <f>(SALES!$C:$C)</f>
        <v>53</v>
      </c>
      <c r="C570" s="1">
        <f>(SALES!$D:$D)</f>
        <v>1</v>
      </c>
      <c r="D570" s="1" t="str">
        <f>(SALES!$E:$E)</f>
        <v>BEEF</v>
      </c>
      <c r="E570" s="1">
        <f>(SALES!$F:$F)</f>
        <v>16000</v>
      </c>
      <c r="F570" s="1">
        <f>(SALES!$G:$G)</f>
        <v>16000</v>
      </c>
      <c r="P570" s="12"/>
      <c r="Q570" s="7"/>
      <c r="R570" s="16"/>
      <c r="S570" s="12"/>
      <c r="T570" s="12"/>
      <c r="U570" s="16"/>
    </row>
    <row r="571" spans="1:21" ht="18.75" customHeight="1" x14ac:dyDescent="0.3">
      <c r="A571" s="32">
        <f>(SALES!$A:$A)</f>
        <v>0</v>
      </c>
      <c r="B571" s="1">
        <f>(SALES!$C:$C)</f>
        <v>0</v>
      </c>
      <c r="C571" s="1">
        <f>(SALES!$D:$D)</f>
        <v>0</v>
      </c>
      <c r="D571" s="1">
        <f>(SALES!$E:$E)</f>
        <v>0</v>
      </c>
      <c r="E571" s="1">
        <f>(SALES!$F:$F)</f>
        <v>0</v>
      </c>
      <c r="F571" s="1">
        <f>(SALES!$G:$G)</f>
        <v>0</v>
      </c>
      <c r="P571" s="12"/>
      <c r="Q571" s="7"/>
      <c r="R571" s="16"/>
      <c r="S571" s="12"/>
      <c r="T571" s="12"/>
      <c r="U571" s="16"/>
    </row>
    <row r="572" spans="1:21" ht="18.75" customHeight="1" x14ac:dyDescent="0.3">
      <c r="A572" s="32">
        <f>(SALES!$A:$A)</f>
        <v>0</v>
      </c>
      <c r="B572" s="1">
        <f>(SALES!$C:$C)</f>
        <v>0</v>
      </c>
      <c r="C572" s="1">
        <f>(SALES!$D:$D)</f>
        <v>0</v>
      </c>
      <c r="D572" s="1">
        <f>(SALES!$E:$E)</f>
        <v>0</v>
      </c>
      <c r="E572" s="1">
        <f>(SALES!$F:$F)</f>
        <v>0</v>
      </c>
      <c r="F572" s="1">
        <f>(SALES!$G:$G)</f>
        <v>0</v>
      </c>
      <c r="P572" s="12"/>
      <c r="Q572" s="7"/>
      <c r="R572" s="16"/>
      <c r="S572" s="12"/>
      <c r="T572" s="12"/>
      <c r="U572" s="16"/>
    </row>
    <row r="573" spans="1:21" ht="18.75" customHeight="1" x14ac:dyDescent="0.3">
      <c r="A573" s="32">
        <f>(SALES!$A:$A)</f>
        <v>0</v>
      </c>
      <c r="B573" s="1">
        <f>(SALES!$C:$C)</f>
        <v>0</v>
      </c>
      <c r="C573" s="1">
        <f>(SALES!$D:$D)</f>
        <v>0</v>
      </c>
      <c r="D573" s="1">
        <f>(SALES!$E:$E)</f>
        <v>0</v>
      </c>
      <c r="E573" s="1">
        <f>(SALES!$F:$F)</f>
        <v>0</v>
      </c>
      <c r="F573" s="1">
        <f>(SALES!$G:$G)</f>
        <v>0</v>
      </c>
      <c r="P573" s="12"/>
      <c r="Q573" s="7"/>
      <c r="R573" s="16"/>
      <c r="S573" s="12"/>
      <c r="T573" s="12"/>
      <c r="U573" s="16"/>
    </row>
    <row r="574" spans="1:21" ht="18.75" customHeight="1" x14ac:dyDescent="0.3">
      <c r="A574" s="32">
        <f>(SALES!$A:$A)</f>
        <v>0</v>
      </c>
      <c r="B574" s="1">
        <f>(SALES!$C:$C)</f>
        <v>0</v>
      </c>
      <c r="C574" s="1">
        <f>(SALES!$D:$D)</f>
        <v>0</v>
      </c>
      <c r="D574" s="1">
        <f>(SALES!$E:$E)</f>
        <v>0</v>
      </c>
      <c r="E574" s="1">
        <f>(SALES!$F:$F)</f>
        <v>0</v>
      </c>
      <c r="F574" s="1">
        <f>(SALES!$G:$G)</f>
        <v>0</v>
      </c>
      <c r="P574" s="12"/>
      <c r="Q574" s="7"/>
      <c r="R574" s="16"/>
      <c r="S574" s="12"/>
      <c r="T574" s="12"/>
      <c r="U574" s="16"/>
    </row>
    <row r="575" spans="1:21" ht="18.75" customHeight="1" x14ac:dyDescent="0.3">
      <c r="A575" s="32"/>
      <c r="B575" s="1"/>
      <c r="C575" s="1"/>
      <c r="D575" s="1"/>
      <c r="E575" s="1"/>
      <c r="F575" s="1"/>
      <c r="P575" s="12"/>
      <c r="Q575" s="7"/>
      <c r="R575" s="16"/>
      <c r="S575" s="12"/>
      <c r="T575" s="12"/>
      <c r="U575" s="16"/>
    </row>
    <row r="576" spans="1:21" ht="18.75" customHeight="1" x14ac:dyDescent="0.3">
      <c r="A576" s="32"/>
      <c r="B576" s="1"/>
      <c r="C576" s="1"/>
      <c r="D576" s="1"/>
      <c r="E576" s="1"/>
      <c r="F576" s="1"/>
      <c r="P576" s="12"/>
      <c r="Q576" s="7"/>
      <c r="R576" s="16"/>
      <c r="S576" s="12"/>
      <c r="T576" s="12"/>
      <c r="U576" s="16"/>
    </row>
    <row r="577" spans="1:21" ht="18.75" customHeight="1" x14ac:dyDescent="0.3">
      <c r="A577" s="32"/>
      <c r="B577" s="1"/>
      <c r="C577" s="1"/>
      <c r="D577" s="1"/>
      <c r="E577" s="1"/>
      <c r="F577" s="1"/>
      <c r="P577" s="12"/>
      <c r="Q577" s="7"/>
      <c r="R577" s="16"/>
      <c r="S577" s="12"/>
      <c r="T577" s="12"/>
      <c r="U577" s="16"/>
    </row>
    <row r="578" spans="1:21" ht="18.75" customHeight="1" x14ac:dyDescent="0.3">
      <c r="A578" s="32"/>
      <c r="B578" s="1"/>
      <c r="C578" s="1"/>
      <c r="D578" s="1"/>
      <c r="E578" s="1"/>
      <c r="F578" s="1"/>
      <c r="P578" s="12"/>
      <c r="Q578" s="7"/>
      <c r="R578" s="16"/>
      <c r="S578" s="12"/>
      <c r="T578" s="12"/>
      <c r="U578" s="16"/>
    </row>
    <row r="579" spans="1:21" ht="18.75" customHeight="1" x14ac:dyDescent="0.3">
      <c r="A579" s="32"/>
      <c r="B579" s="1"/>
      <c r="C579" s="1"/>
      <c r="D579" s="1"/>
      <c r="E579" s="1"/>
      <c r="F579" s="1"/>
      <c r="P579" s="12"/>
      <c r="Q579" s="7"/>
      <c r="R579" s="16"/>
      <c r="S579" s="12"/>
      <c r="T579" s="12"/>
      <c r="U579" s="16"/>
    </row>
    <row r="580" spans="1:21" ht="18.75" customHeight="1" x14ac:dyDescent="0.3">
      <c r="A580" s="32"/>
      <c r="B580" s="1"/>
      <c r="C580" s="1"/>
      <c r="D580" s="1"/>
      <c r="E580" s="1"/>
      <c r="F580" s="1"/>
      <c r="P580" s="12"/>
      <c r="Q580" s="7"/>
      <c r="R580" s="17"/>
      <c r="U580" s="17"/>
    </row>
    <row r="581" spans="1:21" ht="18.75" customHeight="1" x14ac:dyDescent="0.3">
      <c r="A581" s="32"/>
      <c r="B581" s="1"/>
      <c r="C581" s="1"/>
      <c r="D581" s="1"/>
      <c r="E581" s="1"/>
      <c r="F581" s="1"/>
      <c r="P581" s="12"/>
      <c r="Q581" s="7"/>
      <c r="R581" s="16"/>
      <c r="S581" s="12"/>
      <c r="T581" s="12"/>
      <c r="U581" s="16"/>
    </row>
    <row r="582" spans="1:21" ht="18.75" customHeight="1" x14ac:dyDescent="0.3">
      <c r="A582" s="32"/>
      <c r="B582" s="1"/>
      <c r="C582" s="1"/>
      <c r="D582" s="1"/>
      <c r="E582" s="1"/>
      <c r="F582" s="1"/>
      <c r="P582" s="12"/>
      <c r="Q582" s="7"/>
      <c r="R582" s="16"/>
      <c r="S582" s="12"/>
      <c r="T582" s="12"/>
      <c r="U582" s="16"/>
    </row>
    <row r="583" spans="1:21" ht="18.75" customHeight="1" x14ac:dyDescent="0.3">
      <c r="A583" s="32"/>
      <c r="B583" s="1"/>
      <c r="C583" s="1"/>
      <c r="D583" s="1"/>
      <c r="E583" s="1"/>
      <c r="F583" s="1"/>
      <c r="P583" s="12"/>
      <c r="Q583" s="7"/>
      <c r="R583" s="16"/>
      <c r="S583" s="12"/>
      <c r="T583" s="12"/>
      <c r="U583" s="16"/>
    </row>
    <row r="584" spans="1:21" ht="18.75" customHeight="1" x14ac:dyDescent="0.3">
      <c r="A584" s="32"/>
      <c r="B584" s="1"/>
      <c r="C584" s="1"/>
      <c r="D584" s="1"/>
      <c r="E584" s="1"/>
      <c r="F584" s="1"/>
      <c r="P584" s="12"/>
      <c r="Q584" s="7"/>
      <c r="R584" s="16"/>
      <c r="S584" s="12"/>
      <c r="T584" s="12"/>
      <c r="U584" s="16"/>
    </row>
    <row r="585" spans="1:21" ht="18.75" customHeight="1" x14ac:dyDescent="0.3">
      <c r="A585" s="32"/>
      <c r="B585" s="1"/>
      <c r="C585" s="1"/>
      <c r="D585" s="1"/>
      <c r="E585" s="1"/>
      <c r="F585" s="1"/>
      <c r="P585" s="12"/>
      <c r="Q585" s="7"/>
      <c r="R585" s="16"/>
      <c r="S585" s="12"/>
      <c r="T585" s="12"/>
      <c r="U585" s="16"/>
    </row>
    <row r="586" spans="1:21" ht="18.75" customHeight="1" x14ac:dyDescent="0.3">
      <c r="A586" s="32"/>
      <c r="B586" s="1"/>
      <c r="C586" s="1"/>
      <c r="D586" s="1"/>
      <c r="E586" s="1"/>
      <c r="F586" s="1"/>
      <c r="P586" s="12"/>
      <c r="Q586" s="7"/>
      <c r="R586" s="16"/>
      <c r="S586" s="12"/>
      <c r="T586" s="12"/>
      <c r="U586" s="16"/>
    </row>
    <row r="587" spans="1:21" ht="18.75" customHeight="1" x14ac:dyDescent="0.3">
      <c r="A587" s="32"/>
      <c r="B587" s="1"/>
      <c r="C587" s="1"/>
      <c r="D587" s="1"/>
      <c r="E587" s="1"/>
      <c r="F587" s="1"/>
      <c r="P587" s="12"/>
      <c r="Q587" s="7"/>
      <c r="R587" s="16"/>
      <c r="S587" s="12"/>
      <c r="T587" s="12"/>
      <c r="U587" s="16"/>
    </row>
    <row r="588" spans="1:21" ht="18.75" customHeight="1" x14ac:dyDescent="0.3">
      <c r="A588" s="32"/>
      <c r="B588" s="1"/>
      <c r="C588" s="1"/>
      <c r="D588" s="1"/>
      <c r="E588" s="1"/>
      <c r="F588" s="1"/>
      <c r="P588" s="12"/>
      <c r="Q588" s="7"/>
      <c r="R588" s="16"/>
      <c r="S588" s="12"/>
      <c r="T588" s="12"/>
      <c r="U588" s="16"/>
    </row>
    <row r="589" spans="1:21" ht="18.75" customHeight="1" x14ac:dyDescent="0.3">
      <c r="A589" s="32"/>
      <c r="B589" s="1"/>
      <c r="C589" s="1"/>
      <c r="D589" s="1"/>
      <c r="E589" s="1"/>
      <c r="F589" s="1"/>
      <c r="P589" s="12"/>
      <c r="Q589" s="7"/>
      <c r="R589" s="16"/>
      <c r="S589" s="12"/>
      <c r="T589" s="12"/>
      <c r="U589" s="16"/>
    </row>
    <row r="590" spans="1:21" ht="18.75" customHeight="1" x14ac:dyDescent="0.3">
      <c r="A590" s="32"/>
      <c r="B590" s="1"/>
      <c r="C590" s="1"/>
      <c r="D590" s="1"/>
      <c r="E590" s="1"/>
      <c r="F590" s="1"/>
      <c r="P590" s="12"/>
      <c r="Q590" s="7"/>
      <c r="R590" s="16"/>
      <c r="S590" s="12"/>
      <c r="T590" s="12"/>
      <c r="U590" s="16"/>
    </row>
    <row r="591" spans="1:21" ht="18.75" customHeight="1" x14ac:dyDescent="0.3">
      <c r="A591" s="32"/>
      <c r="B591" s="1"/>
      <c r="C591" s="1"/>
      <c r="D591" s="1"/>
      <c r="E591" s="1"/>
      <c r="F591" s="1"/>
      <c r="P591" s="12"/>
      <c r="Q591" s="7"/>
      <c r="R591" s="16"/>
      <c r="S591" s="12"/>
      <c r="T591" s="12"/>
      <c r="U591" s="16"/>
    </row>
    <row r="592" spans="1:21" ht="18.75" customHeight="1" x14ac:dyDescent="0.3">
      <c r="A592" s="32"/>
      <c r="B592" s="1"/>
      <c r="C592" s="1"/>
      <c r="D592" s="1"/>
      <c r="E592" s="1"/>
      <c r="F592" s="1"/>
      <c r="P592" s="12"/>
      <c r="Q592" s="7"/>
      <c r="R592" s="16"/>
      <c r="S592" s="12"/>
      <c r="T592" s="12"/>
      <c r="U592" s="16"/>
    </row>
    <row r="593" spans="1:21" ht="18.75" customHeight="1" x14ac:dyDescent="0.3">
      <c r="A593" s="32"/>
      <c r="B593" s="1"/>
      <c r="C593" s="1"/>
      <c r="D593" s="1"/>
      <c r="E593" s="1"/>
      <c r="F593" s="1"/>
      <c r="P593" s="12"/>
      <c r="Q593" s="7"/>
      <c r="R593" s="16"/>
      <c r="S593" s="12"/>
      <c r="T593" s="12"/>
      <c r="U593" s="16"/>
    </row>
    <row r="594" spans="1:21" ht="18.75" customHeight="1" x14ac:dyDescent="0.3">
      <c r="A594" s="32"/>
      <c r="B594" s="1"/>
      <c r="C594" s="1"/>
      <c r="D594" s="1"/>
      <c r="E594" s="1"/>
      <c r="F594" s="1"/>
      <c r="P594" s="12"/>
      <c r="Q594" s="7"/>
      <c r="R594" s="16"/>
      <c r="S594" s="12"/>
      <c r="T594" s="12"/>
      <c r="U594" s="16"/>
    </row>
    <row r="595" spans="1:21" ht="18.75" customHeight="1" x14ac:dyDescent="0.3">
      <c r="A595" s="32"/>
      <c r="B595" s="1"/>
      <c r="C595" s="1"/>
      <c r="D595" s="1"/>
      <c r="E595" s="1"/>
      <c r="F595" s="1"/>
      <c r="P595" s="12"/>
      <c r="Q595" s="7"/>
      <c r="R595" s="16"/>
      <c r="S595" s="12"/>
      <c r="T595" s="12"/>
      <c r="U595" s="16"/>
    </row>
    <row r="596" spans="1:21" ht="18.75" customHeight="1" x14ac:dyDescent="0.3">
      <c r="A596" s="32"/>
      <c r="B596" s="1"/>
      <c r="C596" s="1"/>
      <c r="D596" s="1"/>
      <c r="E596" s="1"/>
      <c r="F596" s="1"/>
      <c r="P596" s="12"/>
      <c r="Q596" s="7"/>
      <c r="R596" s="16"/>
      <c r="S596" s="12"/>
      <c r="T596" s="12"/>
      <c r="U596" s="16"/>
    </row>
    <row r="597" spans="1:21" ht="18.75" customHeight="1" x14ac:dyDescent="0.3">
      <c r="A597" s="32"/>
      <c r="B597" s="1"/>
      <c r="C597" s="1"/>
      <c r="D597" s="1"/>
      <c r="E597" s="1"/>
      <c r="F597" s="1"/>
      <c r="P597" s="12"/>
      <c r="Q597" s="7"/>
      <c r="R597" s="16"/>
      <c r="S597" s="12"/>
      <c r="T597" s="12"/>
      <c r="U597" s="16"/>
    </row>
    <row r="598" spans="1:21" ht="18.75" customHeight="1" x14ac:dyDescent="0.3">
      <c r="A598" s="32"/>
      <c r="B598" s="1"/>
      <c r="C598" s="1"/>
      <c r="D598" s="1"/>
      <c r="E598" s="1"/>
      <c r="F598" s="1"/>
      <c r="P598" s="12"/>
      <c r="Q598" s="7"/>
      <c r="R598" s="16"/>
      <c r="S598" s="12"/>
      <c r="T598" s="12"/>
      <c r="U598" s="16"/>
    </row>
    <row r="599" spans="1:21" ht="18.75" customHeight="1" x14ac:dyDescent="0.3">
      <c r="A599" s="32"/>
      <c r="B599" s="1"/>
      <c r="C599" s="1"/>
      <c r="D599" s="1"/>
      <c r="E599" s="1"/>
      <c r="F599" s="1"/>
      <c r="P599" s="12"/>
      <c r="Q599" s="7"/>
      <c r="R599" s="16"/>
      <c r="S599" s="12"/>
      <c r="T599" s="12"/>
      <c r="U599" s="16"/>
    </row>
    <row r="600" spans="1:21" ht="18.75" customHeight="1" x14ac:dyDescent="0.3">
      <c r="A600" s="32"/>
      <c r="B600" s="1"/>
      <c r="C600" s="1"/>
      <c r="D600" s="1"/>
      <c r="E600" s="1"/>
      <c r="F600" s="1"/>
      <c r="P600" s="12"/>
      <c r="Q600" s="7"/>
      <c r="R600" s="16"/>
      <c r="S600" s="12"/>
      <c r="T600" s="12"/>
      <c r="U600" s="16"/>
    </row>
    <row r="601" spans="1:21" ht="18.75" customHeight="1" x14ac:dyDescent="0.3">
      <c r="A601" s="32"/>
      <c r="B601" s="1"/>
      <c r="C601" s="1"/>
      <c r="D601" s="1"/>
      <c r="E601" s="1"/>
      <c r="F601" s="1"/>
      <c r="P601" s="12"/>
      <c r="Q601" s="7"/>
      <c r="R601" s="16"/>
      <c r="S601" s="12"/>
      <c r="T601" s="12"/>
      <c r="U601" s="16"/>
    </row>
    <row r="602" spans="1:21" ht="18.75" customHeight="1" x14ac:dyDescent="0.3">
      <c r="A602" s="32"/>
      <c r="B602" s="1"/>
      <c r="C602" s="1"/>
      <c r="D602" s="1"/>
      <c r="E602" s="1"/>
      <c r="F602" s="1"/>
      <c r="P602" s="12"/>
      <c r="Q602" s="7"/>
      <c r="R602" s="16"/>
      <c r="S602" s="12"/>
      <c r="T602" s="12"/>
      <c r="U602" s="16"/>
    </row>
    <row r="603" spans="1:21" ht="18.75" customHeight="1" x14ac:dyDescent="0.3">
      <c r="A603" s="32"/>
      <c r="B603" s="1"/>
      <c r="C603" s="1"/>
      <c r="D603" s="1"/>
      <c r="E603" s="1"/>
      <c r="F603" s="1"/>
      <c r="P603" s="12"/>
      <c r="Q603" s="7"/>
      <c r="R603" s="16"/>
      <c r="S603" s="12"/>
      <c r="T603" s="12"/>
      <c r="U603" s="16"/>
    </row>
    <row r="604" spans="1:21" ht="18.75" customHeight="1" x14ac:dyDescent="0.3">
      <c r="A604" s="32"/>
      <c r="B604" s="1"/>
      <c r="C604" s="1"/>
      <c r="D604" s="1"/>
      <c r="E604" s="1"/>
      <c r="F604" s="1"/>
      <c r="P604" s="12"/>
      <c r="Q604" s="7"/>
      <c r="R604" s="16"/>
      <c r="S604" s="12"/>
      <c r="T604" s="12"/>
      <c r="U604" s="16"/>
    </row>
    <row r="605" spans="1:21" ht="18.75" customHeight="1" x14ac:dyDescent="0.3">
      <c r="A605" s="32"/>
      <c r="B605" s="1"/>
      <c r="C605" s="1"/>
      <c r="D605" s="1"/>
      <c r="E605" s="1"/>
      <c r="F605" s="1"/>
      <c r="P605" s="12"/>
      <c r="Q605" s="7"/>
      <c r="R605" s="16"/>
      <c r="S605" s="12"/>
      <c r="T605" s="12"/>
      <c r="U605" s="16"/>
    </row>
    <row r="606" spans="1:21" ht="18.75" customHeight="1" x14ac:dyDescent="0.3">
      <c r="A606" s="32"/>
      <c r="B606" s="1"/>
      <c r="C606" s="1"/>
      <c r="D606" s="1"/>
      <c r="E606" s="1"/>
      <c r="F606" s="1"/>
      <c r="P606" s="12"/>
      <c r="Q606" s="7"/>
      <c r="R606" s="16"/>
      <c r="S606" s="12"/>
      <c r="T606" s="12"/>
      <c r="U606" s="16"/>
    </row>
    <row r="607" spans="1:21" ht="18.75" customHeight="1" x14ac:dyDescent="0.3">
      <c r="A607" s="32"/>
      <c r="B607" s="1"/>
      <c r="C607" s="1"/>
      <c r="D607" s="1"/>
      <c r="E607" s="1"/>
      <c r="F607" s="1"/>
      <c r="P607" s="12"/>
      <c r="Q607" s="7"/>
      <c r="R607" s="19"/>
      <c r="T607" s="4"/>
      <c r="U607" s="19"/>
    </row>
    <row r="608" spans="1:21" ht="18.75" customHeight="1" x14ac:dyDescent="0.3">
      <c r="A608" s="32"/>
      <c r="B608" s="1"/>
      <c r="C608" s="1"/>
      <c r="D608" s="1"/>
      <c r="E608" s="1"/>
      <c r="F608" s="1"/>
      <c r="P608" s="12"/>
      <c r="Q608" s="7"/>
      <c r="R608" s="16"/>
      <c r="S608" s="12"/>
      <c r="T608" s="12"/>
      <c r="U608" s="16"/>
    </row>
    <row r="609" spans="1:21" ht="18.75" customHeight="1" x14ac:dyDescent="0.3">
      <c r="A609" s="32"/>
      <c r="B609" s="1"/>
      <c r="C609" s="1"/>
      <c r="D609" s="1"/>
      <c r="E609" s="1"/>
      <c r="F609" s="1"/>
      <c r="P609" s="12"/>
      <c r="Q609" s="7"/>
      <c r="R609" s="16"/>
      <c r="S609" s="12"/>
      <c r="T609" s="12"/>
      <c r="U609" s="16"/>
    </row>
    <row r="610" spans="1:21" ht="18.75" customHeight="1" x14ac:dyDescent="0.3">
      <c r="A610" s="32"/>
      <c r="B610" s="1"/>
      <c r="C610" s="1"/>
      <c r="D610" s="1"/>
      <c r="E610" s="1"/>
      <c r="F610" s="1"/>
      <c r="P610" s="12"/>
      <c r="Q610" s="7"/>
      <c r="R610" s="16"/>
      <c r="S610" s="12"/>
      <c r="T610" s="12"/>
      <c r="U610" s="16"/>
    </row>
    <row r="611" spans="1:21" ht="18.75" customHeight="1" x14ac:dyDescent="0.3">
      <c r="A611" s="32"/>
      <c r="B611" s="1"/>
      <c r="C611" s="1"/>
      <c r="D611" s="1"/>
      <c r="E611" s="1"/>
      <c r="F611" s="1"/>
      <c r="P611" s="12"/>
      <c r="Q611" s="7"/>
      <c r="R611" s="16"/>
      <c r="S611" s="12"/>
      <c r="T611" s="12"/>
      <c r="U611" s="16"/>
    </row>
    <row r="612" spans="1:21" ht="18.75" customHeight="1" x14ac:dyDescent="0.3">
      <c r="A612" s="32"/>
      <c r="B612" s="1"/>
      <c r="C612" s="1"/>
      <c r="D612" s="1"/>
      <c r="E612" s="1"/>
      <c r="F612" s="1"/>
      <c r="P612" s="12"/>
      <c r="Q612" s="7"/>
      <c r="R612" s="16"/>
      <c r="S612" s="12"/>
      <c r="T612" s="12"/>
      <c r="U612" s="16"/>
    </row>
    <row r="613" spans="1:21" ht="18.75" customHeight="1" x14ac:dyDescent="0.3">
      <c r="A613" s="32"/>
      <c r="B613" s="1"/>
      <c r="C613" s="1"/>
      <c r="D613" s="1"/>
      <c r="E613" s="1"/>
      <c r="F613" s="1"/>
      <c r="P613" s="12"/>
      <c r="Q613" s="7"/>
      <c r="R613" s="16"/>
      <c r="S613" s="12"/>
      <c r="T613" s="12"/>
      <c r="U613" s="16"/>
    </row>
    <row r="614" spans="1:21" ht="18.75" customHeight="1" x14ac:dyDescent="0.3">
      <c r="A614" s="32"/>
      <c r="B614" s="1"/>
      <c r="C614" s="1"/>
      <c r="D614" s="1"/>
      <c r="E614" s="1"/>
      <c r="F614" s="1"/>
      <c r="P614" s="12"/>
      <c r="Q614" s="7"/>
      <c r="R614" s="16"/>
      <c r="S614" s="12"/>
      <c r="T614" s="12"/>
      <c r="U614" s="16"/>
    </row>
    <row r="615" spans="1:21" ht="18.75" customHeight="1" x14ac:dyDescent="0.3">
      <c r="A615" s="32"/>
      <c r="B615" s="1"/>
      <c r="C615" s="1"/>
      <c r="D615" s="1"/>
      <c r="E615" s="1"/>
      <c r="F615" s="1"/>
      <c r="P615" s="12"/>
      <c r="Q615" s="7"/>
      <c r="R615" s="16"/>
      <c r="S615" s="12"/>
      <c r="T615" s="12"/>
      <c r="U615" s="16"/>
    </row>
    <row r="616" spans="1:21" ht="18.75" customHeight="1" x14ac:dyDescent="0.3">
      <c r="A616" s="32"/>
      <c r="B616" s="1"/>
      <c r="C616" s="1"/>
      <c r="D616" s="1"/>
      <c r="E616" s="1"/>
      <c r="F616" s="1"/>
      <c r="P616" s="12"/>
      <c r="Q616" s="7"/>
      <c r="R616" s="16"/>
      <c r="S616" s="12"/>
      <c r="T616" s="12"/>
      <c r="U616" s="16"/>
    </row>
    <row r="617" spans="1:21" ht="18.75" customHeight="1" x14ac:dyDescent="0.3">
      <c r="A617" s="32"/>
      <c r="B617" s="1"/>
      <c r="C617" s="1"/>
      <c r="D617" s="1"/>
      <c r="E617" s="1"/>
      <c r="F617" s="1"/>
      <c r="P617" s="12"/>
      <c r="Q617" s="7"/>
      <c r="R617" s="16"/>
      <c r="S617" s="12"/>
      <c r="T617" s="12"/>
      <c r="U617" s="16"/>
    </row>
    <row r="618" spans="1:21" ht="18.75" customHeight="1" x14ac:dyDescent="0.3">
      <c r="A618" s="32"/>
      <c r="B618" s="1"/>
      <c r="C618" s="1"/>
      <c r="D618" s="1"/>
      <c r="E618" s="1"/>
      <c r="F618" s="1"/>
      <c r="P618" s="12"/>
      <c r="Q618" s="7"/>
      <c r="R618" s="16"/>
      <c r="S618" s="12"/>
      <c r="T618" s="12"/>
      <c r="U618" s="16"/>
    </row>
    <row r="619" spans="1:21" ht="18.75" customHeight="1" x14ac:dyDescent="0.3">
      <c r="A619" s="32"/>
      <c r="B619" s="1"/>
      <c r="C619" s="1"/>
      <c r="D619" s="1"/>
      <c r="E619" s="1"/>
      <c r="F619" s="1"/>
      <c r="P619" s="12"/>
      <c r="Q619" s="7"/>
      <c r="R619" s="16"/>
      <c r="S619" s="12"/>
      <c r="T619" s="12"/>
      <c r="U619" s="16"/>
    </row>
    <row r="620" spans="1:21" ht="18.75" customHeight="1" x14ac:dyDescent="0.3">
      <c r="A620" s="32"/>
      <c r="B620" s="1"/>
      <c r="C620" s="1"/>
      <c r="D620" s="1"/>
      <c r="E620" s="1"/>
      <c r="F620" s="1"/>
      <c r="P620" s="12"/>
      <c r="Q620" s="7"/>
      <c r="R620" s="16"/>
      <c r="S620" s="12"/>
      <c r="T620" s="12"/>
      <c r="U620" s="16"/>
    </row>
    <row r="621" spans="1:21" ht="18.75" customHeight="1" x14ac:dyDescent="0.3">
      <c r="A621" s="32"/>
      <c r="B621" s="1"/>
      <c r="C621" s="1"/>
      <c r="D621" s="1"/>
      <c r="E621" s="1"/>
      <c r="F621" s="1"/>
      <c r="P621" s="12"/>
      <c r="Q621" s="7"/>
      <c r="R621" s="16"/>
      <c r="S621" s="12"/>
      <c r="T621" s="12"/>
      <c r="U621" s="16"/>
    </row>
    <row r="622" spans="1:21" ht="18.75" customHeight="1" x14ac:dyDescent="0.3">
      <c r="A622" s="32"/>
      <c r="B622" s="1"/>
      <c r="C622" s="1"/>
      <c r="D622" s="1"/>
      <c r="E622" s="1"/>
      <c r="F622" s="1"/>
      <c r="P622" s="12"/>
      <c r="Q622" s="7"/>
      <c r="R622" s="16"/>
      <c r="S622" s="12"/>
      <c r="T622" s="12"/>
      <c r="U622" s="16"/>
    </row>
    <row r="623" spans="1:21" ht="18.75" customHeight="1" x14ac:dyDescent="0.3">
      <c r="A623" s="32"/>
      <c r="B623" s="1"/>
      <c r="C623" s="1"/>
      <c r="D623" s="1"/>
      <c r="E623" s="1"/>
      <c r="F623" s="1"/>
      <c r="P623" s="14"/>
      <c r="Q623" s="7"/>
      <c r="R623" s="12"/>
      <c r="S623" s="12"/>
      <c r="U623" s="12"/>
    </row>
    <row r="624" spans="1:21" ht="18.75" customHeight="1" x14ac:dyDescent="0.3">
      <c r="A624" s="32"/>
      <c r="B624" s="1"/>
      <c r="C624" s="1"/>
      <c r="D624" s="1"/>
      <c r="E624" s="1"/>
      <c r="F624" s="1"/>
      <c r="P624" s="14"/>
      <c r="Q624" s="7"/>
      <c r="R624" s="12"/>
      <c r="S624" s="12"/>
      <c r="U624" s="12"/>
    </row>
    <row r="625" spans="1:21" ht="18.75" customHeight="1" x14ac:dyDescent="0.3">
      <c r="A625" s="32"/>
      <c r="B625" s="1"/>
      <c r="C625" s="1"/>
      <c r="D625" s="1"/>
      <c r="E625" s="1"/>
      <c r="F625" s="1"/>
      <c r="P625" s="14"/>
      <c r="Q625" s="7"/>
      <c r="R625" s="12"/>
      <c r="S625" s="12"/>
      <c r="U625" s="12"/>
    </row>
    <row r="626" spans="1:21" ht="18.75" customHeight="1" x14ac:dyDescent="0.3">
      <c r="A626" s="32"/>
      <c r="B626" s="1"/>
      <c r="C626" s="1"/>
      <c r="D626" s="1"/>
      <c r="E626" s="1"/>
      <c r="F626" s="1"/>
      <c r="P626" s="14"/>
      <c r="Q626" s="7"/>
      <c r="R626" s="12"/>
      <c r="S626" s="12"/>
      <c r="U626" s="12"/>
    </row>
    <row r="627" spans="1:21" ht="18.75" customHeight="1" x14ac:dyDescent="0.3">
      <c r="A627" s="32"/>
      <c r="B627" s="1"/>
      <c r="C627" s="1"/>
      <c r="D627" s="1"/>
      <c r="E627" s="1"/>
      <c r="F627" s="1"/>
      <c r="P627" s="14"/>
      <c r="Q627" s="7"/>
      <c r="R627" s="12"/>
      <c r="S627" s="12"/>
      <c r="U627" s="12"/>
    </row>
    <row r="628" spans="1:21" ht="18.75" customHeight="1" x14ac:dyDescent="0.3">
      <c r="A628" s="32"/>
      <c r="B628" s="1"/>
      <c r="C628" s="1"/>
      <c r="D628" s="1"/>
      <c r="E628" s="1"/>
      <c r="F628" s="1"/>
      <c r="P628" s="14"/>
      <c r="Q628" s="7"/>
      <c r="R628" s="12"/>
      <c r="S628" s="12"/>
      <c r="U628" s="12"/>
    </row>
    <row r="629" spans="1:21" ht="18.75" customHeight="1" x14ac:dyDescent="0.3">
      <c r="A629" s="32"/>
      <c r="B629" s="1"/>
      <c r="C629" s="1"/>
      <c r="D629" s="1"/>
      <c r="E629" s="1"/>
      <c r="F629" s="1"/>
      <c r="P629" s="14"/>
      <c r="Q629" s="7"/>
      <c r="R629" s="12"/>
      <c r="S629" s="12"/>
      <c r="U629" s="12"/>
    </row>
    <row r="630" spans="1:21" ht="18.75" customHeight="1" x14ac:dyDescent="0.3">
      <c r="A630" s="32"/>
      <c r="B630" s="1"/>
      <c r="C630" s="1"/>
      <c r="D630" s="1"/>
      <c r="E630" s="1"/>
      <c r="F630" s="1"/>
      <c r="P630" s="14"/>
      <c r="Q630" s="7"/>
      <c r="R630" s="12"/>
      <c r="S630" s="12"/>
      <c r="U630" s="12"/>
    </row>
    <row r="631" spans="1:21" ht="18.75" customHeight="1" x14ac:dyDescent="0.3">
      <c r="A631" s="32"/>
      <c r="B631" s="1"/>
      <c r="C631" s="1"/>
      <c r="D631" s="1"/>
      <c r="E631" s="1"/>
      <c r="F631" s="1"/>
      <c r="P631" s="14"/>
      <c r="Q631" s="7"/>
      <c r="R631" s="12"/>
      <c r="S631" s="12"/>
      <c r="U631" s="12"/>
    </row>
    <row r="632" spans="1:21" ht="18.75" customHeight="1" x14ac:dyDescent="0.3">
      <c r="A632" s="32"/>
      <c r="B632" s="1"/>
      <c r="C632" s="1"/>
      <c r="D632" s="1"/>
      <c r="E632" s="1"/>
      <c r="F632" s="1"/>
      <c r="P632" s="14"/>
      <c r="Q632" s="7"/>
      <c r="R632" s="12"/>
      <c r="S632" s="12"/>
      <c r="U632" s="12"/>
    </row>
    <row r="633" spans="1:21" ht="18.75" customHeight="1" x14ac:dyDescent="0.3">
      <c r="A633" s="32"/>
      <c r="B633" s="1"/>
      <c r="C633" s="1"/>
      <c r="D633" s="1"/>
      <c r="E633" s="1"/>
      <c r="F633" s="1"/>
      <c r="P633" s="14"/>
      <c r="Q633" s="7"/>
      <c r="R633" s="12"/>
      <c r="S633" s="12"/>
      <c r="U633" s="12"/>
    </row>
    <row r="634" spans="1:21" ht="18.75" customHeight="1" x14ac:dyDescent="0.3">
      <c r="A634" s="32"/>
      <c r="B634" s="1"/>
      <c r="C634" s="1"/>
      <c r="D634" s="1"/>
      <c r="E634" s="1"/>
      <c r="F634" s="1"/>
      <c r="P634" s="14"/>
      <c r="Q634" s="7"/>
      <c r="R634" s="12"/>
      <c r="S634" s="12"/>
      <c r="U634" s="12"/>
    </row>
    <row r="635" spans="1:21" ht="18.75" customHeight="1" x14ac:dyDescent="0.3">
      <c r="A635" s="32"/>
      <c r="B635" s="1"/>
      <c r="C635" s="1"/>
      <c r="D635" s="1"/>
      <c r="E635" s="1"/>
      <c r="F635" s="1"/>
      <c r="P635" s="14"/>
      <c r="Q635" s="7"/>
      <c r="R635" s="12"/>
      <c r="S635" s="12"/>
      <c r="U635" s="12"/>
    </row>
    <row r="636" spans="1:21" ht="18.75" customHeight="1" x14ac:dyDescent="0.3">
      <c r="A636" s="32"/>
      <c r="B636" s="1"/>
      <c r="C636" s="1"/>
      <c r="D636" s="1"/>
      <c r="E636" s="1"/>
      <c r="F636" s="1"/>
      <c r="P636" s="14"/>
      <c r="Q636" s="7"/>
      <c r="R636" s="12"/>
      <c r="S636" s="12"/>
      <c r="U636" s="12"/>
    </row>
    <row r="637" spans="1:21" ht="18.75" customHeight="1" x14ac:dyDescent="0.3">
      <c r="A637" s="32"/>
      <c r="B637" s="1"/>
      <c r="C637" s="1"/>
      <c r="D637" s="1"/>
      <c r="E637" s="1"/>
      <c r="F637" s="1"/>
      <c r="P637" s="14"/>
      <c r="Q637" s="7"/>
      <c r="R637" s="12"/>
      <c r="S637" s="12"/>
      <c r="U637" s="12"/>
    </row>
    <row r="638" spans="1:21" ht="18.75" customHeight="1" x14ac:dyDescent="0.3">
      <c r="A638" s="32"/>
      <c r="B638" s="1"/>
      <c r="C638" s="1"/>
      <c r="D638" s="1"/>
      <c r="E638" s="1"/>
      <c r="F638" s="1"/>
      <c r="P638" s="14"/>
      <c r="Q638" s="7"/>
      <c r="R638" s="12"/>
      <c r="S638" s="12"/>
      <c r="U638" s="12"/>
    </row>
    <row r="639" spans="1:21" ht="18.75" customHeight="1" x14ac:dyDescent="0.3">
      <c r="A639" s="32"/>
      <c r="B639" s="1"/>
      <c r="C639" s="1"/>
      <c r="D639" s="1"/>
      <c r="E639" s="1"/>
      <c r="F639" s="1"/>
      <c r="P639" s="14"/>
      <c r="Q639" s="7"/>
      <c r="R639" s="12"/>
      <c r="S639" s="12"/>
      <c r="U639" s="12"/>
    </row>
    <row r="640" spans="1:21" ht="18.75" customHeight="1" x14ac:dyDescent="0.3">
      <c r="A640" s="32"/>
      <c r="B640" s="1"/>
      <c r="C640" s="1"/>
      <c r="D640" s="1"/>
      <c r="E640" s="1"/>
      <c r="F640" s="1"/>
      <c r="P640" s="14"/>
      <c r="Q640" s="7"/>
      <c r="R640" s="12"/>
      <c r="S640" s="12"/>
      <c r="U640" s="12"/>
    </row>
    <row r="641" spans="1:21" ht="18.75" customHeight="1" x14ac:dyDescent="0.3">
      <c r="A641" s="32"/>
      <c r="B641" s="1"/>
      <c r="C641" s="1"/>
      <c r="D641" s="1"/>
      <c r="E641" s="1"/>
      <c r="F641" s="1"/>
      <c r="P641" s="14"/>
      <c r="Q641" s="7"/>
      <c r="R641" s="12"/>
      <c r="S641" s="12"/>
      <c r="U641" s="12"/>
    </row>
    <row r="642" spans="1:21" ht="18.75" customHeight="1" x14ac:dyDescent="0.3">
      <c r="A642" s="32"/>
      <c r="B642" s="1"/>
      <c r="C642" s="1"/>
      <c r="D642" s="1"/>
      <c r="E642" s="1"/>
      <c r="F642" s="1"/>
      <c r="P642" s="14"/>
      <c r="Q642" s="7"/>
      <c r="R642" s="12"/>
      <c r="S642" s="12"/>
      <c r="U642" s="12"/>
    </row>
    <row r="643" spans="1:21" ht="18.75" customHeight="1" x14ac:dyDescent="0.3">
      <c r="A643" s="32"/>
      <c r="B643" s="1"/>
      <c r="C643" s="1"/>
      <c r="D643" s="1"/>
      <c r="E643" s="1"/>
      <c r="F643" s="1"/>
      <c r="P643" s="14"/>
      <c r="Q643" s="7"/>
      <c r="R643" s="12"/>
      <c r="S643" s="12"/>
      <c r="U643" s="12"/>
    </row>
    <row r="644" spans="1:21" ht="18.75" customHeight="1" x14ac:dyDescent="0.3">
      <c r="A644" s="32"/>
      <c r="B644" s="1"/>
      <c r="C644" s="1"/>
      <c r="D644" s="1"/>
      <c r="E644" s="1"/>
      <c r="F644" s="1"/>
      <c r="P644" s="14"/>
      <c r="Q644" s="7"/>
      <c r="R644" s="12"/>
      <c r="S644" s="12"/>
      <c r="U644" s="12"/>
    </row>
    <row r="645" spans="1:21" ht="18.75" customHeight="1" x14ac:dyDescent="0.3">
      <c r="A645" s="32"/>
      <c r="B645" s="1"/>
      <c r="C645" s="1"/>
      <c r="D645" s="1"/>
      <c r="E645" s="1"/>
      <c r="F645" s="1"/>
      <c r="P645" s="14"/>
      <c r="Q645" s="7"/>
      <c r="R645" s="12"/>
      <c r="S645" s="12"/>
      <c r="U645" s="12"/>
    </row>
    <row r="646" spans="1:21" ht="18.75" customHeight="1" x14ac:dyDescent="0.3">
      <c r="A646" s="32"/>
      <c r="B646" s="1"/>
      <c r="C646" s="1"/>
      <c r="D646" s="1"/>
      <c r="E646" s="1"/>
      <c r="F646" s="1"/>
      <c r="J646" s="14"/>
      <c r="P646" s="14"/>
      <c r="Q646" s="7"/>
      <c r="R646" s="12"/>
      <c r="S646" s="12"/>
      <c r="U646" s="12"/>
    </row>
    <row r="647" spans="1:21" ht="18.75" customHeight="1" x14ac:dyDescent="0.3">
      <c r="A647" s="32"/>
      <c r="B647" s="1"/>
      <c r="C647" s="1"/>
      <c r="D647" s="1"/>
      <c r="E647" s="1"/>
      <c r="F647" s="1"/>
      <c r="P647" s="14"/>
      <c r="Q647" s="7"/>
      <c r="R647" s="12"/>
      <c r="S647" s="12"/>
      <c r="U647" s="12"/>
    </row>
    <row r="648" spans="1:21" x14ac:dyDescent="0.25">
      <c r="A648" s="2"/>
      <c r="P648" s="14"/>
      <c r="Q648" s="7"/>
      <c r="R648" s="12"/>
      <c r="S648" s="12"/>
      <c r="U648" s="12"/>
    </row>
    <row r="649" spans="1:21" x14ac:dyDescent="0.25">
      <c r="A649" s="2"/>
      <c r="P649" s="14"/>
      <c r="Q649" s="7"/>
      <c r="R649" s="12"/>
      <c r="S649" s="12"/>
      <c r="U649" s="12"/>
    </row>
    <row r="650" spans="1:21" x14ac:dyDescent="0.25">
      <c r="A650" s="2"/>
      <c r="C650" s="19"/>
      <c r="E650" s="4"/>
      <c r="P650" s="14"/>
      <c r="Q650" s="7"/>
      <c r="R650" s="12"/>
      <c r="S650" s="12"/>
      <c r="U650" s="12"/>
    </row>
    <row r="651" spans="1:21" x14ac:dyDescent="0.25">
      <c r="A651" s="2"/>
      <c r="C651" s="19"/>
      <c r="E651" s="4"/>
      <c r="P651" s="14"/>
      <c r="Q651" s="7"/>
      <c r="R651" s="12"/>
      <c r="S651" s="12"/>
      <c r="U651" s="12"/>
    </row>
    <row r="652" spans="1:21" x14ac:dyDescent="0.25">
      <c r="A652" s="2"/>
      <c r="P652" s="14"/>
      <c r="Q652" s="7"/>
      <c r="R652" s="12"/>
      <c r="S652" s="12"/>
      <c r="U652" s="12"/>
    </row>
    <row r="653" spans="1:21" x14ac:dyDescent="0.25">
      <c r="A653" s="2"/>
      <c r="C653" s="19"/>
      <c r="E653" s="4"/>
      <c r="P653" s="14"/>
      <c r="Q653" s="7"/>
      <c r="R653" s="12"/>
      <c r="S653" s="12"/>
      <c r="U653" s="12"/>
    </row>
    <row r="654" spans="1:21" x14ac:dyDescent="0.25">
      <c r="A654" s="2"/>
      <c r="P654" s="14"/>
      <c r="Q654" s="7"/>
      <c r="R654" s="12"/>
      <c r="S654" s="12"/>
      <c r="U654" s="12"/>
    </row>
    <row r="655" spans="1:21" x14ac:dyDescent="0.25">
      <c r="A655" s="2"/>
      <c r="C655" s="19"/>
      <c r="E655" s="4"/>
      <c r="P655" s="14"/>
      <c r="Q655" s="7"/>
      <c r="R655" s="12"/>
      <c r="S655" s="12"/>
      <c r="U655" s="12"/>
    </row>
    <row r="656" spans="1:21" x14ac:dyDescent="0.25">
      <c r="A656" s="2"/>
      <c r="C656" s="19"/>
      <c r="D656" s="4"/>
      <c r="E656" s="4"/>
      <c r="P656" s="14"/>
      <c r="Q656" s="7"/>
      <c r="R656" s="12"/>
      <c r="S656" s="12"/>
      <c r="U656" s="12"/>
    </row>
    <row r="657" spans="1:21" x14ac:dyDescent="0.25">
      <c r="A657" s="2"/>
      <c r="D657" s="4"/>
      <c r="P657" s="14"/>
      <c r="Q657" s="7"/>
      <c r="R657" s="12"/>
      <c r="S657" s="12"/>
      <c r="U657" s="12"/>
    </row>
    <row r="658" spans="1:21" x14ac:dyDescent="0.25">
      <c r="A658" s="2"/>
      <c r="P658" s="14"/>
      <c r="Q658" s="7"/>
      <c r="R658" s="12"/>
      <c r="S658" s="12"/>
      <c r="U658" s="12"/>
    </row>
    <row r="659" spans="1:21" x14ac:dyDescent="0.25">
      <c r="A659" s="2"/>
      <c r="C659" s="19"/>
      <c r="E659" s="4"/>
      <c r="P659" s="14"/>
      <c r="Q659" s="7"/>
      <c r="R659" s="12"/>
      <c r="S659" s="12"/>
      <c r="U659" s="12"/>
    </row>
    <row r="660" spans="1:21" x14ac:dyDescent="0.25">
      <c r="A660" s="2"/>
      <c r="P660" s="14"/>
      <c r="Q660" s="7"/>
      <c r="R660" s="12"/>
      <c r="S660" s="12"/>
      <c r="U660" s="12"/>
    </row>
    <row r="661" spans="1:21" x14ac:dyDescent="0.25">
      <c r="A661" s="2"/>
      <c r="P661" s="14"/>
      <c r="Q661" s="7"/>
      <c r="R661" s="12"/>
      <c r="S661" s="12"/>
      <c r="U661" s="12"/>
    </row>
    <row r="662" spans="1:21" x14ac:dyDescent="0.25">
      <c r="A662" s="2"/>
      <c r="P662" s="14"/>
      <c r="Q662" s="7"/>
      <c r="R662" s="12"/>
      <c r="S662" s="12"/>
      <c r="U662" s="12"/>
    </row>
    <row r="663" spans="1:21" x14ac:dyDescent="0.25">
      <c r="A663" s="2"/>
      <c r="P663" s="14"/>
      <c r="Q663" s="7"/>
      <c r="R663" s="12"/>
      <c r="S663" s="12"/>
      <c r="U663" s="12"/>
    </row>
    <row r="664" spans="1:21" x14ac:dyDescent="0.25">
      <c r="A664" s="2"/>
      <c r="P664" s="14"/>
      <c r="Q664" s="7"/>
      <c r="R664" s="12"/>
      <c r="S664" s="12"/>
      <c r="U664" s="12"/>
    </row>
    <row r="665" spans="1:21" x14ac:dyDescent="0.25">
      <c r="A665" s="2"/>
      <c r="P665" s="14"/>
      <c r="Q665" s="7"/>
      <c r="R665" s="12"/>
      <c r="S665" s="12"/>
      <c r="U665" s="12"/>
    </row>
    <row r="666" spans="1:21" x14ac:dyDescent="0.25">
      <c r="A666" s="2"/>
      <c r="C666" s="19"/>
      <c r="E666" s="4"/>
      <c r="P666" s="14"/>
      <c r="Q666" s="7"/>
      <c r="R666" s="12"/>
      <c r="S666" s="12"/>
      <c r="U666" s="12"/>
    </row>
    <row r="667" spans="1:21" x14ac:dyDescent="0.25">
      <c r="A667" s="2"/>
      <c r="C667" s="19"/>
      <c r="E667" s="4"/>
      <c r="P667" s="14"/>
      <c r="Q667" s="7"/>
      <c r="R667" s="12"/>
      <c r="S667" s="12"/>
      <c r="U667" s="12"/>
    </row>
    <row r="668" spans="1:21" x14ac:dyDescent="0.25">
      <c r="A668" s="2"/>
      <c r="C668" s="19"/>
      <c r="E668" s="4"/>
      <c r="P668" s="14"/>
      <c r="Q668" s="7"/>
      <c r="R668" s="12"/>
      <c r="S668" s="12"/>
      <c r="U668" s="12"/>
    </row>
    <row r="669" spans="1:21" x14ac:dyDescent="0.25">
      <c r="A669" s="2"/>
      <c r="C669" s="19"/>
      <c r="E669" s="4"/>
      <c r="P669" s="14"/>
      <c r="Q669" s="7"/>
      <c r="R669" s="12"/>
      <c r="S669" s="12"/>
      <c r="U669" s="12"/>
    </row>
    <row r="670" spans="1:21" x14ac:dyDescent="0.25">
      <c r="A670" s="2"/>
      <c r="C670" s="19"/>
      <c r="E670" s="4"/>
      <c r="P670" s="14"/>
      <c r="Q670" s="7"/>
      <c r="R670" s="12"/>
      <c r="S670" s="12"/>
      <c r="U670" s="12"/>
    </row>
    <row r="671" spans="1:21" x14ac:dyDescent="0.25">
      <c r="A671" s="2"/>
      <c r="C671" s="19"/>
      <c r="E671" s="4"/>
      <c r="P671" s="14"/>
      <c r="Q671" s="20"/>
      <c r="R671" s="20"/>
      <c r="S671" s="20"/>
      <c r="U671" s="12"/>
    </row>
    <row r="672" spans="1:21" x14ac:dyDescent="0.25">
      <c r="A672" s="2"/>
      <c r="P672" s="14"/>
      <c r="Q672" s="20"/>
      <c r="R672" s="20"/>
      <c r="S672" s="20"/>
      <c r="U672" s="12"/>
    </row>
    <row r="673" spans="1:21" x14ac:dyDescent="0.25">
      <c r="A673" s="2"/>
      <c r="P673" s="14"/>
      <c r="Q673" s="20"/>
      <c r="R673" s="20"/>
      <c r="S673" s="20"/>
      <c r="U673" s="12"/>
    </row>
    <row r="674" spans="1:21" x14ac:dyDescent="0.25">
      <c r="A674" s="2"/>
      <c r="P674" s="14"/>
      <c r="Q674" s="20"/>
      <c r="R674" s="20"/>
      <c r="S674" s="20"/>
      <c r="U674" s="12"/>
    </row>
    <row r="675" spans="1:21" x14ac:dyDescent="0.25">
      <c r="A675" s="2"/>
      <c r="C675" s="19"/>
      <c r="E675" s="4"/>
      <c r="P675" s="14"/>
      <c r="Q675" s="20"/>
      <c r="R675" s="20"/>
      <c r="S675" s="12"/>
      <c r="U675" s="12"/>
    </row>
    <row r="676" spans="1:21" x14ac:dyDescent="0.25">
      <c r="A676" s="2"/>
      <c r="C676" s="19"/>
      <c r="E676" s="4"/>
      <c r="P676" s="14"/>
      <c r="Q676" s="20"/>
      <c r="R676" s="20"/>
      <c r="S676" s="20"/>
      <c r="U676" s="12"/>
    </row>
    <row r="677" spans="1:21" x14ac:dyDescent="0.25">
      <c r="A677" s="2"/>
      <c r="C677" s="19"/>
      <c r="E677" s="4"/>
      <c r="P677" s="14"/>
      <c r="Q677" s="20"/>
      <c r="R677" s="20"/>
      <c r="S677" s="20"/>
      <c r="U677" s="12"/>
    </row>
    <row r="678" spans="1:21" x14ac:dyDescent="0.25">
      <c r="A678" s="2"/>
      <c r="P678" s="14"/>
      <c r="Q678" s="20"/>
      <c r="R678" s="20"/>
      <c r="S678" s="20"/>
      <c r="U678" s="12"/>
    </row>
    <row r="679" spans="1:21" x14ac:dyDescent="0.25">
      <c r="A679" s="2"/>
      <c r="P679" s="14"/>
      <c r="Q679" s="20"/>
      <c r="R679" s="20"/>
      <c r="S679" s="20"/>
      <c r="U679" s="12"/>
    </row>
    <row r="680" spans="1:21" x14ac:dyDescent="0.25">
      <c r="A680" s="2"/>
      <c r="P680" s="14"/>
      <c r="Q680" s="20"/>
      <c r="R680" s="20"/>
      <c r="S680" s="20"/>
      <c r="U680" s="12"/>
    </row>
    <row r="681" spans="1:21" x14ac:dyDescent="0.25">
      <c r="A681" s="2"/>
      <c r="P681" s="14"/>
      <c r="Q681" s="20"/>
      <c r="R681" s="20"/>
      <c r="S681" s="20"/>
      <c r="U681" s="12"/>
    </row>
    <row r="682" spans="1:21" x14ac:dyDescent="0.25">
      <c r="A682" s="2"/>
      <c r="C682" s="19"/>
      <c r="E682" s="4"/>
      <c r="P682" s="14"/>
      <c r="Q682" s="20"/>
      <c r="R682" s="20"/>
      <c r="S682" s="20"/>
      <c r="U682" s="12"/>
    </row>
    <row r="683" spans="1:21" x14ac:dyDescent="0.25">
      <c r="A683" s="2"/>
      <c r="C683" s="19"/>
      <c r="E683" s="4"/>
      <c r="P683" s="14"/>
      <c r="Q683" s="20"/>
      <c r="R683" s="20"/>
      <c r="S683" s="20"/>
      <c r="U683" s="12"/>
    </row>
    <row r="684" spans="1:21" x14ac:dyDescent="0.25">
      <c r="A684" s="2"/>
      <c r="C684" s="19"/>
      <c r="E684" s="4"/>
      <c r="P684" s="14"/>
      <c r="Q684" s="20"/>
      <c r="R684" s="20"/>
      <c r="S684" s="20"/>
      <c r="U684" s="12"/>
    </row>
    <row r="685" spans="1:21" x14ac:dyDescent="0.25">
      <c r="A685" s="2"/>
      <c r="C685" s="19"/>
      <c r="E685" s="4"/>
      <c r="P685" s="14"/>
      <c r="Q685" s="20"/>
      <c r="R685" s="20"/>
      <c r="S685" s="20"/>
      <c r="U685" s="12"/>
    </row>
    <row r="686" spans="1:21" x14ac:dyDescent="0.25">
      <c r="A686" s="2"/>
      <c r="P686" s="14"/>
      <c r="Q686" s="20"/>
      <c r="R686" s="20"/>
      <c r="S686" s="20"/>
      <c r="U686" s="12"/>
    </row>
    <row r="687" spans="1:21" x14ac:dyDescent="0.25">
      <c r="A687" s="2"/>
      <c r="P687" s="14"/>
      <c r="Q687" s="20"/>
      <c r="R687" s="20"/>
      <c r="S687" s="20"/>
      <c r="U687" s="12"/>
    </row>
    <row r="688" spans="1:21" x14ac:dyDescent="0.25">
      <c r="A688" s="2"/>
      <c r="P688" s="14"/>
      <c r="Q688" s="20"/>
      <c r="R688" s="20"/>
      <c r="S688" s="12"/>
      <c r="U688" s="12"/>
    </row>
    <row r="689" spans="1:21" x14ac:dyDescent="0.25">
      <c r="A689" s="2"/>
      <c r="P689" s="14"/>
      <c r="Q689" s="20"/>
      <c r="R689" s="20"/>
      <c r="S689" s="20"/>
      <c r="U689" s="12"/>
    </row>
    <row r="690" spans="1:21" x14ac:dyDescent="0.25">
      <c r="A690" s="2"/>
      <c r="C690" s="19"/>
      <c r="E690" s="4"/>
      <c r="P690" s="14"/>
      <c r="Q690" s="20"/>
      <c r="R690" s="20"/>
      <c r="S690" s="20"/>
      <c r="U690" s="12"/>
    </row>
    <row r="691" spans="1:21" x14ac:dyDescent="0.25">
      <c r="A691" s="2"/>
      <c r="C691" s="19"/>
      <c r="E691" s="4"/>
      <c r="P691" s="14"/>
      <c r="Q691" s="20"/>
      <c r="R691" s="20"/>
      <c r="S691" s="20"/>
      <c r="U691" s="12"/>
    </row>
    <row r="692" spans="1:21" x14ac:dyDescent="0.25">
      <c r="A692" s="2"/>
      <c r="C692" s="19"/>
      <c r="E692" s="4"/>
      <c r="P692" s="14"/>
      <c r="Q692" s="20"/>
      <c r="R692" s="20"/>
      <c r="S692" s="20"/>
      <c r="U692" s="12"/>
    </row>
    <row r="693" spans="1:21" x14ac:dyDescent="0.25">
      <c r="A693" s="2"/>
      <c r="C693" s="19"/>
      <c r="E693" s="4"/>
      <c r="P693" s="14"/>
      <c r="Q693" s="20"/>
      <c r="R693" s="20"/>
      <c r="S693" s="20"/>
      <c r="U693" s="12"/>
    </row>
    <row r="694" spans="1:21" x14ac:dyDescent="0.25">
      <c r="A694" s="2"/>
      <c r="P694" s="14"/>
      <c r="Q694" s="20"/>
      <c r="R694" s="20"/>
      <c r="S694" s="12"/>
      <c r="U694" s="12"/>
    </row>
    <row r="695" spans="1:21" x14ac:dyDescent="0.25">
      <c r="A695" s="2"/>
      <c r="C695" s="19"/>
      <c r="E695" s="4"/>
      <c r="P695" s="14"/>
      <c r="Q695" s="20"/>
      <c r="R695" s="20"/>
      <c r="S695" s="20"/>
      <c r="U695" s="12"/>
    </row>
    <row r="696" spans="1:21" x14ac:dyDescent="0.25">
      <c r="A696" s="2"/>
      <c r="P696" s="14"/>
      <c r="Q696" s="20"/>
      <c r="R696" s="20"/>
      <c r="S696" s="20"/>
      <c r="U696" s="12"/>
    </row>
    <row r="697" spans="1:21" x14ac:dyDescent="0.25">
      <c r="A697" s="2"/>
      <c r="C697" s="19"/>
      <c r="E697" s="4"/>
      <c r="P697" s="14"/>
      <c r="Q697" s="20"/>
      <c r="R697" s="20"/>
      <c r="S697" s="20"/>
      <c r="U697" s="12"/>
    </row>
    <row r="698" spans="1:21" x14ac:dyDescent="0.25">
      <c r="A698" s="2"/>
      <c r="P698" s="14"/>
      <c r="Q698" s="20"/>
      <c r="R698" s="20"/>
      <c r="S698" s="12"/>
      <c r="U698" s="12"/>
    </row>
    <row r="699" spans="1:21" x14ac:dyDescent="0.25">
      <c r="A699" s="2"/>
      <c r="P699" s="14"/>
      <c r="Q699" s="20"/>
      <c r="R699" s="20"/>
      <c r="S699" s="20"/>
      <c r="U699" s="12"/>
    </row>
    <row r="700" spans="1:21" x14ac:dyDescent="0.25">
      <c r="A700" s="2"/>
      <c r="P700" s="14"/>
      <c r="Q700" s="20"/>
      <c r="R700" s="20"/>
      <c r="S700" s="20"/>
      <c r="U700" s="12"/>
    </row>
    <row r="701" spans="1:21" x14ac:dyDescent="0.25">
      <c r="A701" s="2"/>
      <c r="P701" s="14"/>
      <c r="Q701" s="20"/>
      <c r="R701" s="20"/>
      <c r="S701" s="20"/>
      <c r="U701" s="12"/>
    </row>
    <row r="702" spans="1:21" x14ac:dyDescent="0.25">
      <c r="A702" s="2"/>
      <c r="C702" s="19"/>
      <c r="E702" s="4"/>
      <c r="P702" s="14"/>
      <c r="Q702" s="20"/>
      <c r="R702" s="20"/>
      <c r="S702" s="20"/>
      <c r="U702" s="12"/>
    </row>
    <row r="703" spans="1:21" x14ac:dyDescent="0.25">
      <c r="A703" s="2"/>
      <c r="C703" s="19"/>
      <c r="E703" s="4"/>
      <c r="P703" s="14"/>
      <c r="Q703" s="20"/>
      <c r="R703" s="20"/>
      <c r="S703" s="20"/>
      <c r="U703" s="12"/>
    </row>
    <row r="704" spans="1:21" x14ac:dyDescent="0.25">
      <c r="A704" s="2"/>
      <c r="C704" s="19"/>
      <c r="E704" s="4"/>
      <c r="P704" s="14"/>
      <c r="Q704" s="20"/>
      <c r="R704" s="20"/>
      <c r="S704" s="20"/>
      <c r="U704" s="12"/>
    </row>
    <row r="705" spans="1:21" x14ac:dyDescent="0.25">
      <c r="A705" s="2"/>
      <c r="C705" s="19"/>
      <c r="E705" s="4"/>
      <c r="P705" s="14"/>
      <c r="Q705" s="20"/>
      <c r="R705" s="20"/>
      <c r="S705" s="20"/>
      <c r="U705" s="12"/>
    </row>
    <row r="706" spans="1:21" x14ac:dyDescent="0.25">
      <c r="A706" s="2"/>
      <c r="P706" s="14"/>
      <c r="Q706" s="20"/>
      <c r="R706" s="20"/>
      <c r="S706" s="20"/>
      <c r="U706" s="12"/>
    </row>
    <row r="707" spans="1:21" x14ac:dyDescent="0.25">
      <c r="A707" s="2"/>
      <c r="P707" s="14"/>
      <c r="Q707" s="20"/>
      <c r="R707" s="20"/>
      <c r="S707" s="12"/>
      <c r="U707" s="12"/>
    </row>
    <row r="708" spans="1:21" x14ac:dyDescent="0.25">
      <c r="A708" s="2"/>
      <c r="P708" s="14"/>
      <c r="Q708" s="20"/>
      <c r="R708" s="20"/>
      <c r="S708" s="20"/>
      <c r="U708" s="12"/>
    </row>
    <row r="709" spans="1:21" x14ac:dyDescent="0.25">
      <c r="A709" s="2"/>
      <c r="C709" s="19"/>
      <c r="E709" s="4"/>
      <c r="P709" s="14"/>
      <c r="Q709" s="20"/>
      <c r="R709" s="20"/>
      <c r="S709" s="20"/>
      <c r="U709" s="12"/>
    </row>
    <row r="710" spans="1:21" x14ac:dyDescent="0.25">
      <c r="A710" s="2"/>
      <c r="C710" s="19"/>
      <c r="E710" s="4"/>
      <c r="P710" s="14"/>
      <c r="Q710" s="20"/>
      <c r="R710" s="20"/>
      <c r="S710" s="20"/>
      <c r="U710" s="12"/>
    </row>
    <row r="711" spans="1:21" x14ac:dyDescent="0.25">
      <c r="A711" s="2"/>
      <c r="C711" s="19"/>
      <c r="E711" s="4"/>
      <c r="P711" s="14"/>
      <c r="Q711" s="20"/>
      <c r="R711" s="20"/>
      <c r="S711" s="20"/>
      <c r="U711" s="12"/>
    </row>
    <row r="712" spans="1:21" x14ac:dyDescent="0.25">
      <c r="A712" s="2"/>
      <c r="P712" s="14"/>
      <c r="Q712" s="20"/>
      <c r="R712" s="20"/>
      <c r="S712" s="20"/>
      <c r="U712" s="12"/>
    </row>
    <row r="713" spans="1:21" x14ac:dyDescent="0.25">
      <c r="A713" s="2"/>
      <c r="C713" s="19"/>
      <c r="E713" s="4"/>
      <c r="P713" s="14"/>
      <c r="Q713" s="20"/>
      <c r="R713" s="20"/>
      <c r="S713" s="20"/>
      <c r="U713" s="12"/>
    </row>
    <row r="714" spans="1:21" x14ac:dyDescent="0.25">
      <c r="A714" s="2"/>
      <c r="P714" s="14"/>
      <c r="Q714" s="20"/>
      <c r="R714" s="20"/>
      <c r="S714" s="12"/>
      <c r="U714" s="12"/>
    </row>
    <row r="715" spans="1:21" x14ac:dyDescent="0.25">
      <c r="A715" s="2"/>
      <c r="C715" s="19"/>
      <c r="E715" s="4"/>
      <c r="P715" s="14"/>
      <c r="Q715" s="20"/>
      <c r="R715" s="20"/>
      <c r="S715" s="20"/>
      <c r="U715" s="12"/>
    </row>
    <row r="716" spans="1:21" x14ac:dyDescent="0.25">
      <c r="A716" s="2"/>
      <c r="P716" s="14"/>
      <c r="Q716" s="20"/>
      <c r="R716" s="20"/>
      <c r="S716" s="20"/>
      <c r="U716" s="12"/>
    </row>
    <row r="717" spans="1:21" x14ac:dyDescent="0.25">
      <c r="A717" s="2"/>
      <c r="C717" s="19"/>
      <c r="E717" s="4"/>
      <c r="P717" s="14"/>
      <c r="Q717" s="20"/>
      <c r="R717" s="20"/>
      <c r="S717" s="20"/>
      <c r="U717" s="12"/>
    </row>
    <row r="718" spans="1:21" x14ac:dyDescent="0.25">
      <c r="A718" s="2"/>
      <c r="P718" s="14"/>
      <c r="Q718" s="20"/>
      <c r="R718" s="20"/>
      <c r="S718" s="20"/>
      <c r="U718" s="12"/>
    </row>
    <row r="719" spans="1:21" x14ac:dyDescent="0.25">
      <c r="A719" s="2"/>
      <c r="C719" s="19"/>
      <c r="E719" s="4"/>
      <c r="P719" s="14"/>
      <c r="Q719" s="20"/>
      <c r="R719" s="20"/>
      <c r="S719" s="20"/>
      <c r="U719" s="12"/>
    </row>
    <row r="720" spans="1:21" x14ac:dyDescent="0.25">
      <c r="A720" s="2"/>
      <c r="P720" s="14"/>
      <c r="Q720" s="20"/>
      <c r="R720" s="20"/>
      <c r="S720" s="20"/>
      <c r="U720" s="12"/>
    </row>
    <row r="721" spans="1:21" x14ac:dyDescent="0.25">
      <c r="A721" s="2"/>
      <c r="C721" s="19"/>
      <c r="E721" s="4"/>
      <c r="P721" s="14"/>
      <c r="Q721" s="20"/>
      <c r="R721" s="20"/>
      <c r="S721" s="20"/>
      <c r="U721" s="12"/>
    </row>
    <row r="722" spans="1:21" x14ac:dyDescent="0.25">
      <c r="A722" s="2"/>
      <c r="P722" s="14"/>
      <c r="Q722" s="20"/>
      <c r="R722" s="20"/>
      <c r="S722" s="20"/>
      <c r="U722" s="12"/>
    </row>
    <row r="723" spans="1:21" x14ac:dyDescent="0.25">
      <c r="A723" s="2"/>
      <c r="P723" s="14"/>
      <c r="Q723" s="20"/>
      <c r="R723" s="20"/>
      <c r="S723" s="20"/>
      <c r="U723" s="12"/>
    </row>
    <row r="724" spans="1:21" x14ac:dyDescent="0.25">
      <c r="A724" s="2"/>
      <c r="P724" s="14"/>
      <c r="Q724" s="20"/>
      <c r="R724" s="20"/>
      <c r="S724" s="20"/>
      <c r="U724" s="12"/>
    </row>
    <row r="725" spans="1:21" x14ac:dyDescent="0.25">
      <c r="A725" s="2"/>
      <c r="C725" s="19"/>
      <c r="E725" s="4"/>
      <c r="P725" s="14"/>
      <c r="Q725" s="20"/>
      <c r="R725" s="20"/>
      <c r="S725" s="20"/>
      <c r="U725" s="12"/>
    </row>
    <row r="726" spans="1:21" x14ac:dyDescent="0.25">
      <c r="A726" s="2"/>
      <c r="C726" s="19"/>
      <c r="E726" s="4"/>
      <c r="P726" s="14"/>
      <c r="Q726" s="20"/>
      <c r="R726" s="20"/>
      <c r="S726" s="20"/>
      <c r="U726" s="12"/>
    </row>
    <row r="727" spans="1:21" x14ac:dyDescent="0.25">
      <c r="A727" s="2"/>
      <c r="C727" s="19"/>
      <c r="E727" s="4"/>
      <c r="P727" s="14"/>
      <c r="Q727" s="20"/>
      <c r="R727" s="20"/>
      <c r="S727" s="20"/>
      <c r="U727" s="12"/>
    </row>
    <row r="728" spans="1:21" x14ac:dyDescent="0.25">
      <c r="A728" s="2"/>
      <c r="P728" s="14"/>
      <c r="Q728" s="20"/>
      <c r="R728" s="20"/>
      <c r="S728" s="20"/>
      <c r="U728" s="12"/>
    </row>
    <row r="729" spans="1:21" x14ac:dyDescent="0.25">
      <c r="A729" s="2"/>
      <c r="C729" s="19"/>
      <c r="E729" s="4"/>
      <c r="P729" s="14"/>
      <c r="U729" s="12"/>
    </row>
    <row r="730" spans="1:21" x14ac:dyDescent="0.25">
      <c r="A730" s="2"/>
      <c r="P730" s="14"/>
      <c r="U730" s="12"/>
    </row>
    <row r="731" spans="1:21" x14ac:dyDescent="0.25">
      <c r="A731" s="2"/>
      <c r="P731" s="14"/>
      <c r="U731" s="12"/>
    </row>
    <row r="732" spans="1:21" x14ac:dyDescent="0.25">
      <c r="A732" s="2"/>
      <c r="C732" s="19"/>
      <c r="E732" s="4"/>
      <c r="P732" s="14"/>
      <c r="U732" s="12"/>
    </row>
    <row r="733" spans="1:21" x14ac:dyDescent="0.25">
      <c r="A733" s="2"/>
      <c r="C733" s="19"/>
      <c r="E733" s="4"/>
      <c r="P733" s="14"/>
      <c r="U733" s="12"/>
    </row>
    <row r="734" spans="1:21" x14ac:dyDescent="0.25">
      <c r="A734" s="2"/>
      <c r="P734" s="14"/>
      <c r="U734" s="12"/>
    </row>
    <row r="735" spans="1:21" x14ac:dyDescent="0.25">
      <c r="A735" s="2"/>
      <c r="C735" s="19"/>
      <c r="E735" s="4"/>
      <c r="P735" s="14"/>
      <c r="U735" s="12"/>
    </row>
    <row r="736" spans="1:21" x14ac:dyDescent="0.25">
      <c r="A736" s="2"/>
      <c r="P736" s="14"/>
      <c r="U736" s="12"/>
    </row>
    <row r="737" spans="1:21" x14ac:dyDescent="0.25">
      <c r="A737" s="2"/>
      <c r="P737" s="14"/>
      <c r="U737" s="12"/>
    </row>
    <row r="738" spans="1:21" x14ac:dyDescent="0.25">
      <c r="A738" s="2"/>
      <c r="C738" s="19"/>
      <c r="E738" s="4"/>
      <c r="P738" s="14"/>
      <c r="U738" s="12"/>
    </row>
    <row r="739" spans="1:21" x14ac:dyDescent="0.25">
      <c r="A739" s="2"/>
      <c r="C739" s="19"/>
      <c r="E739" s="4"/>
      <c r="P739" s="14"/>
      <c r="U739" s="12"/>
    </row>
    <row r="740" spans="1:21" x14ac:dyDescent="0.25">
      <c r="A740" s="2"/>
      <c r="P740" s="14"/>
      <c r="U740" s="12"/>
    </row>
    <row r="741" spans="1:21" x14ac:dyDescent="0.25">
      <c r="A741" s="2"/>
      <c r="P741" s="14"/>
      <c r="U741" s="12"/>
    </row>
    <row r="742" spans="1:21" x14ac:dyDescent="0.25">
      <c r="A742" s="2"/>
      <c r="C742" s="19"/>
      <c r="E742" s="4"/>
      <c r="P742" s="14"/>
      <c r="U742" s="12"/>
    </row>
    <row r="743" spans="1:21" x14ac:dyDescent="0.25">
      <c r="A743" s="2"/>
      <c r="C743" s="19"/>
      <c r="E743" s="4"/>
      <c r="P743" s="14"/>
      <c r="U743" s="12"/>
    </row>
    <row r="744" spans="1:21" x14ac:dyDescent="0.25">
      <c r="A744" s="2"/>
      <c r="P744" s="14"/>
      <c r="U744" s="12"/>
    </row>
    <row r="745" spans="1:21" x14ac:dyDescent="0.25">
      <c r="A745" s="2"/>
      <c r="C745" s="19"/>
      <c r="E745" s="4"/>
      <c r="P745" s="14"/>
      <c r="U745" s="12"/>
    </row>
    <row r="746" spans="1:21" x14ac:dyDescent="0.25">
      <c r="A746" s="2"/>
      <c r="P746" s="14"/>
      <c r="U746" s="12"/>
    </row>
    <row r="747" spans="1:21" x14ac:dyDescent="0.25">
      <c r="A747" s="2"/>
      <c r="C747" s="19"/>
      <c r="E747" s="4"/>
      <c r="P747" s="14"/>
      <c r="U747" s="12"/>
    </row>
    <row r="748" spans="1:21" x14ac:dyDescent="0.25">
      <c r="A748" s="2"/>
      <c r="P748" s="14"/>
      <c r="U748" s="12"/>
    </row>
    <row r="749" spans="1:21" x14ac:dyDescent="0.25">
      <c r="A749" s="2"/>
      <c r="C749" s="19"/>
      <c r="E749" s="4"/>
      <c r="P749" s="14"/>
      <c r="U749" s="12"/>
    </row>
    <row r="750" spans="1:21" x14ac:dyDescent="0.25">
      <c r="A750" s="2"/>
      <c r="P750" s="14"/>
      <c r="U750" s="12"/>
    </row>
    <row r="751" spans="1:21" x14ac:dyDescent="0.25">
      <c r="A751" s="2"/>
      <c r="P751" s="14"/>
      <c r="U751" s="12"/>
    </row>
    <row r="752" spans="1:21" x14ac:dyDescent="0.25">
      <c r="A752" s="2"/>
      <c r="C752" s="19"/>
      <c r="E752" s="4"/>
      <c r="P752" s="14"/>
      <c r="U752" s="12"/>
    </row>
    <row r="753" spans="1:21" x14ac:dyDescent="0.25">
      <c r="A753" s="2"/>
      <c r="C753" s="19"/>
      <c r="E753" s="4"/>
      <c r="P753" s="14"/>
      <c r="U753" s="12"/>
    </row>
    <row r="754" spans="1:21" x14ac:dyDescent="0.25">
      <c r="A754" s="2"/>
      <c r="P754" s="14"/>
      <c r="U754" s="12"/>
    </row>
    <row r="755" spans="1:21" x14ac:dyDescent="0.25">
      <c r="A755" s="2"/>
      <c r="C755" s="19"/>
      <c r="E755" s="4"/>
      <c r="P755" s="14"/>
      <c r="U755" s="12"/>
    </row>
    <row r="756" spans="1:21" x14ac:dyDescent="0.25">
      <c r="A756" s="2"/>
      <c r="P756" s="14"/>
      <c r="U756" s="12"/>
    </row>
    <row r="757" spans="1:21" x14ac:dyDescent="0.25">
      <c r="A757" s="2"/>
      <c r="C757" s="19"/>
      <c r="E757" s="4"/>
      <c r="P757" s="14"/>
      <c r="U757" s="12"/>
    </row>
    <row r="758" spans="1:21" x14ac:dyDescent="0.25">
      <c r="A758" s="2"/>
      <c r="P758" s="14"/>
      <c r="U758" s="12"/>
    </row>
    <row r="759" spans="1:21" x14ac:dyDescent="0.25">
      <c r="A759" s="2"/>
      <c r="C759" s="19"/>
      <c r="E759" s="4"/>
      <c r="P759" s="14"/>
      <c r="U759" s="12"/>
    </row>
    <row r="760" spans="1:21" x14ac:dyDescent="0.25">
      <c r="A760" s="2"/>
      <c r="P760" s="14"/>
      <c r="U760" s="12"/>
    </row>
    <row r="761" spans="1:21" x14ac:dyDescent="0.25">
      <c r="A761" s="2"/>
      <c r="P761" s="14"/>
      <c r="U761" s="12"/>
    </row>
    <row r="762" spans="1:21" x14ac:dyDescent="0.25">
      <c r="A762" s="2"/>
      <c r="C762" s="19"/>
      <c r="E762" s="4"/>
      <c r="P762" s="14"/>
      <c r="U762" s="12"/>
    </row>
    <row r="763" spans="1:21" x14ac:dyDescent="0.25">
      <c r="A763" s="2"/>
      <c r="C763" s="19"/>
      <c r="E763" s="4"/>
      <c r="P763" s="14"/>
      <c r="U763" s="12"/>
    </row>
    <row r="764" spans="1:21" x14ac:dyDescent="0.25">
      <c r="A764" s="2"/>
      <c r="P764" s="14"/>
      <c r="U764" s="12"/>
    </row>
    <row r="765" spans="1:21" x14ac:dyDescent="0.25">
      <c r="A765" s="2"/>
      <c r="C765" s="19"/>
      <c r="E765" s="4"/>
      <c r="P765" s="14"/>
      <c r="U765" s="12"/>
    </row>
    <row r="766" spans="1:21" x14ac:dyDescent="0.25">
      <c r="A766" s="2"/>
      <c r="P766" s="14"/>
      <c r="U766" s="12"/>
    </row>
    <row r="767" spans="1:21" x14ac:dyDescent="0.25">
      <c r="A767" s="2"/>
      <c r="P767" s="14"/>
      <c r="U767" s="12"/>
    </row>
    <row r="768" spans="1:21" x14ac:dyDescent="0.25">
      <c r="A768" s="2"/>
      <c r="C768" s="19"/>
      <c r="E768" s="4"/>
      <c r="P768" s="14"/>
      <c r="U768" s="12"/>
    </row>
    <row r="769" spans="1:21" x14ac:dyDescent="0.25">
      <c r="A769" s="2"/>
      <c r="C769" s="19"/>
      <c r="E769" s="4"/>
      <c r="P769" s="14"/>
      <c r="U769" s="12"/>
    </row>
    <row r="770" spans="1:21" x14ac:dyDescent="0.25">
      <c r="A770" s="2"/>
      <c r="P770" s="14"/>
      <c r="U770" s="12"/>
    </row>
    <row r="771" spans="1:21" x14ac:dyDescent="0.25">
      <c r="A771" s="2"/>
      <c r="C771" s="19"/>
      <c r="E771" s="4"/>
      <c r="P771" s="14"/>
      <c r="U771" s="12"/>
    </row>
    <row r="772" spans="1:21" x14ac:dyDescent="0.25">
      <c r="A772" s="2"/>
      <c r="P772" s="14"/>
      <c r="U772" s="12"/>
    </row>
    <row r="773" spans="1:21" x14ac:dyDescent="0.25">
      <c r="A773" s="2"/>
      <c r="P773" s="14"/>
      <c r="U773" s="12"/>
    </row>
    <row r="774" spans="1:21" x14ac:dyDescent="0.25">
      <c r="A774" s="2"/>
      <c r="C774" s="19"/>
      <c r="E774" s="4"/>
      <c r="P774" s="14"/>
      <c r="U774" s="12"/>
    </row>
    <row r="775" spans="1:21" x14ac:dyDescent="0.25">
      <c r="A775" s="2"/>
      <c r="C775" s="19"/>
      <c r="E775" s="4"/>
      <c r="P775" s="14"/>
      <c r="U775" s="12"/>
    </row>
    <row r="776" spans="1:21" x14ac:dyDescent="0.25">
      <c r="A776" s="2"/>
      <c r="P776" s="14"/>
      <c r="U776" s="12"/>
    </row>
    <row r="777" spans="1:21" x14ac:dyDescent="0.25">
      <c r="A777" s="2"/>
      <c r="P777" s="14"/>
      <c r="U777" s="12"/>
    </row>
    <row r="778" spans="1:21" x14ac:dyDescent="0.25">
      <c r="A778" s="2"/>
      <c r="P778" s="14"/>
      <c r="U778" s="12"/>
    </row>
    <row r="779" spans="1:21" x14ac:dyDescent="0.25">
      <c r="A779" s="2"/>
      <c r="P779" s="14"/>
      <c r="U779" s="12"/>
    </row>
    <row r="780" spans="1:21" x14ac:dyDescent="0.25">
      <c r="A780" s="2"/>
      <c r="P780" s="14"/>
      <c r="U780" s="12"/>
    </row>
    <row r="781" spans="1:21" x14ac:dyDescent="0.25">
      <c r="A781" s="2"/>
      <c r="C781" s="19"/>
      <c r="E781" s="4"/>
      <c r="P781" s="14"/>
      <c r="U781" s="12"/>
    </row>
    <row r="782" spans="1:21" x14ac:dyDescent="0.25">
      <c r="A782" s="2"/>
      <c r="C782" s="19"/>
      <c r="E782" s="4"/>
      <c r="P782" s="14"/>
      <c r="U782" s="12"/>
    </row>
    <row r="783" spans="1:21" x14ac:dyDescent="0.25">
      <c r="A783" s="2"/>
      <c r="C783" s="19"/>
      <c r="E783" s="4"/>
    </row>
    <row r="784" spans="1:21" x14ac:dyDescent="0.25">
      <c r="A784" s="2"/>
      <c r="C784" s="19"/>
      <c r="E784" s="4"/>
    </row>
    <row r="785" spans="1:5" x14ac:dyDescent="0.25">
      <c r="A785" s="2"/>
      <c r="C785" s="19"/>
      <c r="E785" s="4"/>
    </row>
    <row r="786" spans="1:5" x14ac:dyDescent="0.25">
      <c r="A786" s="2"/>
    </row>
    <row r="787" spans="1:5" x14ac:dyDescent="0.25">
      <c r="A787" s="2"/>
    </row>
    <row r="788" spans="1:5" x14ac:dyDescent="0.25">
      <c r="A788" s="2"/>
    </row>
    <row r="789" spans="1:5" x14ac:dyDescent="0.25">
      <c r="A789" s="2"/>
    </row>
    <row r="790" spans="1:5" x14ac:dyDescent="0.25">
      <c r="A790" s="2"/>
    </row>
    <row r="791" spans="1:5" x14ac:dyDescent="0.25">
      <c r="A791" s="2"/>
      <c r="C791" s="19"/>
      <c r="E791" s="4"/>
    </row>
    <row r="792" spans="1:5" x14ac:dyDescent="0.25">
      <c r="A792" s="2"/>
      <c r="C792" s="19"/>
      <c r="E792" s="4"/>
    </row>
    <row r="793" spans="1:5" x14ac:dyDescent="0.25">
      <c r="A793" s="2"/>
      <c r="C793" s="19"/>
      <c r="E793" s="4"/>
    </row>
    <row r="794" spans="1:5" x14ac:dyDescent="0.25">
      <c r="A794" s="2"/>
      <c r="C794" s="19"/>
      <c r="E794" s="4"/>
    </row>
    <row r="795" spans="1:5" x14ac:dyDescent="0.25">
      <c r="A795" s="2"/>
      <c r="C795" s="19"/>
      <c r="E795" s="4"/>
    </row>
    <row r="796" spans="1:5" x14ac:dyDescent="0.25">
      <c r="A796" s="2"/>
    </row>
    <row r="797" spans="1:5" x14ac:dyDescent="0.25">
      <c r="A797" s="2"/>
    </row>
    <row r="798" spans="1:5" x14ac:dyDescent="0.25">
      <c r="A798" s="2"/>
    </row>
    <row r="799" spans="1:5" x14ac:dyDescent="0.25">
      <c r="A799" s="2"/>
      <c r="C799" s="19"/>
      <c r="E799" s="4"/>
    </row>
    <row r="800" spans="1:5" x14ac:dyDescent="0.25">
      <c r="A800" s="2"/>
      <c r="C800" s="19"/>
      <c r="E800" s="4"/>
    </row>
    <row r="801" spans="1:5" x14ac:dyDescent="0.25">
      <c r="A801" s="2"/>
      <c r="C801" s="19"/>
      <c r="E801" s="4"/>
    </row>
    <row r="802" spans="1:5" x14ac:dyDescent="0.25">
      <c r="A802" s="2"/>
    </row>
    <row r="803" spans="1:5" x14ac:dyDescent="0.25">
      <c r="A803" s="2"/>
      <c r="C803" s="19"/>
      <c r="E803" s="4"/>
    </row>
    <row r="804" spans="1:5" x14ac:dyDescent="0.25">
      <c r="A804" s="2"/>
    </row>
    <row r="805" spans="1:5" x14ac:dyDescent="0.25">
      <c r="A805" s="2"/>
      <c r="C805" s="19"/>
      <c r="E805" s="4"/>
    </row>
    <row r="806" spans="1:5" x14ac:dyDescent="0.25">
      <c r="A806" s="2"/>
    </row>
    <row r="807" spans="1:5" x14ac:dyDescent="0.25">
      <c r="A807" s="2"/>
    </row>
    <row r="808" spans="1:5" x14ac:dyDescent="0.25">
      <c r="A808" s="2"/>
    </row>
    <row r="809" spans="1:5" x14ac:dyDescent="0.25">
      <c r="A809" s="2"/>
    </row>
    <row r="810" spans="1:5" x14ac:dyDescent="0.25">
      <c r="A810" s="2"/>
      <c r="C810" s="19"/>
      <c r="E810" s="4"/>
    </row>
    <row r="811" spans="1:5" x14ac:dyDescent="0.25">
      <c r="A811" s="2"/>
      <c r="C811" s="19"/>
      <c r="E811" s="4"/>
    </row>
    <row r="812" spans="1:5" x14ac:dyDescent="0.25">
      <c r="A812" s="2"/>
      <c r="C812" s="19"/>
      <c r="E812" s="4"/>
    </row>
    <row r="813" spans="1:5" x14ac:dyDescent="0.25">
      <c r="A813" s="2"/>
      <c r="C813" s="19"/>
      <c r="E813" s="4"/>
    </row>
    <row r="814" spans="1:5" x14ac:dyDescent="0.25">
      <c r="A814" s="2"/>
    </row>
    <row r="815" spans="1:5" x14ac:dyDescent="0.25">
      <c r="A815" s="2"/>
    </row>
    <row r="816" spans="1:5" x14ac:dyDescent="0.25">
      <c r="A816" s="2"/>
      <c r="C816" s="19"/>
      <c r="E816" s="4"/>
    </row>
    <row r="817" spans="1:5" x14ac:dyDescent="0.25">
      <c r="A817" s="2"/>
      <c r="C817" s="19"/>
      <c r="E817" s="4"/>
    </row>
    <row r="818" spans="1:5" x14ac:dyDescent="0.25">
      <c r="A818" s="2"/>
    </row>
    <row r="819" spans="1:5" x14ac:dyDescent="0.25">
      <c r="A819" s="2"/>
      <c r="C819" s="19"/>
      <c r="E819" s="4"/>
    </row>
    <row r="820" spans="1:5" x14ac:dyDescent="0.25">
      <c r="A820" s="2"/>
    </row>
    <row r="821" spans="1:5" x14ac:dyDescent="0.25">
      <c r="A821" s="2"/>
      <c r="C821" s="19"/>
      <c r="E821" s="4"/>
    </row>
    <row r="822" spans="1:5" x14ac:dyDescent="0.25">
      <c r="A822" s="2"/>
    </row>
    <row r="823" spans="1:5" x14ac:dyDescent="0.25">
      <c r="A823" s="2"/>
    </row>
    <row r="824" spans="1:5" x14ac:dyDescent="0.25">
      <c r="A824" s="2"/>
    </row>
    <row r="825" spans="1:5" x14ac:dyDescent="0.25">
      <c r="A825" s="2"/>
    </row>
    <row r="826" spans="1:5" x14ac:dyDescent="0.25">
      <c r="A826" s="2"/>
    </row>
    <row r="827" spans="1:5" x14ac:dyDescent="0.25">
      <c r="A827" s="2"/>
    </row>
    <row r="828" spans="1:5" x14ac:dyDescent="0.25">
      <c r="A828" s="2"/>
      <c r="C828" s="19"/>
      <c r="E828" s="4"/>
    </row>
    <row r="829" spans="1:5" x14ac:dyDescent="0.25">
      <c r="A829" s="2"/>
      <c r="C829" s="19"/>
      <c r="E829" s="4"/>
    </row>
    <row r="830" spans="1:5" x14ac:dyDescent="0.25">
      <c r="A830" s="2"/>
      <c r="C830" s="19"/>
      <c r="E830" s="4"/>
    </row>
    <row r="831" spans="1:5" x14ac:dyDescent="0.25">
      <c r="A831" s="2"/>
      <c r="C831" s="19"/>
      <c r="E831" s="4"/>
    </row>
    <row r="832" spans="1:5" x14ac:dyDescent="0.25">
      <c r="A832" s="2"/>
      <c r="C832" s="19"/>
      <c r="E832" s="4"/>
    </row>
    <row r="833" spans="1:5" x14ac:dyDescent="0.25">
      <c r="A833" s="2"/>
      <c r="C833" s="19"/>
      <c r="E833" s="4"/>
    </row>
    <row r="834" spans="1:5" x14ac:dyDescent="0.25">
      <c r="A834" s="2"/>
    </row>
    <row r="835" spans="1:5" x14ac:dyDescent="0.25">
      <c r="A835" s="2"/>
    </row>
    <row r="836" spans="1:5" x14ac:dyDescent="0.25">
      <c r="A836" s="2"/>
    </row>
    <row r="837" spans="1:5" x14ac:dyDescent="0.25">
      <c r="A837" s="2"/>
    </row>
    <row r="838" spans="1:5" x14ac:dyDescent="0.25">
      <c r="A838" s="2"/>
      <c r="C838" s="19"/>
      <c r="E838" s="4"/>
    </row>
    <row r="839" spans="1:5" x14ac:dyDescent="0.25">
      <c r="A839" s="2"/>
      <c r="C839" s="19"/>
      <c r="E839" s="4"/>
    </row>
    <row r="840" spans="1:5" x14ac:dyDescent="0.25">
      <c r="A840" s="2"/>
      <c r="C840" s="19"/>
      <c r="E840" s="4"/>
    </row>
    <row r="841" spans="1:5" x14ac:dyDescent="0.25">
      <c r="A841" s="2"/>
      <c r="C841" s="19"/>
      <c r="E841" s="4"/>
    </row>
    <row r="842" spans="1:5" x14ac:dyDescent="0.25">
      <c r="A842" s="2"/>
    </row>
    <row r="843" spans="1:5" x14ac:dyDescent="0.25">
      <c r="A843" s="2"/>
    </row>
    <row r="844" spans="1:5" x14ac:dyDescent="0.25">
      <c r="A844" s="2"/>
    </row>
    <row r="845" spans="1:5" x14ac:dyDescent="0.25">
      <c r="A845" s="2"/>
    </row>
    <row r="846" spans="1:5" x14ac:dyDescent="0.25">
      <c r="A846" s="2"/>
    </row>
    <row r="847" spans="1:5" x14ac:dyDescent="0.25">
      <c r="A847" s="2"/>
    </row>
    <row r="848" spans="1:5" x14ac:dyDescent="0.25">
      <c r="A848" s="2"/>
    </row>
    <row r="849" spans="1:5" x14ac:dyDescent="0.25">
      <c r="A849" s="2"/>
    </row>
    <row r="850" spans="1:5" x14ac:dyDescent="0.25">
      <c r="A850" s="2"/>
    </row>
    <row r="851" spans="1:5" x14ac:dyDescent="0.25">
      <c r="A851" s="2"/>
      <c r="C851" s="19"/>
      <c r="E851" s="4"/>
    </row>
    <row r="852" spans="1:5" x14ac:dyDescent="0.25">
      <c r="A852" s="2"/>
      <c r="C852" s="19"/>
      <c r="E852" s="4"/>
    </row>
    <row r="853" spans="1:5" x14ac:dyDescent="0.25">
      <c r="A853" s="2"/>
      <c r="C853" s="19"/>
      <c r="E853" s="4"/>
    </row>
    <row r="854" spans="1:5" x14ac:dyDescent="0.25">
      <c r="A854" s="2"/>
      <c r="C854" s="19"/>
      <c r="E854" s="4"/>
    </row>
    <row r="855" spans="1:5" x14ac:dyDescent="0.25">
      <c r="A855" s="2"/>
      <c r="C855" s="19"/>
      <c r="E855" s="4"/>
    </row>
    <row r="856" spans="1:5" x14ac:dyDescent="0.25">
      <c r="A856" s="2"/>
      <c r="C856" s="19"/>
      <c r="E856" s="4"/>
    </row>
    <row r="857" spans="1:5" x14ac:dyDescent="0.25">
      <c r="A857" s="2"/>
      <c r="C857" s="19"/>
      <c r="E857" s="4"/>
    </row>
    <row r="858" spans="1:5" x14ac:dyDescent="0.25">
      <c r="A858" s="2"/>
      <c r="C858" s="19"/>
      <c r="E858" s="4"/>
    </row>
    <row r="859" spans="1:5" x14ac:dyDescent="0.25">
      <c r="A859" s="2"/>
      <c r="C859" s="19"/>
      <c r="E859" s="4"/>
    </row>
    <row r="860" spans="1:5" x14ac:dyDescent="0.25">
      <c r="A860" s="2"/>
    </row>
    <row r="861" spans="1:5" x14ac:dyDescent="0.25">
      <c r="A861" s="2"/>
    </row>
    <row r="862" spans="1:5" x14ac:dyDescent="0.25">
      <c r="A862" s="2"/>
      <c r="C862" s="19"/>
      <c r="E862" s="4"/>
    </row>
    <row r="863" spans="1:5" x14ac:dyDescent="0.25">
      <c r="A863" s="2"/>
      <c r="C863" s="19"/>
      <c r="E863" s="4"/>
    </row>
    <row r="864" spans="1:5" x14ac:dyDescent="0.25">
      <c r="A864" s="2"/>
    </row>
    <row r="865" spans="1:5" x14ac:dyDescent="0.25">
      <c r="A865" s="2"/>
      <c r="C865" s="19"/>
      <c r="E865" s="4"/>
    </row>
    <row r="866" spans="1:5" x14ac:dyDescent="0.25">
      <c r="A866" s="2"/>
    </row>
    <row r="867" spans="1:5" x14ac:dyDescent="0.25">
      <c r="A867" s="2"/>
      <c r="C867" s="19"/>
      <c r="E867" s="4"/>
    </row>
    <row r="868" spans="1:5" x14ac:dyDescent="0.25">
      <c r="A868" s="2"/>
    </row>
    <row r="869" spans="1:5" x14ac:dyDescent="0.25">
      <c r="A869" s="2"/>
    </row>
    <row r="870" spans="1:5" x14ac:dyDescent="0.25">
      <c r="A870" s="2"/>
      <c r="C870" s="19"/>
      <c r="E870" s="4"/>
    </row>
    <row r="871" spans="1:5" x14ac:dyDescent="0.25">
      <c r="A871" s="2"/>
      <c r="C871" s="19"/>
      <c r="E871" s="4"/>
    </row>
    <row r="872" spans="1:5" x14ac:dyDescent="0.25">
      <c r="A872" s="2"/>
    </row>
    <row r="873" spans="1:5" x14ac:dyDescent="0.25">
      <c r="A873" s="2"/>
    </row>
    <row r="874" spans="1:5" x14ac:dyDescent="0.25">
      <c r="A874" s="2"/>
      <c r="C874" s="19"/>
      <c r="E874" s="4"/>
    </row>
    <row r="875" spans="1:5" x14ac:dyDescent="0.25">
      <c r="A875" s="2"/>
      <c r="C875" s="19"/>
      <c r="E875" s="4"/>
    </row>
    <row r="876" spans="1:5" x14ac:dyDescent="0.25">
      <c r="A876" s="2"/>
    </row>
    <row r="877" spans="1:5" x14ac:dyDescent="0.25">
      <c r="A877" s="2"/>
      <c r="C877" s="19"/>
      <c r="E877" s="4"/>
    </row>
    <row r="878" spans="1:5" x14ac:dyDescent="0.25">
      <c r="A878" s="2"/>
    </row>
    <row r="879" spans="1:5" x14ac:dyDescent="0.25">
      <c r="A879" s="2"/>
      <c r="C879" s="19"/>
      <c r="E879" s="4"/>
    </row>
    <row r="880" spans="1:5" x14ac:dyDescent="0.25">
      <c r="A880" s="2"/>
    </row>
    <row r="881" spans="1:5" x14ac:dyDescent="0.25">
      <c r="A881" s="2"/>
      <c r="C881" s="19"/>
      <c r="E881" s="4"/>
    </row>
    <row r="882" spans="1:5" x14ac:dyDescent="0.25">
      <c r="A882" s="2"/>
    </row>
    <row r="883" spans="1:5" x14ac:dyDescent="0.25">
      <c r="A883" s="2"/>
      <c r="C883" s="19"/>
      <c r="E883" s="4"/>
    </row>
    <row r="884" spans="1:5" x14ac:dyDescent="0.25">
      <c r="A884" s="2"/>
    </row>
    <row r="885" spans="1:5" x14ac:dyDescent="0.25">
      <c r="A885" s="2"/>
    </row>
    <row r="886" spans="1:5" x14ac:dyDescent="0.25">
      <c r="A886" s="2"/>
      <c r="C886" s="19"/>
      <c r="E886" s="4"/>
    </row>
    <row r="887" spans="1:5" x14ac:dyDescent="0.25">
      <c r="A887" s="2"/>
      <c r="C887" s="19"/>
      <c r="E887" s="4"/>
    </row>
    <row r="888" spans="1:5" x14ac:dyDescent="0.25">
      <c r="A888" s="2"/>
    </row>
    <row r="889" spans="1:5" x14ac:dyDescent="0.25">
      <c r="A889" s="2"/>
      <c r="C889" s="19"/>
      <c r="E889" s="4"/>
    </row>
    <row r="890" spans="1:5" x14ac:dyDescent="0.25">
      <c r="A890" s="2"/>
    </row>
    <row r="891" spans="1:5" x14ac:dyDescent="0.25">
      <c r="A891" s="2"/>
      <c r="C891" s="19"/>
      <c r="E891" s="4"/>
    </row>
    <row r="892" spans="1:5" x14ac:dyDescent="0.25">
      <c r="A892" s="2"/>
    </row>
    <row r="893" spans="1:5" x14ac:dyDescent="0.25">
      <c r="A893" s="2"/>
      <c r="C893" s="19"/>
      <c r="E893" s="4"/>
    </row>
    <row r="894" spans="1:5" x14ac:dyDescent="0.25">
      <c r="A894" s="2"/>
    </row>
    <row r="895" spans="1:5" x14ac:dyDescent="0.25">
      <c r="A895" s="2"/>
    </row>
    <row r="896" spans="1:5" x14ac:dyDescent="0.25">
      <c r="A896" s="2"/>
      <c r="C896" s="19"/>
      <c r="E896" s="4"/>
    </row>
    <row r="897" spans="1:5" x14ac:dyDescent="0.25">
      <c r="A897" s="2"/>
      <c r="C897" s="19"/>
      <c r="E897" s="4"/>
    </row>
    <row r="898" spans="1:5" x14ac:dyDescent="0.25">
      <c r="A898" s="2"/>
    </row>
    <row r="899" spans="1:5" x14ac:dyDescent="0.25">
      <c r="A899" s="2"/>
      <c r="C899" s="19"/>
      <c r="E899" s="4"/>
    </row>
    <row r="900" spans="1:5" x14ac:dyDescent="0.25">
      <c r="A900" s="2"/>
    </row>
    <row r="901" spans="1:5" x14ac:dyDescent="0.25">
      <c r="A901" s="2"/>
    </row>
    <row r="902" spans="1:5" x14ac:dyDescent="0.25">
      <c r="A902" s="2"/>
    </row>
    <row r="903" spans="1:5" x14ac:dyDescent="0.25">
      <c r="A903" s="2"/>
    </row>
    <row r="904" spans="1:5" x14ac:dyDescent="0.25">
      <c r="A904" s="2"/>
    </row>
    <row r="905" spans="1:5" x14ac:dyDescent="0.25">
      <c r="A905" s="2"/>
    </row>
    <row r="906" spans="1:5" x14ac:dyDescent="0.25">
      <c r="A906" s="2"/>
    </row>
    <row r="907" spans="1:5" x14ac:dyDescent="0.25">
      <c r="A907" s="2"/>
      <c r="C907" s="19"/>
      <c r="E907" s="4"/>
    </row>
    <row r="908" spans="1:5" x14ac:dyDescent="0.25">
      <c r="A908" s="2"/>
      <c r="C908" s="19"/>
      <c r="E908" s="4"/>
    </row>
    <row r="909" spans="1:5" x14ac:dyDescent="0.25">
      <c r="A909" s="2"/>
      <c r="C909" s="19"/>
      <c r="E909" s="4"/>
    </row>
    <row r="910" spans="1:5" x14ac:dyDescent="0.25">
      <c r="A910" s="2"/>
      <c r="C910" s="19"/>
      <c r="E910" s="4"/>
    </row>
    <row r="911" spans="1:5" x14ac:dyDescent="0.25">
      <c r="A911" s="2"/>
      <c r="C911" s="19"/>
      <c r="E911" s="4"/>
    </row>
    <row r="912" spans="1:5" x14ac:dyDescent="0.25">
      <c r="A912" s="2"/>
      <c r="C912" s="19"/>
      <c r="E912" s="4"/>
    </row>
    <row r="913" spans="1:5" x14ac:dyDescent="0.25">
      <c r="A913" s="2"/>
      <c r="C913" s="19"/>
      <c r="E913" s="4"/>
    </row>
    <row r="914" spans="1:5" x14ac:dyDescent="0.25">
      <c r="A914" s="2"/>
    </row>
    <row r="915" spans="1:5" x14ac:dyDescent="0.25">
      <c r="A915" s="2"/>
    </row>
    <row r="916" spans="1:5" x14ac:dyDescent="0.25">
      <c r="A916" s="2"/>
    </row>
    <row r="917" spans="1:5" x14ac:dyDescent="0.25">
      <c r="A917" s="2"/>
    </row>
    <row r="918" spans="1:5" x14ac:dyDescent="0.25">
      <c r="A918" s="2"/>
    </row>
    <row r="919" spans="1:5" x14ac:dyDescent="0.25">
      <c r="A919" s="2"/>
      <c r="C919" s="19"/>
      <c r="E919" s="4"/>
    </row>
    <row r="920" spans="1:5" x14ac:dyDescent="0.25">
      <c r="A920" s="2"/>
      <c r="C920" s="19"/>
      <c r="E920" s="4"/>
    </row>
    <row r="921" spans="1:5" x14ac:dyDescent="0.25">
      <c r="A921" s="2"/>
      <c r="C921" s="19"/>
      <c r="E921" s="4"/>
    </row>
    <row r="922" spans="1:5" x14ac:dyDescent="0.25">
      <c r="A922" s="2"/>
      <c r="C922" s="19"/>
      <c r="E922" s="4"/>
    </row>
    <row r="923" spans="1:5" x14ac:dyDescent="0.25">
      <c r="A923" s="2"/>
      <c r="C923" s="19"/>
      <c r="E923" s="4"/>
    </row>
    <row r="924" spans="1:5" x14ac:dyDescent="0.25">
      <c r="A924" s="2"/>
    </row>
    <row r="925" spans="1:5" x14ac:dyDescent="0.25">
      <c r="A925" s="2"/>
    </row>
    <row r="926" spans="1:5" x14ac:dyDescent="0.25">
      <c r="A926" s="2"/>
      <c r="C926" s="19"/>
      <c r="E926" s="4"/>
    </row>
    <row r="927" spans="1:5" x14ac:dyDescent="0.25">
      <c r="A927" s="2"/>
      <c r="C927" s="19"/>
      <c r="E927" s="4"/>
    </row>
    <row r="928" spans="1:5" x14ac:dyDescent="0.25">
      <c r="A928" s="2"/>
    </row>
    <row r="929" spans="1:5" x14ac:dyDescent="0.25">
      <c r="A929" s="2"/>
      <c r="C929" s="19"/>
      <c r="E929" s="4"/>
    </row>
    <row r="930" spans="1:5" x14ac:dyDescent="0.25">
      <c r="A930" s="2"/>
    </row>
    <row r="931" spans="1:5" x14ac:dyDescent="0.25">
      <c r="A931" s="2"/>
    </row>
    <row r="932" spans="1:5" x14ac:dyDescent="0.25">
      <c r="A932" s="2"/>
      <c r="C932" s="19"/>
      <c r="E932" s="4"/>
    </row>
    <row r="933" spans="1:5" x14ac:dyDescent="0.25">
      <c r="A933" s="2"/>
      <c r="C933" s="19"/>
      <c r="E933" s="4"/>
    </row>
    <row r="934" spans="1:5" x14ac:dyDescent="0.25">
      <c r="A934" s="2"/>
    </row>
    <row r="935" spans="1:5" x14ac:dyDescent="0.25">
      <c r="A935" s="2"/>
      <c r="C935" s="19"/>
      <c r="E935" s="4"/>
    </row>
    <row r="936" spans="1:5" x14ac:dyDescent="0.25">
      <c r="A936" s="2"/>
    </row>
    <row r="937" spans="1:5" x14ac:dyDescent="0.25">
      <c r="A937" s="2"/>
      <c r="C937" s="19"/>
      <c r="E937" s="4"/>
    </row>
    <row r="938" spans="1:5" x14ac:dyDescent="0.25">
      <c r="A938" s="2"/>
    </row>
    <row r="939" spans="1:5" x14ac:dyDescent="0.25">
      <c r="A939" s="2"/>
      <c r="C939" s="19"/>
      <c r="E939" s="4"/>
    </row>
    <row r="940" spans="1:5" x14ac:dyDescent="0.25">
      <c r="A940" s="2"/>
    </row>
    <row r="941" spans="1:5" x14ac:dyDescent="0.25">
      <c r="A941" s="2"/>
      <c r="C941" s="19"/>
      <c r="E941" s="4"/>
    </row>
    <row r="942" spans="1:5" x14ac:dyDescent="0.25">
      <c r="A942" s="2"/>
    </row>
    <row r="943" spans="1:5" x14ac:dyDescent="0.25">
      <c r="A943" s="2"/>
      <c r="C943" s="19"/>
      <c r="E943" s="4"/>
    </row>
    <row r="944" spans="1:5" x14ac:dyDescent="0.25">
      <c r="A944" s="2"/>
    </row>
    <row r="945" spans="1:5" x14ac:dyDescent="0.25">
      <c r="A945" s="2"/>
      <c r="C945" s="19"/>
      <c r="E945" s="4"/>
    </row>
    <row r="946" spans="1:5" x14ac:dyDescent="0.25">
      <c r="A946" s="2"/>
    </row>
    <row r="947" spans="1:5" x14ac:dyDescent="0.25">
      <c r="A947" s="2"/>
      <c r="C947" s="19"/>
      <c r="E947" s="4"/>
    </row>
    <row r="948" spans="1:5" x14ac:dyDescent="0.25">
      <c r="A948" s="2"/>
    </row>
    <row r="949" spans="1:5" x14ac:dyDescent="0.25">
      <c r="A949" s="2"/>
      <c r="C949" s="19"/>
      <c r="E949" s="4"/>
    </row>
    <row r="950" spans="1:5" x14ac:dyDescent="0.25">
      <c r="A950" s="2"/>
    </row>
    <row r="951" spans="1:5" x14ac:dyDescent="0.25">
      <c r="A951" s="2"/>
      <c r="C951" s="19"/>
      <c r="E951" s="4"/>
    </row>
    <row r="952" spans="1:5" x14ac:dyDescent="0.25">
      <c r="A952" s="2"/>
    </row>
    <row r="953" spans="1:5" x14ac:dyDescent="0.25">
      <c r="A953" s="2"/>
    </row>
    <row r="954" spans="1:5" x14ac:dyDescent="0.25">
      <c r="A954" s="2"/>
    </row>
    <row r="955" spans="1:5" x14ac:dyDescent="0.25">
      <c r="A955" s="2"/>
    </row>
    <row r="956" spans="1:5" x14ac:dyDescent="0.25">
      <c r="A956" s="2"/>
      <c r="C956" s="19"/>
      <c r="E956" s="4"/>
    </row>
    <row r="957" spans="1:5" x14ac:dyDescent="0.25">
      <c r="A957" s="2"/>
      <c r="C957" s="19"/>
      <c r="E957" s="4"/>
    </row>
    <row r="958" spans="1:5" x14ac:dyDescent="0.25">
      <c r="A958" s="2"/>
      <c r="C958" s="19"/>
      <c r="E958" s="4"/>
    </row>
    <row r="959" spans="1:5" x14ac:dyDescent="0.25">
      <c r="A959" s="2"/>
      <c r="C959" s="19"/>
      <c r="E959" s="4"/>
    </row>
    <row r="960" spans="1:5" x14ac:dyDescent="0.25">
      <c r="A960" s="2"/>
    </row>
    <row r="961" spans="1:5" x14ac:dyDescent="0.25">
      <c r="A961" s="2"/>
    </row>
    <row r="962" spans="1:5" x14ac:dyDescent="0.25">
      <c r="A962" s="2"/>
    </row>
    <row r="963" spans="1:5" x14ac:dyDescent="0.25">
      <c r="A963" s="2"/>
    </row>
    <row r="964" spans="1:5" x14ac:dyDescent="0.25">
      <c r="A964" s="2"/>
    </row>
    <row r="965" spans="1:5" x14ac:dyDescent="0.25">
      <c r="A965" s="2"/>
      <c r="C965" s="19"/>
      <c r="E965" s="4"/>
    </row>
    <row r="966" spans="1:5" x14ac:dyDescent="0.25">
      <c r="A966" s="2"/>
      <c r="C966" s="19"/>
      <c r="E966" s="4"/>
    </row>
    <row r="967" spans="1:5" x14ac:dyDescent="0.25">
      <c r="A967" s="2"/>
      <c r="C967" s="19"/>
      <c r="E967" s="4"/>
    </row>
    <row r="968" spans="1:5" x14ac:dyDescent="0.25">
      <c r="A968" s="2"/>
      <c r="C968" s="19"/>
      <c r="E968" s="4"/>
    </row>
    <row r="969" spans="1:5" x14ac:dyDescent="0.25">
      <c r="A969" s="2"/>
      <c r="C969" s="19"/>
      <c r="E969" s="4"/>
    </row>
    <row r="970" spans="1:5" x14ac:dyDescent="0.25">
      <c r="A970" s="2"/>
      <c r="D970" s="4"/>
    </row>
    <row r="971" spans="1:5" x14ac:dyDescent="0.25">
      <c r="A971" s="2"/>
      <c r="D971" s="4"/>
    </row>
    <row r="972" spans="1:5" x14ac:dyDescent="0.25">
      <c r="A972" s="2"/>
      <c r="D972" s="4"/>
    </row>
    <row r="973" spans="1:5" x14ac:dyDescent="0.25">
      <c r="A973" s="2"/>
      <c r="D973" s="4"/>
    </row>
    <row r="974" spans="1:5" x14ac:dyDescent="0.25">
      <c r="A974" s="2"/>
      <c r="D974" s="4"/>
    </row>
    <row r="975" spans="1:5" x14ac:dyDescent="0.25">
      <c r="A975" s="2"/>
      <c r="D975" s="4"/>
    </row>
    <row r="976" spans="1:5" x14ac:dyDescent="0.25">
      <c r="A976" s="2"/>
      <c r="D976" s="4"/>
    </row>
    <row r="977" spans="1:5" x14ac:dyDescent="0.25">
      <c r="A977" s="2"/>
      <c r="D977" s="4"/>
    </row>
    <row r="978" spans="1:5" x14ac:dyDescent="0.25">
      <c r="A978" s="2"/>
      <c r="D978" s="4"/>
    </row>
    <row r="979" spans="1:5" x14ac:dyDescent="0.25">
      <c r="A979" s="2"/>
      <c r="C979" s="19"/>
      <c r="D979" s="4"/>
      <c r="E979" s="4"/>
    </row>
    <row r="980" spans="1:5" x14ac:dyDescent="0.25">
      <c r="A980" s="2"/>
      <c r="C980" s="19"/>
      <c r="D980" s="4"/>
      <c r="E980" s="4"/>
    </row>
    <row r="981" spans="1:5" x14ac:dyDescent="0.25">
      <c r="A981" s="2"/>
      <c r="C981" s="19"/>
      <c r="D981" s="4"/>
      <c r="E981" s="4"/>
    </row>
    <row r="982" spans="1:5" x14ac:dyDescent="0.25">
      <c r="A982" s="2"/>
      <c r="C982" s="19"/>
      <c r="D982" s="4"/>
      <c r="E982" s="4"/>
    </row>
    <row r="983" spans="1:5" x14ac:dyDescent="0.25">
      <c r="A983" s="2"/>
      <c r="C983" s="19"/>
      <c r="D983" s="4"/>
      <c r="E983" s="4"/>
    </row>
    <row r="984" spans="1:5" x14ac:dyDescent="0.25">
      <c r="A984" s="2"/>
      <c r="C984" s="19"/>
      <c r="D984" s="4"/>
      <c r="E984" s="4"/>
    </row>
    <row r="985" spans="1:5" x14ac:dyDescent="0.25">
      <c r="A985" s="2"/>
      <c r="C985" s="19"/>
      <c r="D985" s="4"/>
      <c r="E985" s="4"/>
    </row>
    <row r="986" spans="1:5" x14ac:dyDescent="0.25">
      <c r="A986" s="2"/>
      <c r="C986" s="19"/>
      <c r="D986" s="4"/>
      <c r="E986" s="4"/>
    </row>
    <row r="987" spans="1:5" x14ac:dyDescent="0.25">
      <c r="A987" s="2"/>
      <c r="C987" s="19"/>
      <c r="D987" s="4"/>
      <c r="E987" s="4"/>
    </row>
    <row r="988" spans="1:5" x14ac:dyDescent="0.25">
      <c r="A988" s="2"/>
    </row>
    <row r="989" spans="1:5" x14ac:dyDescent="0.25">
      <c r="A989" s="2"/>
    </row>
    <row r="990" spans="1:5" x14ac:dyDescent="0.25">
      <c r="A990" s="2"/>
    </row>
    <row r="991" spans="1:5" x14ac:dyDescent="0.25">
      <c r="A991" s="2"/>
    </row>
    <row r="992" spans="1:5" x14ac:dyDescent="0.25">
      <c r="A992" s="2"/>
    </row>
    <row r="993" spans="1:5" x14ac:dyDescent="0.25">
      <c r="A993" s="2"/>
      <c r="C993" s="19"/>
      <c r="E993" s="4"/>
    </row>
    <row r="994" spans="1:5" x14ac:dyDescent="0.25">
      <c r="A994" s="2"/>
      <c r="C994" s="19"/>
      <c r="E994" s="4"/>
    </row>
    <row r="995" spans="1:5" x14ac:dyDescent="0.25">
      <c r="A995" s="2"/>
      <c r="C995" s="19"/>
      <c r="E995" s="4"/>
    </row>
    <row r="996" spans="1:5" x14ac:dyDescent="0.25">
      <c r="A996" s="2"/>
      <c r="C996" s="19"/>
      <c r="E996" s="4"/>
    </row>
    <row r="997" spans="1:5" x14ac:dyDescent="0.25">
      <c r="A997" s="2"/>
      <c r="C997" s="19"/>
      <c r="E997" s="4"/>
    </row>
    <row r="998" spans="1:5" x14ac:dyDescent="0.25">
      <c r="A998" s="2"/>
    </row>
    <row r="999" spans="1:5" x14ac:dyDescent="0.25">
      <c r="A999" s="2"/>
    </row>
    <row r="1000" spans="1:5" x14ac:dyDescent="0.25">
      <c r="A1000" s="2"/>
    </row>
    <row r="1001" spans="1:5" x14ac:dyDescent="0.25">
      <c r="A1001" s="2"/>
    </row>
    <row r="1002" spans="1:5" x14ac:dyDescent="0.25">
      <c r="A1002" s="2"/>
    </row>
    <row r="1003" spans="1:5" x14ac:dyDescent="0.25">
      <c r="A1003" s="2"/>
      <c r="C1003" s="19"/>
      <c r="E1003" s="4"/>
    </row>
    <row r="1004" spans="1:5" x14ac:dyDescent="0.25">
      <c r="A1004" s="2"/>
      <c r="C1004" s="19"/>
      <c r="E1004" s="4"/>
    </row>
    <row r="1005" spans="1:5" x14ac:dyDescent="0.25">
      <c r="A1005" s="2"/>
      <c r="C1005" s="19"/>
      <c r="E1005" s="4"/>
    </row>
    <row r="1006" spans="1:5" x14ac:dyDescent="0.25">
      <c r="A1006" s="2"/>
      <c r="C1006" s="19"/>
      <c r="E1006" s="4"/>
    </row>
    <row r="1007" spans="1:5" x14ac:dyDescent="0.25">
      <c r="A1007" s="2"/>
      <c r="C1007" s="19"/>
      <c r="E1007" s="4"/>
    </row>
    <row r="1008" spans="1:5" x14ac:dyDescent="0.25">
      <c r="A1008" s="2"/>
    </row>
    <row r="1009" spans="1:5" x14ac:dyDescent="0.25">
      <c r="A1009" s="2"/>
    </row>
    <row r="1010" spans="1:5" x14ac:dyDescent="0.25">
      <c r="A1010" s="2"/>
    </row>
    <row r="1011" spans="1:5" x14ac:dyDescent="0.25">
      <c r="A1011" s="2"/>
      <c r="C1011" s="19"/>
      <c r="E1011" s="4"/>
    </row>
    <row r="1012" spans="1:5" x14ac:dyDescent="0.25">
      <c r="A1012" s="2"/>
      <c r="C1012" s="19"/>
      <c r="E1012" s="4"/>
    </row>
    <row r="1013" spans="1:5" x14ac:dyDescent="0.25">
      <c r="A1013" s="2"/>
      <c r="C1013" s="19"/>
      <c r="E1013" s="4"/>
    </row>
    <row r="1014" spans="1:5" x14ac:dyDescent="0.25">
      <c r="A1014" s="2"/>
    </row>
    <row r="1015" spans="1:5" x14ac:dyDescent="0.25">
      <c r="A1015" s="2"/>
      <c r="C1015" s="19"/>
      <c r="E1015" s="4"/>
    </row>
    <row r="1016" spans="1:5" x14ac:dyDescent="0.25">
      <c r="A1016" s="2"/>
    </row>
    <row r="1017" spans="1:5" x14ac:dyDescent="0.25">
      <c r="A1017" s="2"/>
    </row>
    <row r="1018" spans="1:5" x14ac:dyDescent="0.25">
      <c r="A1018" s="2"/>
      <c r="C1018" s="19"/>
      <c r="E1018" s="4"/>
    </row>
    <row r="1019" spans="1:5" x14ac:dyDescent="0.25">
      <c r="A1019" s="2"/>
      <c r="C1019" s="19"/>
      <c r="E1019" s="4"/>
    </row>
    <row r="1020" spans="1:5" x14ac:dyDescent="0.25">
      <c r="A1020" s="2"/>
    </row>
    <row r="1021" spans="1:5" x14ac:dyDescent="0.25">
      <c r="A1021" s="2"/>
      <c r="C1021" s="19"/>
      <c r="E1021" s="4"/>
    </row>
    <row r="1022" spans="1:5" x14ac:dyDescent="0.25">
      <c r="A1022" s="2"/>
    </row>
    <row r="1023" spans="1:5" x14ac:dyDescent="0.25">
      <c r="A1023" s="2"/>
    </row>
    <row r="1024" spans="1:5" x14ac:dyDescent="0.25">
      <c r="A1024" s="2"/>
      <c r="C1024" s="19"/>
      <c r="E1024" s="4"/>
    </row>
    <row r="1025" spans="1:5" x14ac:dyDescent="0.25">
      <c r="A1025" s="2"/>
      <c r="C1025" s="19"/>
      <c r="E1025" s="4"/>
    </row>
    <row r="1026" spans="1:5" x14ac:dyDescent="0.25">
      <c r="A1026" s="2"/>
    </row>
    <row r="1027" spans="1:5" x14ac:dyDescent="0.25">
      <c r="A1027" s="2"/>
    </row>
    <row r="1028" spans="1:5" x14ac:dyDescent="0.25">
      <c r="A1028" s="2"/>
      <c r="C1028" s="19"/>
      <c r="E1028" s="4"/>
    </row>
    <row r="1029" spans="1:5" x14ac:dyDescent="0.25">
      <c r="A1029" s="2"/>
      <c r="C1029" s="19"/>
      <c r="E1029" s="4"/>
    </row>
    <row r="1030" spans="1:5" x14ac:dyDescent="0.25">
      <c r="A1030" s="2"/>
    </row>
    <row r="1031" spans="1:5" x14ac:dyDescent="0.25">
      <c r="A1031" s="2"/>
      <c r="C1031" s="19"/>
      <c r="E1031" s="4"/>
    </row>
    <row r="1032" spans="1:5" x14ac:dyDescent="0.25">
      <c r="A1032" s="2"/>
    </row>
    <row r="1033" spans="1:5" x14ac:dyDescent="0.25">
      <c r="A1033" s="2"/>
      <c r="C1033" s="19"/>
      <c r="E1033" s="4"/>
    </row>
    <row r="1034" spans="1:5" x14ac:dyDescent="0.25">
      <c r="A1034" s="2"/>
    </row>
    <row r="1035" spans="1:5" x14ac:dyDescent="0.25">
      <c r="A1035" s="2"/>
      <c r="C1035" s="19"/>
      <c r="E1035" s="4"/>
    </row>
    <row r="1036" spans="1:5" x14ac:dyDescent="0.25">
      <c r="A1036" s="2"/>
      <c r="C1036" s="19"/>
      <c r="D1036" s="4"/>
      <c r="E1036" s="4"/>
    </row>
    <row r="1037" spans="1:5" x14ac:dyDescent="0.25">
      <c r="A1037" s="2"/>
      <c r="D1037" s="4"/>
    </row>
    <row r="1038" spans="1:5" x14ac:dyDescent="0.25">
      <c r="A1038" s="2"/>
    </row>
    <row r="1039" spans="1:5" x14ac:dyDescent="0.25">
      <c r="A1039" s="2"/>
      <c r="C1039" s="19"/>
      <c r="E1039" s="4"/>
    </row>
    <row r="1040" spans="1:5" x14ac:dyDescent="0.25">
      <c r="A1040" s="2"/>
    </row>
    <row r="1041" spans="1:5" x14ac:dyDescent="0.25">
      <c r="A1041" s="2"/>
      <c r="C1041" s="19"/>
      <c r="E1041" s="4"/>
    </row>
    <row r="1042" spans="1:5" x14ac:dyDescent="0.25">
      <c r="A1042" s="2"/>
    </row>
    <row r="1043" spans="1:5" x14ac:dyDescent="0.25">
      <c r="A1043" s="2"/>
    </row>
    <row r="1044" spans="1:5" x14ac:dyDescent="0.25">
      <c r="A1044" s="2"/>
    </row>
    <row r="1045" spans="1:5" x14ac:dyDescent="0.25">
      <c r="A1045" s="2"/>
    </row>
    <row r="1046" spans="1:5" x14ac:dyDescent="0.25">
      <c r="A1046" s="2"/>
      <c r="C1046" s="19"/>
      <c r="E1046" s="4"/>
    </row>
    <row r="1047" spans="1:5" x14ac:dyDescent="0.25">
      <c r="A1047" s="2"/>
      <c r="C1047" s="19"/>
      <c r="E1047" s="4"/>
    </row>
    <row r="1048" spans="1:5" x14ac:dyDescent="0.25">
      <c r="A1048" s="2"/>
      <c r="C1048" s="19"/>
      <c r="E1048" s="4"/>
    </row>
    <row r="1049" spans="1:5" x14ac:dyDescent="0.25">
      <c r="A1049" s="2"/>
      <c r="C1049" s="19"/>
      <c r="E1049" s="4"/>
    </row>
    <row r="1050" spans="1:5" x14ac:dyDescent="0.25">
      <c r="A1050" s="2"/>
    </row>
    <row r="1051" spans="1:5" x14ac:dyDescent="0.25">
      <c r="A1051" s="2"/>
      <c r="C1051" s="19"/>
      <c r="E1051" s="4"/>
    </row>
    <row r="1052" spans="1:5" x14ac:dyDescent="0.25">
      <c r="A1052" s="2"/>
    </row>
    <row r="1053" spans="1:5" x14ac:dyDescent="0.25">
      <c r="A1053" s="2"/>
    </row>
    <row r="1054" spans="1:5" x14ac:dyDescent="0.25">
      <c r="A1054" s="2"/>
    </row>
    <row r="1055" spans="1:5" x14ac:dyDescent="0.25">
      <c r="A1055" s="2"/>
    </row>
    <row r="1056" spans="1:5" x14ac:dyDescent="0.25">
      <c r="A1056" s="2"/>
      <c r="C1056" s="19"/>
      <c r="E1056" s="4"/>
    </row>
    <row r="1057" spans="1:5" x14ac:dyDescent="0.25">
      <c r="A1057" s="2"/>
      <c r="C1057" s="19"/>
      <c r="E1057" s="4"/>
    </row>
    <row r="1058" spans="1:5" x14ac:dyDescent="0.25">
      <c r="A1058" s="2"/>
      <c r="C1058" s="19"/>
      <c r="E1058" s="4"/>
    </row>
    <row r="1059" spans="1:5" x14ac:dyDescent="0.25">
      <c r="A1059" s="2"/>
      <c r="C1059" s="19"/>
      <c r="E1059" s="4"/>
    </row>
    <row r="1060" spans="1:5" x14ac:dyDescent="0.25">
      <c r="A1060" s="2"/>
      <c r="D1060" s="4"/>
    </row>
    <row r="1061" spans="1:5" x14ac:dyDescent="0.25">
      <c r="A1061" s="2"/>
      <c r="D1061" s="4"/>
    </row>
    <row r="1062" spans="1:5" x14ac:dyDescent="0.25">
      <c r="A1062" s="2"/>
      <c r="C1062" s="19"/>
      <c r="D1062" s="4"/>
      <c r="E1062" s="4"/>
    </row>
    <row r="1063" spans="1:5" x14ac:dyDescent="0.25">
      <c r="A1063" s="2"/>
      <c r="C1063" s="19"/>
      <c r="D1063" s="4"/>
      <c r="E1063" s="4"/>
    </row>
    <row r="1064" spans="1:5" x14ac:dyDescent="0.25">
      <c r="A1064" s="2"/>
    </row>
    <row r="1065" spans="1:5" x14ac:dyDescent="0.25">
      <c r="A1065" s="2"/>
    </row>
    <row r="1066" spans="1:5" x14ac:dyDescent="0.25">
      <c r="A1066" s="2"/>
    </row>
    <row r="1067" spans="1:5" x14ac:dyDescent="0.25">
      <c r="A1067" s="2"/>
    </row>
    <row r="1068" spans="1:5" x14ac:dyDescent="0.25">
      <c r="A1068" s="2"/>
    </row>
    <row r="1069" spans="1:5" x14ac:dyDescent="0.25">
      <c r="A1069" s="2"/>
    </row>
    <row r="1070" spans="1:5" x14ac:dyDescent="0.25">
      <c r="A1070" s="2"/>
    </row>
    <row r="1071" spans="1:5" x14ac:dyDescent="0.25">
      <c r="A1071" s="2"/>
    </row>
    <row r="1072" spans="1:5" x14ac:dyDescent="0.25">
      <c r="A1072" s="2"/>
    </row>
    <row r="1073" spans="1:5" x14ac:dyDescent="0.25">
      <c r="A1073" s="2"/>
    </row>
    <row r="1074" spans="1:5" x14ac:dyDescent="0.25">
      <c r="A1074" s="2"/>
    </row>
    <row r="1075" spans="1:5" x14ac:dyDescent="0.25">
      <c r="A1075" s="2"/>
      <c r="C1075" s="19"/>
      <c r="E1075" s="4"/>
    </row>
    <row r="1076" spans="1:5" x14ac:dyDescent="0.25">
      <c r="A1076" s="2"/>
      <c r="C1076" s="19"/>
      <c r="E1076" s="4"/>
    </row>
    <row r="1077" spans="1:5" x14ac:dyDescent="0.25">
      <c r="A1077" s="2"/>
      <c r="C1077" s="19"/>
      <c r="E1077" s="4"/>
    </row>
    <row r="1078" spans="1:5" x14ac:dyDescent="0.25">
      <c r="A1078" s="2"/>
      <c r="C1078" s="19"/>
      <c r="E1078" s="4"/>
    </row>
    <row r="1079" spans="1:5" x14ac:dyDescent="0.25">
      <c r="A1079" s="2"/>
      <c r="C1079" s="19"/>
      <c r="E1079" s="4"/>
    </row>
    <row r="1080" spans="1:5" x14ac:dyDescent="0.25">
      <c r="A1080" s="2"/>
      <c r="C1080" s="19"/>
      <c r="E1080" s="4"/>
    </row>
    <row r="1081" spans="1:5" x14ac:dyDescent="0.25">
      <c r="A1081" s="2"/>
      <c r="C1081" s="19"/>
      <c r="E1081" s="4"/>
    </row>
    <row r="1082" spans="1:5" x14ac:dyDescent="0.25">
      <c r="A1082" s="2"/>
      <c r="C1082" s="19"/>
      <c r="E1082" s="4"/>
    </row>
    <row r="1083" spans="1:5" x14ac:dyDescent="0.25">
      <c r="A1083" s="2"/>
      <c r="C1083" s="19"/>
      <c r="E1083" s="4"/>
    </row>
    <row r="1084" spans="1:5" x14ac:dyDescent="0.25">
      <c r="A1084" s="2"/>
      <c r="C1084" s="19"/>
      <c r="E1084" s="4"/>
    </row>
    <row r="1085" spans="1:5" x14ac:dyDescent="0.25">
      <c r="A1085" s="2"/>
      <c r="C1085" s="19"/>
      <c r="E1085" s="4"/>
    </row>
    <row r="1086" spans="1:5" x14ac:dyDescent="0.25">
      <c r="A1086" s="2"/>
    </row>
    <row r="1087" spans="1:5" x14ac:dyDescent="0.25">
      <c r="A1087" s="2"/>
    </row>
    <row r="1088" spans="1:5" x14ac:dyDescent="0.25">
      <c r="A1088" s="2"/>
    </row>
    <row r="1089" spans="1:5" x14ac:dyDescent="0.25">
      <c r="A1089" s="2"/>
    </row>
    <row r="1090" spans="1:5" x14ac:dyDescent="0.25">
      <c r="A1090" s="2"/>
    </row>
    <row r="1091" spans="1:5" x14ac:dyDescent="0.25">
      <c r="A1091" s="2"/>
    </row>
    <row r="1092" spans="1:5" x14ac:dyDescent="0.25">
      <c r="A1092" s="2"/>
    </row>
    <row r="1093" spans="1:5" x14ac:dyDescent="0.25">
      <c r="A1093" s="2"/>
      <c r="C1093" s="19"/>
      <c r="E1093" s="4"/>
    </row>
    <row r="1094" spans="1:5" x14ac:dyDescent="0.25">
      <c r="A1094" s="2"/>
      <c r="C1094" s="19"/>
      <c r="E1094" s="4"/>
    </row>
    <row r="1095" spans="1:5" x14ac:dyDescent="0.25">
      <c r="A1095" s="2"/>
      <c r="C1095" s="19"/>
      <c r="E1095" s="4"/>
    </row>
    <row r="1096" spans="1:5" x14ac:dyDescent="0.25">
      <c r="A1096" s="2"/>
      <c r="C1096" s="19"/>
      <c r="E1096" s="4"/>
    </row>
    <row r="1097" spans="1:5" x14ac:dyDescent="0.25">
      <c r="A1097" s="2"/>
      <c r="C1097" s="19"/>
      <c r="E1097" s="4"/>
    </row>
    <row r="1098" spans="1:5" x14ac:dyDescent="0.25">
      <c r="A1098" s="2"/>
      <c r="C1098" s="19"/>
      <c r="E1098" s="4"/>
    </row>
    <row r="1099" spans="1:5" x14ac:dyDescent="0.25">
      <c r="A1099" s="2"/>
      <c r="C1099" s="19"/>
      <c r="E1099" s="4"/>
    </row>
    <row r="1100" spans="1:5" x14ac:dyDescent="0.25">
      <c r="A1100" s="2"/>
    </row>
    <row r="1101" spans="1:5" x14ac:dyDescent="0.25">
      <c r="A1101" s="2"/>
      <c r="C1101" s="19"/>
      <c r="E1101" s="4"/>
    </row>
    <row r="1102" spans="1:5" x14ac:dyDescent="0.25">
      <c r="A1102" s="2"/>
    </row>
    <row r="1103" spans="1:5" x14ac:dyDescent="0.25">
      <c r="A1103" s="2"/>
    </row>
    <row r="1104" spans="1:5" x14ac:dyDescent="0.25">
      <c r="A1104" s="2"/>
      <c r="C1104" s="19"/>
      <c r="E1104" s="4"/>
    </row>
    <row r="1105" spans="1:5" x14ac:dyDescent="0.25">
      <c r="A1105" s="2"/>
      <c r="C1105" s="19"/>
      <c r="E1105" s="4"/>
    </row>
    <row r="1106" spans="1:5" x14ac:dyDescent="0.25">
      <c r="A1106" s="2"/>
    </row>
    <row r="1107" spans="1:5" x14ac:dyDescent="0.25">
      <c r="A1107" s="2"/>
      <c r="C1107" s="19"/>
      <c r="E1107" s="4"/>
    </row>
    <row r="1108" spans="1:5" x14ac:dyDescent="0.25">
      <c r="A1108" s="2"/>
    </row>
    <row r="1109" spans="1:5" x14ac:dyDescent="0.25">
      <c r="A1109" s="2"/>
      <c r="C1109" s="19"/>
      <c r="E1109" s="4"/>
    </row>
    <row r="1110" spans="1:5" x14ac:dyDescent="0.25">
      <c r="A1110" s="2"/>
    </row>
    <row r="1111" spans="1:5" x14ac:dyDescent="0.25">
      <c r="A1111" s="2"/>
      <c r="C1111" s="19"/>
      <c r="E1111" s="4"/>
    </row>
    <row r="1112" spans="1:5" x14ac:dyDescent="0.25">
      <c r="A1112" s="2"/>
    </row>
    <row r="1113" spans="1:5" x14ac:dyDescent="0.25">
      <c r="A1113" s="2"/>
    </row>
    <row r="1114" spans="1:5" x14ac:dyDescent="0.25">
      <c r="A1114" s="2"/>
      <c r="C1114" s="19"/>
      <c r="E1114" s="4"/>
    </row>
    <row r="1115" spans="1:5" x14ac:dyDescent="0.25">
      <c r="A1115" s="2"/>
      <c r="C1115" s="19"/>
      <c r="E1115" s="4"/>
    </row>
    <row r="1116" spans="1:5" x14ac:dyDescent="0.25">
      <c r="A1116" s="2"/>
    </row>
    <row r="1117" spans="1:5" x14ac:dyDescent="0.25">
      <c r="A1117" s="2"/>
      <c r="C1117" s="19"/>
      <c r="E1117" s="4"/>
    </row>
    <row r="1118" spans="1:5" x14ac:dyDescent="0.25">
      <c r="A1118" s="2"/>
    </row>
    <row r="1119" spans="1:5" x14ac:dyDescent="0.25">
      <c r="A1119" s="2"/>
      <c r="C1119" s="19"/>
      <c r="E1119" s="4"/>
    </row>
    <row r="1120" spans="1:5" x14ac:dyDescent="0.25">
      <c r="A1120" s="2"/>
    </row>
    <row r="1121" spans="1:5" x14ac:dyDescent="0.25">
      <c r="A1121" s="2"/>
      <c r="C1121" s="19"/>
      <c r="E1121" s="4"/>
    </row>
    <row r="1122" spans="1:5" x14ac:dyDescent="0.25">
      <c r="A1122" s="2"/>
    </row>
    <row r="1123" spans="1:5" x14ac:dyDescent="0.25">
      <c r="A1123" s="2"/>
    </row>
    <row r="1124" spans="1:5" x14ac:dyDescent="0.25">
      <c r="A1124" s="2"/>
    </row>
    <row r="1125" spans="1:5" x14ac:dyDescent="0.25">
      <c r="A1125" s="2"/>
    </row>
    <row r="1126" spans="1:5" x14ac:dyDescent="0.25">
      <c r="A1126" s="2"/>
      <c r="C1126" s="19"/>
      <c r="E1126" s="4"/>
    </row>
    <row r="1127" spans="1:5" x14ac:dyDescent="0.25">
      <c r="A1127" s="2"/>
      <c r="C1127" s="19"/>
      <c r="E1127" s="4"/>
    </row>
    <row r="1128" spans="1:5" x14ac:dyDescent="0.25">
      <c r="A1128" s="2"/>
      <c r="C1128" s="19"/>
      <c r="E1128" s="4"/>
    </row>
    <row r="1129" spans="1:5" x14ac:dyDescent="0.25">
      <c r="A1129" s="2"/>
      <c r="C1129" s="19"/>
      <c r="E1129" s="4"/>
    </row>
    <row r="1130" spans="1:5" x14ac:dyDescent="0.25">
      <c r="A1130" s="2"/>
    </row>
    <row r="1131" spans="1:5" x14ac:dyDescent="0.25">
      <c r="A1131" s="2"/>
      <c r="C1131" s="19"/>
      <c r="E1131" s="4"/>
    </row>
    <row r="1132" spans="1:5" x14ac:dyDescent="0.25">
      <c r="A1132" s="2"/>
    </row>
    <row r="1133" spans="1:5" x14ac:dyDescent="0.25">
      <c r="A1133" s="2"/>
    </row>
    <row r="1134" spans="1:5" x14ac:dyDescent="0.25">
      <c r="A1134" s="2"/>
    </row>
    <row r="1135" spans="1:5" x14ac:dyDescent="0.25">
      <c r="A1135" s="2"/>
    </row>
    <row r="1136" spans="1:5" x14ac:dyDescent="0.25">
      <c r="A1136" s="2"/>
      <c r="C1136" s="19"/>
      <c r="E1136" s="4"/>
    </row>
    <row r="1137" spans="1:5" x14ac:dyDescent="0.25">
      <c r="A1137" s="2"/>
      <c r="C1137" s="19"/>
      <c r="E1137" s="4"/>
    </row>
    <row r="1138" spans="1:5" x14ac:dyDescent="0.25">
      <c r="A1138" s="2"/>
      <c r="C1138" s="19"/>
      <c r="E1138" s="4"/>
    </row>
    <row r="1139" spans="1:5" x14ac:dyDescent="0.25">
      <c r="A1139" s="2"/>
      <c r="C1139" s="19"/>
      <c r="E1139" s="4"/>
    </row>
    <row r="1140" spans="1:5" x14ac:dyDescent="0.25">
      <c r="A1140" s="2"/>
    </row>
    <row r="1141" spans="1:5" x14ac:dyDescent="0.25">
      <c r="A1141" s="2"/>
    </row>
    <row r="1142" spans="1:5" x14ac:dyDescent="0.25">
      <c r="A1142" s="2"/>
    </row>
    <row r="1143" spans="1:5" x14ac:dyDescent="0.25">
      <c r="A1143" s="2"/>
    </row>
    <row r="1144" spans="1:5" x14ac:dyDescent="0.25">
      <c r="A1144" s="2"/>
    </row>
    <row r="1145" spans="1:5" x14ac:dyDescent="0.25">
      <c r="A1145" s="2"/>
    </row>
    <row r="1146" spans="1:5" x14ac:dyDescent="0.25">
      <c r="A1146" s="2"/>
      <c r="C1146" s="19"/>
      <c r="E1146" s="4"/>
    </row>
    <row r="1147" spans="1:5" x14ac:dyDescent="0.25">
      <c r="A1147" s="2"/>
      <c r="C1147" s="19"/>
      <c r="E1147" s="4"/>
    </row>
    <row r="1148" spans="1:5" x14ac:dyDescent="0.25">
      <c r="A1148" s="2"/>
      <c r="C1148" s="19"/>
      <c r="E1148" s="4"/>
    </row>
    <row r="1149" spans="1:5" x14ac:dyDescent="0.25">
      <c r="A1149" s="2"/>
      <c r="C1149" s="19"/>
      <c r="E1149" s="4"/>
    </row>
    <row r="1150" spans="1:5" x14ac:dyDescent="0.25">
      <c r="A1150" s="2"/>
      <c r="C1150" s="19"/>
      <c r="E1150" s="4"/>
    </row>
    <row r="1151" spans="1:5" x14ac:dyDescent="0.25">
      <c r="A1151" s="2"/>
      <c r="C1151" s="19"/>
      <c r="E1151" s="4"/>
    </row>
    <row r="1152" spans="1:5" x14ac:dyDescent="0.25">
      <c r="A1152" s="2"/>
    </row>
    <row r="1153" spans="1:5" x14ac:dyDescent="0.25">
      <c r="A1153" s="2"/>
      <c r="C1153" s="19"/>
      <c r="E1153" s="4"/>
    </row>
    <row r="1154" spans="1:5" x14ac:dyDescent="0.25">
      <c r="A1154" s="2"/>
    </row>
    <row r="1155" spans="1:5" x14ac:dyDescent="0.25">
      <c r="A1155" s="2"/>
      <c r="C1155" s="19"/>
      <c r="E1155" s="4"/>
    </row>
    <row r="1156" spans="1:5" x14ac:dyDescent="0.25">
      <c r="A1156" s="2"/>
    </row>
    <row r="1157" spans="1:5" x14ac:dyDescent="0.25">
      <c r="A1157" s="2"/>
      <c r="C1157" s="19"/>
      <c r="E1157" s="4"/>
    </row>
    <row r="1158" spans="1:5" x14ac:dyDescent="0.25">
      <c r="A1158" s="2"/>
    </row>
    <row r="1159" spans="1:5" x14ac:dyDescent="0.25">
      <c r="A1159" s="2"/>
    </row>
    <row r="1160" spans="1:5" x14ac:dyDescent="0.25">
      <c r="A1160" s="2"/>
    </row>
    <row r="1161" spans="1:5" x14ac:dyDescent="0.25">
      <c r="A1161" s="2"/>
      <c r="C1161" s="19"/>
      <c r="E1161" s="4"/>
    </row>
    <row r="1162" spans="1:5" x14ac:dyDescent="0.25">
      <c r="A1162" s="2"/>
      <c r="C1162" s="19"/>
      <c r="E1162" s="4"/>
    </row>
    <row r="1163" spans="1:5" x14ac:dyDescent="0.25">
      <c r="A1163" s="2"/>
      <c r="C1163" s="19"/>
      <c r="E1163" s="4"/>
    </row>
    <row r="1164" spans="1:5" x14ac:dyDescent="0.25">
      <c r="A1164" s="2"/>
    </row>
    <row r="1165" spans="1:5" x14ac:dyDescent="0.25">
      <c r="A1165" s="2"/>
      <c r="C1165" s="19"/>
      <c r="E1165" s="4"/>
    </row>
    <row r="1166" spans="1:5" x14ac:dyDescent="0.25">
      <c r="A1166" s="2"/>
    </row>
    <row r="1167" spans="1:5" x14ac:dyDescent="0.25">
      <c r="A1167" s="2"/>
    </row>
    <row r="1168" spans="1:5" x14ac:dyDescent="0.25">
      <c r="A1168" s="2"/>
    </row>
    <row r="1169" spans="1:5" x14ac:dyDescent="0.25">
      <c r="A1169" s="2"/>
      <c r="C1169" s="19"/>
      <c r="E1169" s="4"/>
    </row>
    <row r="1170" spans="1:5" x14ac:dyDescent="0.25">
      <c r="A1170" s="2"/>
      <c r="C1170" s="19"/>
      <c r="E1170" s="4"/>
    </row>
    <row r="1171" spans="1:5" x14ac:dyDescent="0.25">
      <c r="A1171" s="2"/>
      <c r="C1171" s="19"/>
      <c r="E1171" s="4"/>
    </row>
    <row r="1172" spans="1:5" x14ac:dyDescent="0.25">
      <c r="A1172" s="2"/>
    </row>
    <row r="1173" spans="1:5" x14ac:dyDescent="0.25">
      <c r="A1173" s="2"/>
      <c r="C1173" s="19"/>
      <c r="E1173" s="4"/>
    </row>
    <row r="1174" spans="1:5" x14ac:dyDescent="0.25">
      <c r="A1174" s="2"/>
    </row>
    <row r="1175" spans="1:5" x14ac:dyDescent="0.25">
      <c r="A1175" s="2"/>
      <c r="C1175" s="19"/>
      <c r="E1175" s="4"/>
    </row>
    <row r="1176" spans="1:5" x14ac:dyDescent="0.25">
      <c r="A1176" s="2"/>
    </row>
    <row r="1177" spans="1:5" x14ac:dyDescent="0.25">
      <c r="A1177" s="2"/>
      <c r="C1177" s="19"/>
      <c r="E1177" s="4"/>
    </row>
    <row r="1178" spans="1:5" x14ac:dyDescent="0.25">
      <c r="A1178" s="2"/>
    </row>
    <row r="1179" spans="1:5" x14ac:dyDescent="0.25">
      <c r="A1179" s="2"/>
      <c r="C1179" s="19"/>
      <c r="E1179" s="4"/>
    </row>
    <row r="1180" spans="1:5" x14ac:dyDescent="0.25">
      <c r="A1180" s="2"/>
    </row>
    <row r="1181" spans="1:5" x14ac:dyDescent="0.25">
      <c r="A1181" s="2"/>
    </row>
    <row r="1182" spans="1:5" x14ac:dyDescent="0.25">
      <c r="A1182" s="2"/>
    </row>
    <row r="1183" spans="1:5" x14ac:dyDescent="0.25">
      <c r="A1183" s="2"/>
      <c r="C1183" s="19"/>
      <c r="E1183" s="4"/>
    </row>
    <row r="1184" spans="1:5" x14ac:dyDescent="0.25">
      <c r="A1184" s="2"/>
      <c r="C1184" s="19"/>
      <c r="E1184" s="4"/>
    </row>
    <row r="1185" spans="1:5" x14ac:dyDescent="0.25">
      <c r="A1185" s="2"/>
      <c r="C1185" s="19"/>
      <c r="E1185" s="4"/>
    </row>
    <row r="1186" spans="1:5" x14ac:dyDescent="0.25">
      <c r="A1186" s="2"/>
    </row>
    <row r="1187" spans="1:5" x14ac:dyDescent="0.25">
      <c r="A1187" s="2"/>
      <c r="C1187" s="19"/>
      <c r="E1187" s="4"/>
    </row>
    <row r="1188" spans="1:5" x14ac:dyDescent="0.25">
      <c r="A1188" s="2"/>
    </row>
    <row r="1189" spans="1:5" x14ac:dyDescent="0.25">
      <c r="A1189" s="2"/>
      <c r="C1189" s="19"/>
      <c r="E1189" s="4"/>
    </row>
    <row r="1190" spans="1:5" x14ac:dyDescent="0.25">
      <c r="A1190" s="2"/>
    </row>
    <row r="1191" spans="1:5" x14ac:dyDescent="0.25">
      <c r="A1191" s="2"/>
      <c r="C1191" s="19"/>
      <c r="E1191" s="4"/>
    </row>
    <row r="1192" spans="1:5" x14ac:dyDescent="0.25">
      <c r="A1192" s="2"/>
      <c r="D1192" s="4"/>
    </row>
    <row r="1193" spans="1:5" x14ac:dyDescent="0.25">
      <c r="A1193" s="2"/>
      <c r="C1193" s="19"/>
      <c r="D1193" s="4"/>
      <c r="E1193" s="4"/>
    </row>
    <row r="1194" spans="1:5" x14ac:dyDescent="0.25">
      <c r="A1194" s="2"/>
    </row>
    <row r="1195" spans="1:5" x14ac:dyDescent="0.25">
      <c r="A1195" s="2"/>
    </row>
    <row r="1196" spans="1:5" x14ac:dyDescent="0.25">
      <c r="A1196" s="2"/>
    </row>
    <row r="1197" spans="1:5" x14ac:dyDescent="0.25">
      <c r="A1197" s="2"/>
    </row>
    <row r="1198" spans="1:5" x14ac:dyDescent="0.25">
      <c r="A1198" s="2"/>
    </row>
    <row r="1199" spans="1:5" x14ac:dyDescent="0.25">
      <c r="A1199" s="2"/>
    </row>
    <row r="1200" spans="1:5" x14ac:dyDescent="0.25">
      <c r="A1200" s="2"/>
      <c r="C1200" s="19"/>
      <c r="E1200" s="4"/>
    </row>
    <row r="1201" spans="1:5" x14ac:dyDescent="0.25">
      <c r="A1201" s="2"/>
      <c r="C1201" s="19"/>
      <c r="E1201" s="4"/>
    </row>
    <row r="1202" spans="1:5" x14ac:dyDescent="0.25">
      <c r="A1202" s="2"/>
      <c r="C1202" s="19"/>
      <c r="E1202" s="4"/>
    </row>
    <row r="1203" spans="1:5" x14ac:dyDescent="0.25">
      <c r="A1203" s="2"/>
      <c r="C1203" s="19"/>
      <c r="E1203" s="4"/>
    </row>
    <row r="1204" spans="1:5" x14ac:dyDescent="0.25">
      <c r="A1204" s="2"/>
      <c r="C1204" s="19"/>
      <c r="E1204" s="4"/>
    </row>
    <row r="1205" spans="1:5" x14ac:dyDescent="0.25">
      <c r="A1205" s="2"/>
      <c r="C1205" s="19"/>
      <c r="E1205" s="4"/>
    </row>
    <row r="1206" spans="1:5" x14ac:dyDescent="0.25">
      <c r="A1206" s="2"/>
    </row>
    <row r="1207" spans="1:5" x14ac:dyDescent="0.25">
      <c r="A1207" s="2"/>
    </row>
    <row r="1208" spans="1:5" x14ac:dyDescent="0.25">
      <c r="A1208" s="2"/>
    </row>
    <row r="1209" spans="1:5" x14ac:dyDescent="0.25">
      <c r="A1209" s="2"/>
    </row>
    <row r="1210" spans="1:5" x14ac:dyDescent="0.25">
      <c r="A1210" s="2"/>
      <c r="C1210" s="19"/>
      <c r="E1210" s="4"/>
    </row>
    <row r="1211" spans="1:5" x14ac:dyDescent="0.25">
      <c r="A1211" s="2"/>
      <c r="C1211" s="19"/>
      <c r="E1211" s="4"/>
    </row>
    <row r="1212" spans="1:5" x14ac:dyDescent="0.25">
      <c r="A1212" s="2"/>
      <c r="C1212" s="19"/>
      <c r="E1212" s="4"/>
    </row>
    <row r="1213" spans="1:5" x14ac:dyDescent="0.25">
      <c r="A1213" s="2"/>
      <c r="C1213" s="19"/>
      <c r="E1213" s="4"/>
    </row>
    <row r="1214" spans="1:5" x14ac:dyDescent="0.25">
      <c r="A1214" s="2"/>
    </row>
    <row r="1215" spans="1:5" x14ac:dyDescent="0.25">
      <c r="A1215" s="2"/>
      <c r="C1215" s="19"/>
      <c r="E1215" s="4"/>
    </row>
    <row r="1216" spans="1:5" x14ac:dyDescent="0.25">
      <c r="A1216" s="2"/>
    </row>
    <row r="1217" spans="1:5" x14ac:dyDescent="0.25">
      <c r="A1217" s="2"/>
      <c r="C1217" s="19"/>
      <c r="E1217" s="4"/>
    </row>
    <row r="1218" spans="1:5" x14ac:dyDescent="0.25">
      <c r="A1218" s="2"/>
    </row>
    <row r="1219" spans="1:5" x14ac:dyDescent="0.25">
      <c r="A1219" s="2"/>
      <c r="C1219" s="19"/>
      <c r="E1219" s="4"/>
    </row>
    <row r="1220" spans="1:5" x14ac:dyDescent="0.25">
      <c r="A1220" s="2"/>
    </row>
    <row r="1221" spans="1:5" x14ac:dyDescent="0.25">
      <c r="A1221" s="2"/>
      <c r="C1221" s="19"/>
      <c r="E1221" s="4"/>
    </row>
    <row r="1222" spans="1:5" x14ac:dyDescent="0.25">
      <c r="A1222" s="2"/>
    </row>
    <row r="1223" spans="1:5" x14ac:dyDescent="0.25">
      <c r="A1223" s="2"/>
    </row>
    <row r="1224" spans="1:5" x14ac:dyDescent="0.25">
      <c r="A1224" s="2"/>
      <c r="C1224" s="19"/>
      <c r="E1224" s="4"/>
    </row>
    <row r="1225" spans="1:5" x14ac:dyDescent="0.25">
      <c r="A1225" s="2"/>
      <c r="C1225" s="19"/>
      <c r="E1225" s="4"/>
    </row>
    <row r="1226" spans="1:5" x14ac:dyDescent="0.25">
      <c r="A1226" s="2"/>
    </row>
    <row r="1227" spans="1:5" x14ac:dyDescent="0.25">
      <c r="A1227" s="2"/>
      <c r="C1227" s="19"/>
      <c r="E1227" s="4"/>
    </row>
    <row r="1228" spans="1:5" x14ac:dyDescent="0.25">
      <c r="A1228" s="2"/>
    </row>
    <row r="1229" spans="1:5" x14ac:dyDescent="0.25">
      <c r="A1229" s="2"/>
      <c r="C1229" s="19"/>
      <c r="E1229" s="4"/>
    </row>
    <row r="1230" spans="1:5" x14ac:dyDescent="0.25">
      <c r="A1230" s="2"/>
    </row>
    <row r="1231" spans="1:5" x14ac:dyDescent="0.25">
      <c r="A1231" s="2"/>
      <c r="C1231" s="19"/>
      <c r="E1231" s="4"/>
    </row>
    <row r="1232" spans="1:5" x14ac:dyDescent="0.25">
      <c r="A1232" s="2"/>
    </row>
    <row r="1233" spans="1:5" x14ac:dyDescent="0.25">
      <c r="A1233" s="2"/>
    </row>
    <row r="1234" spans="1:5" x14ac:dyDescent="0.25">
      <c r="A1234" s="2"/>
      <c r="C1234" s="19"/>
      <c r="E1234" s="4"/>
    </row>
    <row r="1235" spans="1:5" x14ac:dyDescent="0.25">
      <c r="A1235" s="2"/>
      <c r="C1235" s="19"/>
      <c r="E1235" s="4"/>
    </row>
    <row r="1236" spans="1:5" x14ac:dyDescent="0.25">
      <c r="A1236" s="2"/>
    </row>
    <row r="1237" spans="1:5" x14ac:dyDescent="0.25">
      <c r="A1237" s="2"/>
      <c r="C1237" s="19"/>
      <c r="E1237" s="4"/>
    </row>
    <row r="1238" spans="1:5" x14ac:dyDescent="0.25">
      <c r="A1238" s="2"/>
    </row>
    <row r="1239" spans="1:5" x14ac:dyDescent="0.25">
      <c r="A1239" s="2"/>
    </row>
    <row r="1240" spans="1:5" x14ac:dyDescent="0.25">
      <c r="A1240" s="2"/>
      <c r="C1240" s="19"/>
      <c r="E1240" s="4"/>
    </row>
    <row r="1241" spans="1:5" x14ac:dyDescent="0.25">
      <c r="A1241" s="2"/>
      <c r="C1241" s="19"/>
      <c r="E1241" s="4"/>
    </row>
    <row r="1242" spans="1:5" x14ac:dyDescent="0.25">
      <c r="A1242" s="2"/>
    </row>
    <row r="1243" spans="1:5" x14ac:dyDescent="0.25">
      <c r="A1243" s="2"/>
    </row>
    <row r="1244" spans="1:5" x14ac:dyDescent="0.25">
      <c r="A1244" s="2"/>
      <c r="C1244" s="19"/>
      <c r="E1244" s="4"/>
    </row>
    <row r="1245" spans="1:5" x14ac:dyDescent="0.25">
      <c r="A1245" s="2"/>
      <c r="C1245" s="19"/>
      <c r="E1245" s="4"/>
    </row>
    <row r="1246" spans="1:5" x14ac:dyDescent="0.25">
      <c r="A1246" s="2"/>
    </row>
    <row r="1247" spans="1:5" x14ac:dyDescent="0.25">
      <c r="A1247" s="2"/>
      <c r="C1247" s="19"/>
      <c r="E1247" s="4"/>
    </row>
    <row r="1248" spans="1:5" x14ac:dyDescent="0.25">
      <c r="A1248" s="2"/>
    </row>
    <row r="1249" spans="1:5" x14ac:dyDescent="0.25">
      <c r="A1249" s="2"/>
    </row>
    <row r="1250" spans="1:5" x14ac:dyDescent="0.25">
      <c r="A1250" s="2"/>
    </row>
    <row r="1251" spans="1:5" x14ac:dyDescent="0.25">
      <c r="A1251" s="2"/>
      <c r="C1251" s="19"/>
      <c r="E1251" s="4"/>
    </row>
    <row r="1252" spans="1:5" x14ac:dyDescent="0.25">
      <c r="A1252" s="2"/>
      <c r="C1252" s="19"/>
      <c r="E1252" s="4"/>
    </row>
    <row r="1253" spans="1:5" x14ac:dyDescent="0.25">
      <c r="A1253" s="2"/>
      <c r="C1253" s="19"/>
      <c r="E1253" s="4"/>
    </row>
    <row r="1254" spans="1:5" x14ac:dyDescent="0.25">
      <c r="A1254" s="2"/>
      <c r="D1254" s="4"/>
    </row>
    <row r="1255" spans="1:5" x14ac:dyDescent="0.25">
      <c r="A1255" s="2"/>
      <c r="C1255" s="19"/>
      <c r="D1255" s="4"/>
      <c r="E1255" s="4"/>
    </row>
    <row r="1256" spans="1:5" x14ac:dyDescent="0.25">
      <c r="A1256" s="2"/>
    </row>
    <row r="1257" spans="1:5" x14ac:dyDescent="0.25">
      <c r="A1257" s="2"/>
    </row>
    <row r="1258" spans="1:5" x14ac:dyDescent="0.25">
      <c r="A1258" s="2"/>
    </row>
    <row r="1259" spans="1:5" x14ac:dyDescent="0.25">
      <c r="A1259" s="2"/>
    </row>
    <row r="1260" spans="1:5" x14ac:dyDescent="0.25">
      <c r="A1260" s="2"/>
    </row>
    <row r="1261" spans="1:5" x14ac:dyDescent="0.25">
      <c r="A1261" s="2"/>
    </row>
    <row r="1262" spans="1:5" x14ac:dyDescent="0.25">
      <c r="A1262" s="2"/>
    </row>
    <row r="1263" spans="1:5" x14ac:dyDescent="0.25">
      <c r="A1263" s="2"/>
    </row>
    <row r="1264" spans="1:5" x14ac:dyDescent="0.25">
      <c r="A1264" s="2"/>
    </row>
    <row r="1265" spans="1:5" x14ac:dyDescent="0.25">
      <c r="A1265" s="2"/>
      <c r="C1265" s="19"/>
      <c r="E1265" s="4"/>
    </row>
    <row r="1266" spans="1:5" x14ac:dyDescent="0.25">
      <c r="A1266" s="2"/>
      <c r="C1266" s="19"/>
      <c r="E1266" s="4"/>
    </row>
    <row r="1267" spans="1:5" x14ac:dyDescent="0.25">
      <c r="A1267" s="2"/>
      <c r="C1267" s="19"/>
      <c r="E1267" s="4"/>
    </row>
    <row r="1268" spans="1:5" x14ac:dyDescent="0.25">
      <c r="A1268" s="2"/>
      <c r="C1268" s="19"/>
      <c r="E1268" s="4"/>
    </row>
    <row r="1269" spans="1:5" x14ac:dyDescent="0.25">
      <c r="A1269" s="2"/>
      <c r="C1269" s="19"/>
      <c r="E1269" s="4"/>
    </row>
    <row r="1270" spans="1:5" x14ac:dyDescent="0.25">
      <c r="A1270" s="2"/>
      <c r="C1270" s="19"/>
      <c r="E1270" s="4"/>
    </row>
    <row r="1271" spans="1:5" x14ac:dyDescent="0.25">
      <c r="A1271" s="2"/>
      <c r="C1271" s="19"/>
      <c r="E1271" s="4"/>
    </row>
    <row r="1272" spans="1:5" x14ac:dyDescent="0.25">
      <c r="A1272" s="2"/>
      <c r="C1272" s="19"/>
      <c r="E1272" s="4"/>
    </row>
    <row r="1273" spans="1:5" x14ac:dyDescent="0.25">
      <c r="A1273" s="2"/>
      <c r="C1273" s="19"/>
      <c r="E1273" s="4"/>
    </row>
    <row r="1274" spans="1:5" x14ac:dyDescent="0.25">
      <c r="A1274" s="2"/>
    </row>
    <row r="1275" spans="1:5" x14ac:dyDescent="0.25">
      <c r="A1275" s="2"/>
    </row>
    <row r="1276" spans="1:5" x14ac:dyDescent="0.25">
      <c r="A1276" s="2"/>
    </row>
    <row r="1277" spans="1:5" x14ac:dyDescent="0.25">
      <c r="A1277" s="2"/>
    </row>
    <row r="1278" spans="1:5" x14ac:dyDescent="0.25">
      <c r="A1278" s="2"/>
    </row>
    <row r="1279" spans="1:5" x14ac:dyDescent="0.25">
      <c r="A1279" s="2"/>
    </row>
    <row r="1280" spans="1:5" x14ac:dyDescent="0.25">
      <c r="A1280" s="2"/>
    </row>
    <row r="1281" spans="1:5" x14ac:dyDescent="0.25">
      <c r="A1281" s="2"/>
      <c r="C1281" s="19"/>
      <c r="E1281" s="4"/>
    </row>
    <row r="1282" spans="1:5" x14ac:dyDescent="0.25">
      <c r="A1282" s="2"/>
      <c r="C1282" s="19"/>
      <c r="E1282" s="4"/>
    </row>
    <row r="1283" spans="1:5" x14ac:dyDescent="0.25">
      <c r="A1283" s="2"/>
      <c r="C1283" s="19"/>
      <c r="E1283" s="4"/>
    </row>
    <row r="1284" spans="1:5" x14ac:dyDescent="0.25">
      <c r="A1284" s="2"/>
      <c r="C1284" s="19"/>
      <c r="E1284" s="4"/>
    </row>
    <row r="1285" spans="1:5" x14ac:dyDescent="0.25">
      <c r="A1285" s="2"/>
      <c r="C1285" s="19"/>
      <c r="E1285" s="4"/>
    </row>
    <row r="1286" spans="1:5" x14ac:dyDescent="0.25">
      <c r="A1286" s="2"/>
      <c r="C1286" s="19"/>
      <c r="E1286" s="4"/>
    </row>
    <row r="1287" spans="1:5" x14ac:dyDescent="0.25">
      <c r="A1287" s="2"/>
      <c r="C1287" s="19"/>
      <c r="E1287" s="4"/>
    </row>
    <row r="1288" spans="1:5" x14ac:dyDescent="0.25">
      <c r="A1288" s="2"/>
    </row>
    <row r="1289" spans="1:5" x14ac:dyDescent="0.25">
      <c r="A1289" s="2"/>
      <c r="C1289" s="19"/>
      <c r="E1289" s="4"/>
    </row>
    <row r="1290" spans="1:5" x14ac:dyDescent="0.25">
      <c r="A1290" s="2"/>
    </row>
    <row r="1291" spans="1:5" x14ac:dyDescent="0.25">
      <c r="A1291" s="2"/>
    </row>
    <row r="1292" spans="1:5" x14ac:dyDescent="0.25">
      <c r="A1292" s="2"/>
    </row>
    <row r="1293" spans="1:5" x14ac:dyDescent="0.25">
      <c r="A1293" s="2"/>
      <c r="C1293" s="19"/>
      <c r="E1293" s="4"/>
    </row>
    <row r="1294" spans="1:5" x14ac:dyDescent="0.25">
      <c r="A1294" s="2"/>
      <c r="C1294" s="19"/>
      <c r="E1294" s="4"/>
    </row>
    <row r="1295" spans="1:5" x14ac:dyDescent="0.25">
      <c r="A1295" s="2"/>
      <c r="C1295" s="19"/>
      <c r="E1295" s="4"/>
    </row>
    <row r="1296" spans="1:5" x14ac:dyDescent="0.25">
      <c r="A1296" s="2"/>
    </row>
    <row r="1297" spans="1:5" x14ac:dyDescent="0.25">
      <c r="A1297" s="2"/>
    </row>
    <row r="1298" spans="1:5" x14ac:dyDescent="0.25">
      <c r="A1298" s="2"/>
      <c r="C1298" s="19"/>
      <c r="E1298" s="4"/>
    </row>
    <row r="1299" spans="1:5" x14ac:dyDescent="0.25">
      <c r="A1299" s="2"/>
      <c r="C1299" s="19"/>
      <c r="E1299" s="4"/>
    </row>
    <row r="1300" spans="1:5" x14ac:dyDescent="0.25">
      <c r="A1300" s="2"/>
    </row>
    <row r="1301" spans="1:5" x14ac:dyDescent="0.25">
      <c r="A1301" s="2"/>
      <c r="C1301" s="19"/>
      <c r="E1301" s="4"/>
    </row>
    <row r="1302" spans="1:5" x14ac:dyDescent="0.25">
      <c r="A1302" s="2"/>
    </row>
    <row r="1303" spans="1:5" x14ac:dyDescent="0.25">
      <c r="A1303" s="2"/>
      <c r="C1303" s="19"/>
      <c r="E1303" s="4"/>
    </row>
    <row r="1304" spans="1:5" x14ac:dyDescent="0.25">
      <c r="A1304" s="2"/>
    </row>
    <row r="1305" spans="1:5" x14ac:dyDescent="0.25">
      <c r="A1305" s="2"/>
      <c r="C1305" s="19"/>
      <c r="E1305" s="4"/>
    </row>
    <row r="1306" spans="1:5" x14ac:dyDescent="0.25">
      <c r="A1306" s="2"/>
    </row>
    <row r="1307" spans="1:5" x14ac:dyDescent="0.25">
      <c r="A1307" s="2"/>
      <c r="C1307" s="19"/>
      <c r="E1307" s="4"/>
    </row>
    <row r="1308" spans="1:5" x14ac:dyDescent="0.25">
      <c r="A1308" s="2"/>
    </row>
    <row r="1309" spans="1:5" x14ac:dyDescent="0.25">
      <c r="A1309" s="2"/>
      <c r="C1309" s="19"/>
      <c r="E1309" s="4"/>
    </row>
    <row r="1310" spans="1:5" x14ac:dyDescent="0.25">
      <c r="A1310" s="2"/>
    </row>
    <row r="1311" spans="1:5" x14ac:dyDescent="0.25">
      <c r="A1311" s="2"/>
    </row>
    <row r="1312" spans="1:5" x14ac:dyDescent="0.25">
      <c r="A1312" s="2"/>
    </row>
    <row r="1313" spans="1:5" x14ac:dyDescent="0.25">
      <c r="A1313" s="2"/>
      <c r="C1313" s="19"/>
      <c r="E1313" s="4"/>
    </row>
    <row r="1314" spans="1:5" x14ac:dyDescent="0.25">
      <c r="A1314" s="2"/>
      <c r="C1314" s="19"/>
      <c r="E1314" s="4"/>
    </row>
    <row r="1315" spans="1:5" x14ac:dyDescent="0.25">
      <c r="A1315" s="2"/>
      <c r="C1315" s="19"/>
      <c r="E1315" s="4"/>
    </row>
    <row r="1316" spans="1:5" x14ac:dyDescent="0.25">
      <c r="A1316" s="2"/>
    </row>
    <row r="1317" spans="1:5" x14ac:dyDescent="0.25">
      <c r="A1317" s="2"/>
      <c r="C1317" s="19"/>
      <c r="E1317" s="4"/>
    </row>
    <row r="1318" spans="1:5" x14ac:dyDescent="0.25">
      <c r="A1318" s="2"/>
    </row>
    <row r="1319" spans="1:5" x14ac:dyDescent="0.25">
      <c r="A1319" s="2"/>
    </row>
    <row r="1320" spans="1:5" x14ac:dyDescent="0.25">
      <c r="A1320" s="2"/>
    </row>
    <row r="1321" spans="1:5" x14ac:dyDescent="0.25">
      <c r="A1321" s="2"/>
      <c r="C1321" s="19"/>
      <c r="E1321" s="4"/>
    </row>
    <row r="1322" spans="1:5" x14ac:dyDescent="0.25">
      <c r="A1322" s="2"/>
      <c r="C1322" s="19"/>
      <c r="E1322" s="4"/>
    </row>
    <row r="1323" spans="1:5" x14ac:dyDescent="0.25">
      <c r="A1323" s="2"/>
      <c r="C1323" s="19"/>
      <c r="E1323" s="4"/>
    </row>
    <row r="1324" spans="1:5" x14ac:dyDescent="0.25">
      <c r="A1324" s="2"/>
    </row>
    <row r="1325" spans="1:5" x14ac:dyDescent="0.25">
      <c r="A1325" s="2"/>
      <c r="C1325" s="19"/>
      <c r="E1325" s="4"/>
    </row>
    <row r="1326" spans="1:5" x14ac:dyDescent="0.25">
      <c r="A1326" s="2"/>
    </row>
    <row r="1327" spans="1:5" x14ac:dyDescent="0.25">
      <c r="A1327" s="2"/>
    </row>
    <row r="1328" spans="1:5" x14ac:dyDescent="0.25">
      <c r="A1328" s="2"/>
    </row>
    <row r="1329" spans="1:5" x14ac:dyDescent="0.25">
      <c r="A1329" s="2"/>
      <c r="E1329" s="4"/>
    </row>
    <row r="1330" spans="1:5" x14ac:dyDescent="0.25">
      <c r="A1330" s="2"/>
    </row>
    <row r="1331" spans="1:5" x14ac:dyDescent="0.25">
      <c r="A1331" s="2"/>
    </row>
    <row r="1332" spans="1:5" x14ac:dyDescent="0.25">
      <c r="A1332" s="2"/>
    </row>
    <row r="1333" spans="1:5" x14ac:dyDescent="0.25">
      <c r="A1333" s="2"/>
    </row>
    <row r="1334" spans="1:5" x14ac:dyDescent="0.25">
      <c r="A1334" s="2"/>
      <c r="C1334" s="19"/>
      <c r="E1334" s="4"/>
    </row>
    <row r="1335" spans="1:5" x14ac:dyDescent="0.25">
      <c r="A1335" s="2"/>
      <c r="C1335" s="19"/>
      <c r="E1335" s="4"/>
    </row>
    <row r="1336" spans="1:5" x14ac:dyDescent="0.25">
      <c r="A1336" s="2"/>
      <c r="C1336" s="19"/>
      <c r="E1336" s="4"/>
    </row>
    <row r="1337" spans="1:5" x14ac:dyDescent="0.25">
      <c r="A1337" s="2"/>
      <c r="C1337" s="19"/>
      <c r="E1337" s="4"/>
    </row>
    <row r="1338" spans="1:5" x14ac:dyDescent="0.25">
      <c r="A1338" s="2"/>
      <c r="C1338" s="19"/>
      <c r="E1338" s="4"/>
    </row>
    <row r="1339" spans="1:5" x14ac:dyDescent="0.25">
      <c r="A1339" s="2"/>
      <c r="C1339" s="19"/>
      <c r="E1339" s="4"/>
    </row>
    <row r="1340" spans="1:5" x14ac:dyDescent="0.25">
      <c r="A1340" s="2"/>
      <c r="C1340" s="19"/>
      <c r="E1340" s="4"/>
    </row>
    <row r="1341" spans="1:5" x14ac:dyDescent="0.25">
      <c r="A1341" s="2"/>
      <c r="C1341" s="19"/>
      <c r="E1341" s="4"/>
    </row>
    <row r="1342" spans="1:5" x14ac:dyDescent="0.25">
      <c r="A1342" s="2"/>
    </row>
    <row r="1343" spans="1:5" x14ac:dyDescent="0.25">
      <c r="A1343" s="2"/>
    </row>
    <row r="1344" spans="1:5" x14ac:dyDescent="0.25">
      <c r="A1344" s="2"/>
    </row>
    <row r="1345" spans="1:5" x14ac:dyDescent="0.25">
      <c r="A1345" s="2"/>
    </row>
    <row r="1346" spans="1:5" x14ac:dyDescent="0.25">
      <c r="A1346" s="2"/>
    </row>
    <row r="1347" spans="1:5" x14ac:dyDescent="0.25">
      <c r="A1347" s="2"/>
      <c r="C1347" s="19"/>
      <c r="E1347" s="4"/>
    </row>
    <row r="1348" spans="1:5" x14ac:dyDescent="0.25">
      <c r="A1348" s="2"/>
      <c r="C1348" s="19"/>
      <c r="E1348" s="4"/>
    </row>
    <row r="1349" spans="1:5" x14ac:dyDescent="0.25">
      <c r="A1349" s="2"/>
      <c r="C1349" s="19"/>
      <c r="E1349" s="4"/>
    </row>
    <row r="1350" spans="1:5" x14ac:dyDescent="0.25">
      <c r="A1350" s="2"/>
      <c r="C1350" s="19"/>
      <c r="E1350" s="4"/>
    </row>
    <row r="1351" spans="1:5" x14ac:dyDescent="0.25">
      <c r="A1351" s="2"/>
      <c r="C1351" s="19"/>
      <c r="E1351" s="4"/>
    </row>
    <row r="1352" spans="1:5" x14ac:dyDescent="0.25">
      <c r="A1352" s="2"/>
    </row>
    <row r="1353" spans="1:5" x14ac:dyDescent="0.25">
      <c r="A1353" s="2"/>
    </row>
    <row r="1354" spans="1:5" x14ac:dyDescent="0.25">
      <c r="A1354" s="2"/>
    </row>
    <row r="1355" spans="1:5" x14ac:dyDescent="0.25">
      <c r="A1355" s="2"/>
    </row>
    <row r="1356" spans="1:5" x14ac:dyDescent="0.25">
      <c r="A1356" s="2"/>
    </row>
    <row r="1357" spans="1:5" x14ac:dyDescent="0.25">
      <c r="A1357" s="2"/>
    </row>
    <row r="1358" spans="1:5" x14ac:dyDescent="0.25">
      <c r="A1358" s="2"/>
    </row>
    <row r="1359" spans="1:5" x14ac:dyDescent="0.25">
      <c r="A1359" s="2"/>
    </row>
    <row r="1360" spans="1:5" x14ac:dyDescent="0.25">
      <c r="A1360" s="2"/>
    </row>
    <row r="1361" spans="1:5" x14ac:dyDescent="0.25">
      <c r="A1361" s="2"/>
      <c r="C1361" s="19"/>
      <c r="E1361" s="4"/>
    </row>
    <row r="1362" spans="1:5" x14ac:dyDescent="0.25">
      <c r="A1362" s="2"/>
      <c r="C1362" s="19"/>
      <c r="E1362" s="4"/>
    </row>
    <row r="1363" spans="1:5" x14ac:dyDescent="0.25">
      <c r="A1363" s="2"/>
      <c r="C1363" s="19"/>
      <c r="E1363" s="4"/>
    </row>
    <row r="1364" spans="1:5" x14ac:dyDescent="0.25">
      <c r="A1364" s="2"/>
      <c r="C1364" s="19"/>
      <c r="E1364" s="4"/>
    </row>
    <row r="1365" spans="1:5" x14ac:dyDescent="0.25">
      <c r="A1365" s="2"/>
      <c r="C1365" s="19"/>
      <c r="E1365" s="4"/>
    </row>
    <row r="1366" spans="1:5" x14ac:dyDescent="0.25">
      <c r="A1366" s="2"/>
      <c r="C1366" s="19"/>
      <c r="E1366" s="4"/>
    </row>
    <row r="1367" spans="1:5" x14ac:dyDescent="0.25">
      <c r="A1367" s="2"/>
      <c r="C1367" s="19"/>
      <c r="E1367" s="4"/>
    </row>
    <row r="1368" spans="1:5" x14ac:dyDescent="0.25">
      <c r="A1368" s="2"/>
      <c r="C1368" s="19"/>
      <c r="E1368" s="4"/>
    </row>
    <row r="1369" spans="1:5" x14ac:dyDescent="0.25">
      <c r="A1369" s="2"/>
      <c r="C1369" s="19"/>
      <c r="E1369" s="4"/>
    </row>
    <row r="1370" spans="1:5" x14ac:dyDescent="0.25">
      <c r="A1370" s="2"/>
    </row>
    <row r="1371" spans="1:5" x14ac:dyDescent="0.25">
      <c r="A1371" s="2"/>
      <c r="C1371" s="19"/>
      <c r="E1371" s="4"/>
    </row>
    <row r="1372" spans="1:5" x14ac:dyDescent="0.25">
      <c r="A1372" s="2"/>
    </row>
    <row r="1373" spans="1:5" x14ac:dyDescent="0.25">
      <c r="A1373" s="2"/>
      <c r="C1373" s="19"/>
      <c r="E1373" s="4"/>
    </row>
    <row r="1374" spans="1:5" x14ac:dyDescent="0.25">
      <c r="A1374" s="2"/>
    </row>
    <row r="1375" spans="1:5" x14ac:dyDescent="0.25">
      <c r="A1375" s="2"/>
      <c r="C1375" s="19"/>
      <c r="E1375" s="4"/>
    </row>
    <row r="1376" spans="1:5" x14ac:dyDescent="0.25">
      <c r="A1376" s="2"/>
    </row>
    <row r="1377" spans="1:5" x14ac:dyDescent="0.25">
      <c r="A1377" s="2"/>
      <c r="C1377" s="19"/>
      <c r="E1377" s="4"/>
    </row>
    <row r="1378" spans="1:5" x14ac:dyDescent="0.25">
      <c r="A1378" s="2"/>
    </row>
    <row r="1379" spans="1:5" x14ac:dyDescent="0.25">
      <c r="A1379" s="2"/>
    </row>
    <row r="1380" spans="1:5" x14ac:dyDescent="0.25">
      <c r="A1380" s="2"/>
      <c r="C1380" s="19"/>
      <c r="E1380" s="4"/>
    </row>
    <row r="1381" spans="1:5" x14ac:dyDescent="0.25">
      <c r="A1381" s="2"/>
      <c r="C1381" s="19"/>
      <c r="E1381" s="4"/>
    </row>
    <row r="1382" spans="1:5" x14ac:dyDescent="0.25">
      <c r="A1382" s="2"/>
    </row>
    <row r="1383" spans="1:5" x14ac:dyDescent="0.25">
      <c r="A1383" s="2"/>
      <c r="C1383" s="19"/>
      <c r="E1383" s="4"/>
    </row>
    <row r="1384" spans="1:5" x14ac:dyDescent="0.25">
      <c r="A1384" s="2"/>
    </row>
    <row r="1385" spans="1:5" x14ac:dyDescent="0.25">
      <c r="A1385" s="2"/>
      <c r="C1385" s="19"/>
      <c r="E1385" s="4"/>
    </row>
    <row r="1386" spans="1:5" x14ac:dyDescent="0.25">
      <c r="A1386" s="2"/>
    </row>
    <row r="1387" spans="1:5" x14ac:dyDescent="0.25">
      <c r="A1387" s="2"/>
      <c r="C1387" s="19"/>
      <c r="E1387" s="4"/>
    </row>
    <row r="1388" spans="1:5" x14ac:dyDescent="0.25">
      <c r="A1388" s="2"/>
    </row>
    <row r="1389" spans="1:5" x14ac:dyDescent="0.25">
      <c r="A1389" s="2"/>
    </row>
    <row r="1390" spans="1:5" x14ac:dyDescent="0.25">
      <c r="A1390" s="2"/>
      <c r="C1390" s="19"/>
      <c r="E1390" s="4"/>
    </row>
    <row r="1391" spans="1:5" x14ac:dyDescent="0.25">
      <c r="A1391" s="2"/>
      <c r="C1391" s="19"/>
      <c r="E1391" s="4"/>
    </row>
    <row r="1392" spans="1:5" x14ac:dyDescent="0.25">
      <c r="A1392" s="2"/>
    </row>
    <row r="1393" spans="1:5" x14ac:dyDescent="0.25">
      <c r="A1393" s="2"/>
      <c r="C1393" s="19"/>
      <c r="E1393" s="4"/>
    </row>
    <row r="1394" spans="1:5" x14ac:dyDescent="0.25">
      <c r="A1394" s="2"/>
    </row>
    <row r="1395" spans="1:5" x14ac:dyDescent="0.25">
      <c r="A1395" s="2"/>
    </row>
    <row r="1396" spans="1:5" x14ac:dyDescent="0.25">
      <c r="A1396" s="2"/>
      <c r="C1396" s="19"/>
      <c r="E1396" s="4"/>
    </row>
    <row r="1397" spans="1:5" x14ac:dyDescent="0.25">
      <c r="A1397" s="2"/>
      <c r="C1397" s="19"/>
      <c r="E1397" s="4"/>
    </row>
    <row r="1398" spans="1:5" x14ac:dyDescent="0.25">
      <c r="A1398" s="2"/>
    </row>
    <row r="1399" spans="1:5" x14ac:dyDescent="0.25">
      <c r="A1399" s="2"/>
      <c r="C1399" s="19"/>
      <c r="E1399" s="4"/>
    </row>
    <row r="1400" spans="1:5" x14ac:dyDescent="0.25">
      <c r="A1400" s="2"/>
    </row>
    <row r="1401" spans="1:5" x14ac:dyDescent="0.25">
      <c r="A1401" s="2"/>
      <c r="C1401" s="19"/>
      <c r="E1401" s="4"/>
    </row>
    <row r="1402" spans="1:5" x14ac:dyDescent="0.25">
      <c r="A1402" s="2"/>
    </row>
    <row r="1403" spans="1:5" x14ac:dyDescent="0.25">
      <c r="A1403" s="2"/>
    </row>
    <row r="1404" spans="1:5" x14ac:dyDescent="0.25">
      <c r="A1404" s="2"/>
    </row>
    <row r="1405" spans="1:5" x14ac:dyDescent="0.25">
      <c r="A1405" s="2"/>
    </row>
    <row r="1406" spans="1:5" x14ac:dyDescent="0.25">
      <c r="A1406" s="2"/>
    </row>
    <row r="1407" spans="1:5" x14ac:dyDescent="0.25">
      <c r="A1407" s="2"/>
    </row>
    <row r="1408" spans="1:5" x14ac:dyDescent="0.25">
      <c r="A1408" s="2"/>
    </row>
    <row r="1409" spans="1:5" x14ac:dyDescent="0.25">
      <c r="A1409" s="2"/>
    </row>
    <row r="1410" spans="1:5" x14ac:dyDescent="0.25">
      <c r="A1410" s="2"/>
      <c r="C1410" s="19"/>
      <c r="E1410" s="4"/>
    </row>
    <row r="1411" spans="1:5" x14ac:dyDescent="0.25">
      <c r="A1411" s="2"/>
      <c r="C1411" s="19"/>
      <c r="E1411" s="4"/>
    </row>
    <row r="1412" spans="1:5" x14ac:dyDescent="0.25">
      <c r="A1412" s="2"/>
      <c r="C1412" s="19"/>
      <c r="E1412" s="4"/>
    </row>
    <row r="1413" spans="1:5" x14ac:dyDescent="0.25">
      <c r="A1413" s="2"/>
      <c r="C1413" s="19"/>
      <c r="E1413" s="4"/>
    </row>
    <row r="1414" spans="1:5" x14ac:dyDescent="0.25">
      <c r="A1414" s="2"/>
      <c r="C1414" s="19"/>
      <c r="E1414" s="4"/>
    </row>
    <row r="1415" spans="1:5" x14ac:dyDescent="0.25">
      <c r="A1415" s="2"/>
      <c r="C1415" s="19"/>
      <c r="E1415" s="4"/>
    </row>
    <row r="1416" spans="1:5" x14ac:dyDescent="0.25">
      <c r="A1416" s="2"/>
      <c r="C1416" s="19"/>
      <c r="E1416" s="4"/>
    </row>
    <row r="1417" spans="1:5" x14ac:dyDescent="0.25">
      <c r="A1417" s="2"/>
      <c r="C1417" s="19"/>
      <c r="E1417" s="4"/>
    </row>
    <row r="1418" spans="1:5" x14ac:dyDescent="0.25">
      <c r="A1418" s="2"/>
    </row>
    <row r="1419" spans="1:5" x14ac:dyDescent="0.25">
      <c r="A1419" s="2"/>
    </row>
    <row r="1420" spans="1:5" x14ac:dyDescent="0.25">
      <c r="A1420" s="2"/>
    </row>
    <row r="1421" spans="1:5" x14ac:dyDescent="0.25">
      <c r="A1421" s="2"/>
    </row>
    <row r="1422" spans="1:5" x14ac:dyDescent="0.25">
      <c r="A1422" s="2"/>
    </row>
    <row r="1423" spans="1:5" x14ac:dyDescent="0.25">
      <c r="A1423" s="2"/>
    </row>
    <row r="1424" spans="1:5" x14ac:dyDescent="0.25">
      <c r="A1424" s="2"/>
      <c r="C1424" s="19"/>
      <c r="E1424" s="4"/>
    </row>
    <row r="1425" spans="1:5" x14ac:dyDescent="0.25">
      <c r="A1425" s="2"/>
      <c r="C1425" s="19"/>
      <c r="E1425" s="4"/>
    </row>
    <row r="1426" spans="1:5" x14ac:dyDescent="0.25">
      <c r="A1426" s="2"/>
      <c r="C1426" s="19"/>
      <c r="E1426" s="4"/>
    </row>
    <row r="1427" spans="1:5" x14ac:dyDescent="0.25">
      <c r="A1427" s="2"/>
      <c r="C1427" s="19"/>
      <c r="E1427" s="4"/>
    </row>
    <row r="1428" spans="1:5" x14ac:dyDescent="0.25">
      <c r="A1428" s="2"/>
      <c r="C1428" s="19"/>
      <c r="E1428" s="4"/>
    </row>
    <row r="1429" spans="1:5" x14ac:dyDescent="0.25">
      <c r="A1429" s="2"/>
      <c r="C1429" s="19"/>
      <c r="E1429" s="4"/>
    </row>
    <row r="1430" spans="1:5" x14ac:dyDescent="0.25">
      <c r="A1430" s="2"/>
    </row>
    <row r="1431" spans="1:5" x14ac:dyDescent="0.25">
      <c r="A1431" s="2"/>
    </row>
    <row r="1432" spans="1:5" x14ac:dyDescent="0.25">
      <c r="A1432" s="2"/>
    </row>
    <row r="1433" spans="1:5" x14ac:dyDescent="0.25">
      <c r="A1433" s="2"/>
    </row>
    <row r="1434" spans="1:5" x14ac:dyDescent="0.25">
      <c r="A1434" s="2"/>
    </row>
    <row r="1435" spans="1:5" x14ac:dyDescent="0.25">
      <c r="A1435" s="2"/>
    </row>
    <row r="1436" spans="1:5" x14ac:dyDescent="0.25">
      <c r="A1436" s="2"/>
      <c r="C1436" s="19"/>
      <c r="E1436" s="4"/>
    </row>
    <row r="1437" spans="1:5" x14ac:dyDescent="0.25">
      <c r="A1437" s="2"/>
      <c r="C1437" s="19"/>
      <c r="E1437" s="4"/>
    </row>
    <row r="1438" spans="1:5" x14ac:dyDescent="0.25">
      <c r="A1438" s="2"/>
      <c r="C1438" s="19"/>
      <c r="E1438" s="4"/>
    </row>
    <row r="1439" spans="1:5" x14ac:dyDescent="0.25">
      <c r="A1439" s="2"/>
      <c r="C1439" s="19"/>
      <c r="E1439" s="4"/>
    </row>
    <row r="1440" spans="1:5" x14ac:dyDescent="0.25">
      <c r="A1440" s="2"/>
      <c r="C1440" s="19"/>
      <c r="E1440" s="4"/>
    </row>
    <row r="1441" spans="1:5" x14ac:dyDescent="0.25">
      <c r="A1441" s="2"/>
      <c r="C1441" s="19"/>
      <c r="E1441" s="4"/>
    </row>
    <row r="1442" spans="1:5" x14ac:dyDescent="0.25">
      <c r="A1442" s="2"/>
    </row>
    <row r="1443" spans="1:5" x14ac:dyDescent="0.25">
      <c r="A1443" s="2"/>
      <c r="C1443" s="19"/>
      <c r="E1443" s="4"/>
    </row>
    <row r="1444" spans="1:5" x14ac:dyDescent="0.25">
      <c r="A1444" s="2"/>
    </row>
    <row r="1445" spans="1:5" x14ac:dyDescent="0.25">
      <c r="A1445" s="2"/>
      <c r="C1445" s="19"/>
      <c r="E1445" s="4"/>
    </row>
    <row r="1446" spans="1:5" x14ac:dyDescent="0.25">
      <c r="A1446" s="2"/>
    </row>
    <row r="1447" spans="1:5" x14ac:dyDescent="0.25">
      <c r="A1447" s="2"/>
      <c r="C1447" s="19"/>
      <c r="E1447" s="4"/>
    </row>
    <row r="1448" spans="1:5" x14ac:dyDescent="0.25">
      <c r="A1448" s="2"/>
    </row>
    <row r="1449" spans="1:5" x14ac:dyDescent="0.25">
      <c r="A1449" s="2"/>
      <c r="C1449" s="19"/>
      <c r="E1449" s="4"/>
    </row>
    <row r="1450" spans="1:5" x14ac:dyDescent="0.25">
      <c r="A1450" s="2"/>
    </row>
    <row r="1451" spans="1:5" x14ac:dyDescent="0.25">
      <c r="A1451" s="2"/>
    </row>
    <row r="1452" spans="1:5" x14ac:dyDescent="0.25">
      <c r="A1452" s="2"/>
    </row>
    <row r="1453" spans="1:5" x14ac:dyDescent="0.25">
      <c r="A1453" s="2"/>
      <c r="C1453" s="19"/>
      <c r="E1453" s="4"/>
    </row>
    <row r="1454" spans="1:5" x14ac:dyDescent="0.25">
      <c r="A1454" s="2"/>
      <c r="C1454" s="19"/>
      <c r="E1454" s="4"/>
    </row>
    <row r="1455" spans="1:5" x14ac:dyDescent="0.25">
      <c r="A1455" s="2"/>
      <c r="C1455" s="19"/>
      <c r="E1455" s="4"/>
    </row>
    <row r="1456" spans="1:5" x14ac:dyDescent="0.25">
      <c r="A1456" s="2"/>
    </row>
    <row r="1457" spans="1:5" x14ac:dyDescent="0.25">
      <c r="A1457" s="2"/>
    </row>
    <row r="1458" spans="1:5" x14ac:dyDescent="0.25">
      <c r="A1458" s="2"/>
      <c r="C1458" s="19"/>
      <c r="E1458" s="4"/>
    </row>
    <row r="1459" spans="1:5" x14ac:dyDescent="0.25">
      <c r="A1459" s="2"/>
      <c r="C1459" s="19"/>
      <c r="E1459" s="4"/>
    </row>
    <row r="1460" spans="1:5" x14ac:dyDescent="0.25">
      <c r="A1460" s="2"/>
    </row>
    <row r="1461" spans="1:5" x14ac:dyDescent="0.25">
      <c r="A1461" s="2"/>
      <c r="C1461" s="19"/>
      <c r="E1461" s="4"/>
    </row>
    <row r="1462" spans="1:5" x14ac:dyDescent="0.25">
      <c r="A1462" s="2"/>
    </row>
    <row r="1463" spans="1:5" x14ac:dyDescent="0.25">
      <c r="A1463" s="2"/>
      <c r="C1463" s="19"/>
      <c r="E1463" s="4"/>
    </row>
    <row r="1464" spans="1:5" x14ac:dyDescent="0.25">
      <c r="A1464" s="2"/>
    </row>
    <row r="1465" spans="1:5" x14ac:dyDescent="0.25">
      <c r="A1465" s="2"/>
      <c r="C1465" s="19"/>
      <c r="E1465" s="4"/>
    </row>
    <row r="1466" spans="1:5" x14ac:dyDescent="0.25">
      <c r="A1466" s="2"/>
    </row>
    <row r="1467" spans="1:5" x14ac:dyDescent="0.25">
      <c r="A1467" s="2"/>
      <c r="C1467" s="19"/>
      <c r="E1467" s="4"/>
    </row>
    <row r="1468" spans="1:5" x14ac:dyDescent="0.25">
      <c r="A1468" s="2"/>
    </row>
    <row r="1469" spans="1:5" x14ac:dyDescent="0.25">
      <c r="A1469" s="2"/>
      <c r="C1469" s="19"/>
      <c r="E1469" s="4"/>
    </row>
    <row r="1470" spans="1:5" x14ac:dyDescent="0.25">
      <c r="A1470" s="2"/>
    </row>
    <row r="1471" spans="1:5" x14ac:dyDescent="0.25">
      <c r="A1471" s="2"/>
    </row>
    <row r="1472" spans="1:5" x14ac:dyDescent="0.25">
      <c r="A1472" s="2"/>
      <c r="C1472" s="19"/>
      <c r="E1472" s="4"/>
    </row>
    <row r="1473" spans="1:5" x14ac:dyDescent="0.25">
      <c r="A1473" s="2"/>
      <c r="C1473" s="19"/>
      <c r="E1473" s="4"/>
    </row>
    <row r="1474" spans="1:5" x14ac:dyDescent="0.25">
      <c r="A1474" s="2"/>
    </row>
    <row r="1475" spans="1:5" x14ac:dyDescent="0.25">
      <c r="A1475" s="2"/>
      <c r="C1475" s="19"/>
      <c r="E1475" s="4"/>
    </row>
    <row r="1476" spans="1:5" x14ac:dyDescent="0.25">
      <c r="A1476" s="2"/>
    </row>
    <row r="1477" spans="1:5" x14ac:dyDescent="0.25">
      <c r="A1477" s="2"/>
      <c r="C1477" s="19"/>
      <c r="E1477" s="4"/>
    </row>
    <row r="1478" spans="1:5" x14ac:dyDescent="0.25">
      <c r="A1478" s="2"/>
    </row>
    <row r="1479" spans="1:5" x14ac:dyDescent="0.25">
      <c r="A1479" s="2"/>
      <c r="C1479" s="19"/>
      <c r="E1479" s="4"/>
    </row>
    <row r="1480" spans="1:5" x14ac:dyDescent="0.25">
      <c r="A1480" s="2"/>
    </row>
    <row r="1481" spans="1:5" x14ac:dyDescent="0.25">
      <c r="A1481" s="2"/>
    </row>
    <row r="1482" spans="1:5" x14ac:dyDescent="0.25">
      <c r="A1482" s="2"/>
    </row>
    <row r="1483" spans="1:5" x14ac:dyDescent="0.25">
      <c r="A1483" s="2"/>
    </row>
    <row r="1484" spans="1:5" x14ac:dyDescent="0.25">
      <c r="A1484" s="2"/>
    </row>
    <row r="1485" spans="1:5" x14ac:dyDescent="0.25">
      <c r="A1485" s="2"/>
      <c r="C1485" s="19"/>
      <c r="E1485" s="4"/>
    </row>
    <row r="1486" spans="1:5" x14ac:dyDescent="0.25">
      <c r="A1486" s="2"/>
      <c r="C1486" s="19"/>
      <c r="E1486" s="4"/>
    </row>
    <row r="1487" spans="1:5" x14ac:dyDescent="0.25">
      <c r="A1487" s="2"/>
      <c r="C1487" s="19"/>
      <c r="E1487" s="4"/>
    </row>
    <row r="1488" spans="1:5" x14ac:dyDescent="0.25">
      <c r="A1488" s="2"/>
      <c r="C1488" s="19"/>
      <c r="E1488" s="4"/>
    </row>
    <row r="1489" spans="1:5" x14ac:dyDescent="0.25">
      <c r="A1489" s="2"/>
      <c r="C1489" s="19"/>
      <c r="E1489" s="4"/>
    </row>
    <row r="1490" spans="1:5" x14ac:dyDescent="0.25">
      <c r="A1490" s="2"/>
    </row>
    <row r="1491" spans="1:5" x14ac:dyDescent="0.25">
      <c r="A1491" s="2"/>
    </row>
    <row r="1492" spans="1:5" x14ac:dyDescent="0.25">
      <c r="A1492" s="2"/>
      <c r="C1492" s="19"/>
      <c r="E1492" s="4"/>
    </row>
    <row r="1493" spans="1:5" x14ac:dyDescent="0.25">
      <c r="A1493" s="2"/>
      <c r="C1493" s="19"/>
      <c r="E1493" s="4"/>
    </row>
    <row r="1494" spans="1:5" x14ac:dyDescent="0.25">
      <c r="A1494" s="2"/>
    </row>
    <row r="1495" spans="1:5" x14ac:dyDescent="0.25">
      <c r="A1495" s="2"/>
    </row>
    <row r="1496" spans="1:5" x14ac:dyDescent="0.25">
      <c r="A1496" s="2"/>
    </row>
    <row r="1497" spans="1:5" x14ac:dyDescent="0.25">
      <c r="A1497" s="2"/>
    </row>
    <row r="1498" spans="1:5" x14ac:dyDescent="0.25">
      <c r="A1498" s="2"/>
    </row>
    <row r="1499" spans="1:5" x14ac:dyDescent="0.25">
      <c r="A1499" s="2"/>
    </row>
    <row r="1500" spans="1:5" x14ac:dyDescent="0.25">
      <c r="A1500" s="2"/>
    </row>
    <row r="1501" spans="1:5" x14ac:dyDescent="0.25">
      <c r="A1501" s="2"/>
    </row>
    <row r="1502" spans="1:5" x14ac:dyDescent="0.25">
      <c r="A1502" s="2"/>
      <c r="C1502" s="19"/>
      <c r="E1502" s="4"/>
    </row>
    <row r="1503" spans="1:5" x14ac:dyDescent="0.25">
      <c r="A1503" s="2"/>
      <c r="C1503" s="19"/>
      <c r="E1503" s="4"/>
    </row>
    <row r="1504" spans="1:5" x14ac:dyDescent="0.25">
      <c r="A1504" s="2"/>
      <c r="C1504" s="19"/>
      <c r="E1504" s="4"/>
    </row>
    <row r="1505" spans="1:5" x14ac:dyDescent="0.25">
      <c r="A1505" s="2"/>
      <c r="C1505" s="19"/>
      <c r="E1505" s="4"/>
    </row>
    <row r="1506" spans="1:5" x14ac:dyDescent="0.25">
      <c r="A1506" s="2"/>
      <c r="C1506" s="19"/>
      <c r="E1506" s="4"/>
    </row>
    <row r="1507" spans="1:5" x14ac:dyDescent="0.25">
      <c r="A1507" s="2"/>
      <c r="C1507" s="19"/>
      <c r="E1507" s="4"/>
    </row>
    <row r="1508" spans="1:5" x14ac:dyDescent="0.25">
      <c r="A1508" s="2"/>
      <c r="C1508" s="19"/>
      <c r="E1508" s="4"/>
    </row>
    <row r="1509" spans="1:5" x14ac:dyDescent="0.25">
      <c r="A1509" s="2"/>
      <c r="C1509" s="19"/>
      <c r="E1509" s="4"/>
    </row>
    <row r="1510" spans="1:5" x14ac:dyDescent="0.25">
      <c r="A1510" s="2"/>
    </row>
    <row r="1511" spans="1:5" x14ac:dyDescent="0.25">
      <c r="A1511" s="2"/>
    </row>
    <row r="1512" spans="1:5" x14ac:dyDescent="0.25">
      <c r="A1512" s="2"/>
    </row>
    <row r="1513" spans="1:5" x14ac:dyDescent="0.25">
      <c r="A1513" s="2"/>
      <c r="C1513" s="19"/>
      <c r="E1513" s="4"/>
    </row>
    <row r="1514" spans="1:5" x14ac:dyDescent="0.25">
      <c r="A1514" s="2"/>
      <c r="C1514" s="19"/>
      <c r="E1514" s="4"/>
    </row>
    <row r="1515" spans="1:5" x14ac:dyDescent="0.25">
      <c r="A1515" s="2"/>
      <c r="C1515" s="19"/>
      <c r="E1515" s="4"/>
    </row>
    <row r="1516" spans="1:5" x14ac:dyDescent="0.25">
      <c r="A1516" s="2"/>
    </row>
    <row r="1517" spans="1:5" x14ac:dyDescent="0.25">
      <c r="A1517" s="2"/>
    </row>
    <row r="1518" spans="1:5" x14ac:dyDescent="0.25">
      <c r="A1518" s="2"/>
      <c r="C1518" s="19"/>
      <c r="E1518" s="4"/>
    </row>
    <row r="1519" spans="1:5" x14ac:dyDescent="0.25">
      <c r="A1519" s="2"/>
      <c r="C1519" s="19"/>
      <c r="E1519" s="4"/>
    </row>
    <row r="1520" spans="1:5" x14ac:dyDescent="0.25">
      <c r="A1520" s="2"/>
    </row>
    <row r="1521" spans="1:5" x14ac:dyDescent="0.25">
      <c r="A1521" s="2"/>
    </row>
    <row r="1522" spans="1:5" x14ac:dyDescent="0.25">
      <c r="A1522" s="2"/>
    </row>
    <row r="1523" spans="1:5" x14ac:dyDescent="0.25">
      <c r="A1523" s="2"/>
      <c r="C1523" s="19"/>
      <c r="E1523" s="4"/>
    </row>
    <row r="1524" spans="1:5" x14ac:dyDescent="0.25">
      <c r="A1524" s="2"/>
      <c r="C1524" s="19"/>
      <c r="E1524" s="4"/>
    </row>
    <row r="1525" spans="1:5" x14ac:dyDescent="0.25">
      <c r="A1525" s="2"/>
      <c r="C1525" s="19"/>
      <c r="E1525" s="4"/>
    </row>
    <row r="1526" spans="1:5" x14ac:dyDescent="0.25">
      <c r="A1526" s="2"/>
    </row>
    <row r="1527" spans="1:5" x14ac:dyDescent="0.25">
      <c r="A1527" s="2"/>
      <c r="C1527" s="19"/>
      <c r="E1527" s="4"/>
    </row>
    <row r="1528" spans="1:5" x14ac:dyDescent="0.25">
      <c r="A1528" s="2"/>
    </row>
    <row r="1529" spans="1:5" x14ac:dyDescent="0.25">
      <c r="A1529" s="2"/>
    </row>
    <row r="1530" spans="1:5" x14ac:dyDescent="0.25">
      <c r="A1530" s="2"/>
      <c r="C1530" s="19"/>
      <c r="E1530" s="4"/>
    </row>
    <row r="1531" spans="1:5" x14ac:dyDescent="0.25">
      <c r="A1531" s="2"/>
      <c r="C1531" s="19"/>
      <c r="E1531" s="4"/>
    </row>
    <row r="1532" spans="1:5" x14ac:dyDescent="0.25">
      <c r="A1532" s="2"/>
    </row>
    <row r="1533" spans="1:5" x14ac:dyDescent="0.25">
      <c r="A1533" s="2"/>
      <c r="C1533" s="19"/>
      <c r="E1533" s="4"/>
    </row>
    <row r="1534" spans="1:5" x14ac:dyDescent="0.25">
      <c r="A1534" s="2"/>
    </row>
    <row r="1535" spans="1:5" x14ac:dyDescent="0.25">
      <c r="A1535" s="2"/>
    </row>
    <row r="1536" spans="1:5" x14ac:dyDescent="0.25">
      <c r="A1536" s="2"/>
      <c r="C1536" s="19"/>
      <c r="E1536" s="4"/>
    </row>
    <row r="1537" spans="1:5" x14ac:dyDescent="0.25">
      <c r="A1537" s="2"/>
      <c r="C1537" s="19"/>
      <c r="E1537" s="4"/>
    </row>
    <row r="1538" spans="1:5" x14ac:dyDescent="0.25">
      <c r="A1538" s="2"/>
    </row>
    <row r="1539" spans="1:5" x14ac:dyDescent="0.25">
      <c r="A1539" s="2"/>
    </row>
    <row r="1540" spans="1:5" x14ac:dyDescent="0.25">
      <c r="A1540" s="2"/>
      <c r="C1540" s="19"/>
      <c r="E1540" s="4"/>
    </row>
    <row r="1541" spans="1:5" x14ac:dyDescent="0.25">
      <c r="A1541" s="2"/>
      <c r="C1541" s="19"/>
      <c r="E1541" s="4"/>
    </row>
    <row r="1542" spans="1:5" x14ac:dyDescent="0.25">
      <c r="A1542" s="2"/>
    </row>
    <row r="1543" spans="1:5" x14ac:dyDescent="0.25">
      <c r="A1543" s="2"/>
      <c r="C1543" s="19"/>
      <c r="E1543" s="4"/>
    </row>
    <row r="1544" spans="1:5" x14ac:dyDescent="0.25">
      <c r="A1544" s="2"/>
    </row>
    <row r="1545" spans="1:5" x14ac:dyDescent="0.25">
      <c r="A1545" s="2"/>
    </row>
    <row r="1546" spans="1:5" x14ac:dyDescent="0.25">
      <c r="A1546" s="2"/>
    </row>
    <row r="1547" spans="1:5" x14ac:dyDescent="0.25">
      <c r="A1547" s="2"/>
      <c r="C1547" s="19"/>
      <c r="E1547" s="4"/>
    </row>
    <row r="1548" spans="1:5" x14ac:dyDescent="0.25">
      <c r="A1548" s="2"/>
      <c r="C1548" s="19"/>
      <c r="E1548" s="4"/>
    </row>
    <row r="1549" spans="1:5" x14ac:dyDescent="0.25">
      <c r="A1549" s="2"/>
      <c r="C1549" s="19"/>
      <c r="E1549" s="4"/>
    </row>
    <row r="1550" spans="1:5" x14ac:dyDescent="0.25">
      <c r="A1550" s="2"/>
    </row>
    <row r="1551" spans="1:5" x14ac:dyDescent="0.25">
      <c r="A1551" s="2"/>
    </row>
    <row r="1552" spans="1:5" x14ac:dyDescent="0.25">
      <c r="A1552" s="2"/>
      <c r="C1552" s="19"/>
      <c r="E1552" s="4"/>
    </row>
    <row r="1553" spans="1:5" x14ac:dyDescent="0.25">
      <c r="A1553" s="2"/>
      <c r="C1553" s="19"/>
      <c r="E1553" s="4"/>
    </row>
    <row r="1554" spans="1:5" x14ac:dyDescent="0.25">
      <c r="A1554" s="2"/>
    </row>
    <row r="1555" spans="1:5" x14ac:dyDescent="0.25">
      <c r="A1555" s="2"/>
    </row>
    <row r="1556" spans="1:5" x14ac:dyDescent="0.25">
      <c r="A1556" s="2"/>
    </row>
    <row r="1557" spans="1:5" x14ac:dyDescent="0.25">
      <c r="A1557" s="2"/>
      <c r="C1557" s="19"/>
      <c r="E1557" s="4"/>
    </row>
    <row r="1558" spans="1:5" x14ac:dyDescent="0.25">
      <c r="A1558" s="2"/>
      <c r="C1558" s="19"/>
      <c r="E1558" s="4"/>
    </row>
    <row r="1559" spans="1:5" x14ac:dyDescent="0.25">
      <c r="A1559" s="2"/>
      <c r="C1559" s="19"/>
      <c r="E1559" s="4"/>
    </row>
    <row r="1560" spans="1:5" x14ac:dyDescent="0.25">
      <c r="A1560" s="2"/>
    </row>
    <row r="1561" spans="1:5" x14ac:dyDescent="0.25">
      <c r="A1561" s="2"/>
    </row>
    <row r="1562" spans="1:5" x14ac:dyDescent="0.25">
      <c r="A1562" s="2"/>
    </row>
    <row r="1563" spans="1:5" x14ac:dyDescent="0.25">
      <c r="A1563" s="2"/>
    </row>
    <row r="1564" spans="1:5" x14ac:dyDescent="0.25">
      <c r="A1564" s="2"/>
    </row>
    <row r="1565" spans="1:5" x14ac:dyDescent="0.25">
      <c r="A1565" s="2"/>
    </row>
    <row r="1566" spans="1:5" x14ac:dyDescent="0.25">
      <c r="A1566" s="2"/>
      <c r="C1566" s="19"/>
      <c r="E1566" s="4"/>
    </row>
    <row r="1567" spans="1:5" x14ac:dyDescent="0.25">
      <c r="A1567" s="2"/>
      <c r="C1567" s="19"/>
      <c r="E1567" s="4"/>
    </row>
    <row r="1568" spans="1:5" x14ac:dyDescent="0.25">
      <c r="A1568" s="2"/>
      <c r="C1568" s="19"/>
      <c r="E1568" s="4"/>
    </row>
    <row r="1569" spans="1:5" x14ac:dyDescent="0.25">
      <c r="A1569" s="2"/>
      <c r="C1569" s="19"/>
      <c r="E1569" s="4"/>
    </row>
    <row r="1570" spans="1:5" x14ac:dyDescent="0.25">
      <c r="A1570" s="2"/>
      <c r="C1570" s="19"/>
      <c r="E1570" s="4"/>
    </row>
    <row r="1571" spans="1:5" x14ac:dyDescent="0.25">
      <c r="A1571" s="2"/>
      <c r="C1571" s="19"/>
      <c r="E1571" s="4"/>
    </row>
    <row r="1572" spans="1:5" x14ac:dyDescent="0.25">
      <c r="A1572" s="2"/>
    </row>
    <row r="1573" spans="1:5" x14ac:dyDescent="0.25">
      <c r="A1573" s="2"/>
    </row>
    <row r="1574" spans="1:5" x14ac:dyDescent="0.25">
      <c r="A1574" s="2"/>
    </row>
    <row r="1575" spans="1:5" x14ac:dyDescent="0.25">
      <c r="A1575" s="2"/>
    </row>
    <row r="1576" spans="1:5" x14ac:dyDescent="0.25">
      <c r="A1576" s="2"/>
      <c r="C1576" s="19"/>
      <c r="E1576" s="4"/>
    </row>
    <row r="1577" spans="1:5" x14ac:dyDescent="0.25">
      <c r="A1577" s="2"/>
      <c r="C1577" s="19"/>
      <c r="E1577" s="4"/>
    </row>
    <row r="1578" spans="1:5" x14ac:dyDescent="0.25">
      <c r="A1578" s="2"/>
      <c r="C1578" s="19"/>
      <c r="E1578" s="4"/>
    </row>
    <row r="1579" spans="1:5" x14ac:dyDescent="0.25">
      <c r="A1579" s="2"/>
      <c r="C1579" s="19"/>
      <c r="E1579" s="4"/>
    </row>
    <row r="1580" spans="1:5" x14ac:dyDescent="0.25">
      <c r="A1580" s="2"/>
    </row>
    <row r="1581" spans="1:5" x14ac:dyDescent="0.25">
      <c r="A1581" s="2"/>
    </row>
    <row r="1582" spans="1:5" x14ac:dyDescent="0.25">
      <c r="A1582" s="2"/>
    </row>
    <row r="1583" spans="1:5" x14ac:dyDescent="0.25">
      <c r="A1583" s="2"/>
    </row>
    <row r="1584" spans="1:5" x14ac:dyDescent="0.25">
      <c r="A1584" s="2"/>
    </row>
    <row r="1585" spans="1:5" x14ac:dyDescent="0.25">
      <c r="A1585" s="2"/>
    </row>
    <row r="1586" spans="1:5" x14ac:dyDescent="0.25">
      <c r="A1586" s="2"/>
      <c r="C1586" s="19"/>
      <c r="E1586" s="4"/>
    </row>
    <row r="1587" spans="1:5" x14ac:dyDescent="0.25">
      <c r="A1587" s="2"/>
      <c r="C1587" s="19"/>
      <c r="E1587" s="4"/>
    </row>
    <row r="1588" spans="1:5" x14ac:dyDescent="0.25">
      <c r="A1588" s="2"/>
      <c r="C1588" s="19"/>
      <c r="E1588" s="4"/>
    </row>
    <row r="1589" spans="1:5" x14ac:dyDescent="0.25">
      <c r="A1589" s="2"/>
      <c r="C1589" s="19"/>
      <c r="E1589" s="4"/>
    </row>
    <row r="1590" spans="1:5" x14ac:dyDescent="0.25">
      <c r="A1590" s="2"/>
      <c r="C1590" s="19"/>
      <c r="E1590" s="4"/>
    </row>
    <row r="1591" spans="1:5" x14ac:dyDescent="0.25">
      <c r="A1591" s="2"/>
      <c r="C1591" s="19"/>
      <c r="E1591" s="4"/>
    </row>
    <row r="1592" spans="1:5" x14ac:dyDescent="0.25">
      <c r="A1592" s="2"/>
    </row>
    <row r="1593" spans="1:5" x14ac:dyDescent="0.25">
      <c r="A1593" s="2"/>
    </row>
    <row r="1594" spans="1:5" x14ac:dyDescent="0.25">
      <c r="A1594" s="2"/>
    </row>
    <row r="1595" spans="1:5" x14ac:dyDescent="0.25">
      <c r="A1595" s="2"/>
      <c r="C1595" s="19"/>
      <c r="E1595" s="4"/>
    </row>
    <row r="1596" spans="1:5" x14ac:dyDescent="0.25">
      <c r="A1596" s="2"/>
      <c r="C1596" s="19"/>
      <c r="E1596" s="4"/>
    </row>
    <row r="1597" spans="1:5" x14ac:dyDescent="0.25">
      <c r="A1597" s="2"/>
      <c r="C1597" s="19"/>
      <c r="E1597" s="4"/>
    </row>
    <row r="1598" spans="1:5" x14ac:dyDescent="0.25">
      <c r="A1598" s="2"/>
    </row>
    <row r="1599" spans="1:5" x14ac:dyDescent="0.25">
      <c r="A1599" s="2"/>
    </row>
    <row r="1600" spans="1:5" x14ac:dyDescent="0.25">
      <c r="A1600" s="2"/>
    </row>
    <row r="1601" spans="1:5" x14ac:dyDescent="0.25">
      <c r="A1601" s="2"/>
      <c r="C1601" s="19"/>
      <c r="E1601" s="4"/>
    </row>
    <row r="1602" spans="1:5" x14ac:dyDescent="0.25">
      <c r="A1602" s="2"/>
      <c r="C1602" s="19"/>
      <c r="E1602" s="4"/>
    </row>
    <row r="1603" spans="1:5" x14ac:dyDescent="0.25">
      <c r="A1603" s="2"/>
      <c r="C1603" s="19"/>
      <c r="E1603" s="4"/>
    </row>
    <row r="1604" spans="1:5" x14ac:dyDescent="0.25">
      <c r="A1604" s="2"/>
    </row>
    <row r="1605" spans="1:5" x14ac:dyDescent="0.25">
      <c r="A1605" s="2"/>
      <c r="C1605" s="19"/>
      <c r="E1605" s="4"/>
    </row>
    <row r="1606" spans="1:5" x14ac:dyDescent="0.25">
      <c r="A1606" s="2"/>
    </row>
    <row r="1607" spans="1:5" x14ac:dyDescent="0.25">
      <c r="A1607" s="2"/>
      <c r="C1607" s="19"/>
      <c r="E1607" s="4"/>
    </row>
    <row r="1608" spans="1:5" x14ac:dyDescent="0.25">
      <c r="A1608" s="2"/>
    </row>
    <row r="1609" spans="1:5" x14ac:dyDescent="0.25">
      <c r="A1609" s="2"/>
      <c r="C1609" s="19"/>
      <c r="E1609" s="4"/>
    </row>
    <row r="1610" spans="1:5" x14ac:dyDescent="0.25">
      <c r="A1610" s="2"/>
    </row>
    <row r="1611" spans="1:5" x14ac:dyDescent="0.25">
      <c r="A1611" s="2"/>
      <c r="C1611" s="19"/>
      <c r="E1611" s="4"/>
    </row>
    <row r="1612" spans="1:5" x14ac:dyDescent="0.25">
      <c r="A1612" s="2"/>
    </row>
    <row r="1613" spans="1:5" x14ac:dyDescent="0.25">
      <c r="A1613" s="2"/>
      <c r="C1613" s="19"/>
      <c r="D1613" s="4"/>
      <c r="E1613" s="4"/>
    </row>
    <row r="1614" spans="1:5" x14ac:dyDescent="0.25">
      <c r="A1614" s="2"/>
    </row>
    <row r="1615" spans="1:5" x14ac:dyDescent="0.25">
      <c r="A1615" s="2"/>
    </row>
    <row r="1616" spans="1:5" x14ac:dyDescent="0.25">
      <c r="A1616" s="2"/>
      <c r="C1616" s="19"/>
      <c r="E1616" s="4"/>
    </row>
    <row r="1617" spans="1:5" x14ac:dyDescent="0.25">
      <c r="A1617" s="2"/>
      <c r="C1617" s="19"/>
      <c r="E1617" s="4"/>
    </row>
    <row r="1618" spans="1:5" x14ac:dyDescent="0.25">
      <c r="A1618" s="2"/>
      <c r="C1618" s="19"/>
      <c r="E1618" s="4"/>
    </row>
    <row r="1619" spans="1:5" x14ac:dyDescent="0.25">
      <c r="A1619" s="2"/>
    </row>
    <row r="1620" spans="1:5" x14ac:dyDescent="0.25">
      <c r="A1620" s="2"/>
      <c r="C1620" s="19"/>
      <c r="E1620" s="4"/>
    </row>
    <row r="1621" spans="1:5" x14ac:dyDescent="0.25">
      <c r="A1621" s="2"/>
    </row>
    <row r="1622" spans="1:5" x14ac:dyDescent="0.25">
      <c r="A1622" s="2"/>
      <c r="C1622" s="19"/>
      <c r="E1622" s="4"/>
    </row>
    <row r="1623" spans="1:5" x14ac:dyDescent="0.25">
      <c r="A1623" s="2"/>
    </row>
    <row r="1624" spans="1:5" x14ac:dyDescent="0.25">
      <c r="A1624" s="2"/>
      <c r="C1624" s="19"/>
      <c r="E1624" s="4"/>
    </row>
    <row r="1625" spans="1:5" x14ac:dyDescent="0.25">
      <c r="A1625" s="2"/>
    </row>
    <row r="1626" spans="1:5" x14ac:dyDescent="0.25">
      <c r="A1626" s="2"/>
      <c r="C1626" s="19"/>
      <c r="E1626" s="4"/>
    </row>
    <row r="1627" spans="1:5" x14ac:dyDescent="0.25">
      <c r="A1627" s="2"/>
    </row>
    <row r="1628" spans="1:5" x14ac:dyDescent="0.25">
      <c r="A1628" s="2"/>
      <c r="C1628" s="19"/>
      <c r="E1628" s="4"/>
    </row>
    <row r="1629" spans="1:5" x14ac:dyDescent="0.25">
      <c r="A1629" s="2"/>
    </row>
    <row r="1630" spans="1:5" x14ac:dyDescent="0.25">
      <c r="A1630" s="2"/>
    </row>
    <row r="1631" spans="1:5" x14ac:dyDescent="0.25">
      <c r="A1631" s="2"/>
      <c r="C1631" s="19"/>
      <c r="E1631" s="4"/>
    </row>
    <row r="1632" spans="1:5" x14ac:dyDescent="0.25">
      <c r="A1632" s="2"/>
      <c r="C1632" s="19"/>
      <c r="E1632" s="4"/>
    </row>
    <row r="1633" spans="1:5" x14ac:dyDescent="0.25">
      <c r="A1633" s="2"/>
    </row>
    <row r="1634" spans="1:5" x14ac:dyDescent="0.25">
      <c r="A1634" s="2"/>
    </row>
    <row r="1635" spans="1:5" x14ac:dyDescent="0.25">
      <c r="A1635" s="2"/>
    </row>
    <row r="1636" spans="1:5" x14ac:dyDescent="0.25">
      <c r="A1636" s="2"/>
      <c r="C1636" s="19"/>
      <c r="E1636" s="4"/>
    </row>
    <row r="1637" spans="1:5" x14ac:dyDescent="0.25">
      <c r="A1637" s="2"/>
      <c r="C1637" s="19"/>
      <c r="E1637" s="4"/>
    </row>
    <row r="1638" spans="1:5" x14ac:dyDescent="0.25">
      <c r="A1638" s="2"/>
      <c r="C1638" s="19"/>
      <c r="E1638" s="4"/>
    </row>
    <row r="1639" spans="1:5" x14ac:dyDescent="0.25">
      <c r="A1639" s="2"/>
    </row>
    <row r="1640" spans="1:5" x14ac:dyDescent="0.25">
      <c r="A1640" s="2"/>
      <c r="C1640" s="19"/>
      <c r="E1640" s="4"/>
    </row>
    <row r="1641" spans="1:5" x14ac:dyDescent="0.25">
      <c r="A1641" s="2"/>
    </row>
    <row r="1642" spans="1:5" x14ac:dyDescent="0.25">
      <c r="A1642" s="2"/>
    </row>
    <row r="1643" spans="1:5" x14ac:dyDescent="0.25">
      <c r="A1643" s="2"/>
    </row>
    <row r="1644" spans="1:5" x14ac:dyDescent="0.25">
      <c r="A1644" s="2"/>
      <c r="C1644" s="19"/>
      <c r="E1644" s="4"/>
    </row>
    <row r="1645" spans="1:5" x14ac:dyDescent="0.25">
      <c r="A1645" s="2"/>
      <c r="C1645" s="19"/>
      <c r="E1645" s="4"/>
    </row>
    <row r="1646" spans="1:5" x14ac:dyDescent="0.25">
      <c r="A1646" s="2"/>
      <c r="C1646" s="19"/>
      <c r="E1646" s="4"/>
    </row>
    <row r="1647" spans="1:5" x14ac:dyDescent="0.25">
      <c r="A1647" s="2"/>
    </row>
    <row r="1648" spans="1:5" x14ac:dyDescent="0.25">
      <c r="A1648" s="2"/>
      <c r="C1648" s="19"/>
      <c r="E1648" s="4"/>
    </row>
    <row r="1649" spans="1:5" x14ac:dyDescent="0.25">
      <c r="A1649" s="2"/>
    </row>
    <row r="1650" spans="1:5" x14ac:dyDescent="0.25">
      <c r="A1650" s="2"/>
    </row>
    <row r="1651" spans="1:5" x14ac:dyDescent="0.25">
      <c r="A1651" s="2"/>
      <c r="C1651" s="19"/>
      <c r="E1651" s="4"/>
    </row>
    <row r="1652" spans="1:5" x14ac:dyDescent="0.25">
      <c r="A1652" s="2"/>
      <c r="C1652" s="19"/>
      <c r="E1652" s="4"/>
    </row>
    <row r="1653" spans="1:5" x14ac:dyDescent="0.25">
      <c r="A1653" s="2"/>
    </row>
    <row r="1654" spans="1:5" x14ac:dyDescent="0.25">
      <c r="A1654" s="2"/>
      <c r="C1654" s="19"/>
      <c r="E1654" s="4"/>
    </row>
    <row r="1655" spans="1:5" x14ac:dyDescent="0.25">
      <c r="A1655" s="2"/>
    </row>
    <row r="1656" spans="1:5" x14ac:dyDescent="0.25">
      <c r="A1656" s="2"/>
    </row>
    <row r="1657" spans="1:5" x14ac:dyDescent="0.25">
      <c r="A1657" s="2"/>
    </row>
    <row r="1658" spans="1:5" x14ac:dyDescent="0.25">
      <c r="A1658" s="2"/>
    </row>
    <row r="1659" spans="1:5" x14ac:dyDescent="0.25">
      <c r="A1659" s="2"/>
    </row>
    <row r="1660" spans="1:5" x14ac:dyDescent="0.25">
      <c r="A1660" s="2"/>
    </row>
    <row r="1661" spans="1:5" x14ac:dyDescent="0.25">
      <c r="A1661" s="2"/>
      <c r="C1661" s="19"/>
      <c r="E1661" s="4"/>
    </row>
    <row r="1662" spans="1:5" x14ac:dyDescent="0.25">
      <c r="A1662" s="2"/>
      <c r="C1662" s="19"/>
      <c r="E1662" s="4"/>
    </row>
    <row r="1663" spans="1:5" x14ac:dyDescent="0.25">
      <c r="A1663" s="2"/>
      <c r="C1663" s="19"/>
      <c r="E1663" s="4"/>
    </row>
    <row r="1664" spans="1:5" x14ac:dyDescent="0.25">
      <c r="A1664" s="2"/>
      <c r="C1664" s="19"/>
      <c r="E1664" s="4"/>
    </row>
    <row r="1665" spans="1:5" x14ac:dyDescent="0.25">
      <c r="A1665" s="2"/>
      <c r="C1665" s="19"/>
      <c r="E1665" s="4"/>
    </row>
    <row r="1666" spans="1:5" x14ac:dyDescent="0.25">
      <c r="A1666" s="2"/>
      <c r="C1666" s="19"/>
      <c r="E1666" s="4"/>
    </row>
    <row r="1667" spans="1:5" x14ac:dyDescent="0.25">
      <c r="A1667" s="2"/>
    </row>
    <row r="1668" spans="1:5" x14ac:dyDescent="0.25">
      <c r="A1668" s="2"/>
    </row>
    <row r="1669" spans="1:5" x14ac:dyDescent="0.25">
      <c r="A1669" s="2"/>
    </row>
    <row r="1670" spans="1:5" x14ac:dyDescent="0.25">
      <c r="A1670" s="2"/>
    </row>
    <row r="1671" spans="1:5" x14ac:dyDescent="0.25">
      <c r="A1671" s="2"/>
    </row>
    <row r="1672" spans="1:5" x14ac:dyDescent="0.25">
      <c r="A1672" s="2"/>
    </row>
    <row r="1673" spans="1:5" x14ac:dyDescent="0.25">
      <c r="A1673" s="2"/>
    </row>
    <row r="1674" spans="1:5" x14ac:dyDescent="0.25">
      <c r="A1674" s="2"/>
    </row>
    <row r="1675" spans="1:5" x14ac:dyDescent="0.25">
      <c r="A1675" s="2"/>
    </row>
    <row r="1676" spans="1:5" x14ac:dyDescent="0.25">
      <c r="A1676" s="2"/>
      <c r="C1676" s="19"/>
      <c r="E1676" s="4"/>
    </row>
    <row r="1677" spans="1:5" x14ac:dyDescent="0.25">
      <c r="A1677" s="2"/>
      <c r="C1677" s="19"/>
      <c r="E1677" s="4"/>
    </row>
    <row r="1678" spans="1:5" x14ac:dyDescent="0.25">
      <c r="A1678" s="2"/>
      <c r="C1678" s="19"/>
      <c r="E1678" s="4"/>
    </row>
    <row r="1679" spans="1:5" x14ac:dyDescent="0.25">
      <c r="A1679" s="2"/>
      <c r="C1679" s="19"/>
      <c r="E1679" s="4"/>
    </row>
    <row r="1680" spans="1:5" x14ac:dyDescent="0.25">
      <c r="A1680" s="2"/>
      <c r="C1680" s="19"/>
      <c r="E1680" s="4"/>
    </row>
    <row r="1681" spans="1:5" x14ac:dyDescent="0.25">
      <c r="A1681" s="2"/>
      <c r="C1681" s="19"/>
      <c r="E1681" s="4"/>
    </row>
    <row r="1682" spans="1:5" x14ac:dyDescent="0.25">
      <c r="A1682" s="2"/>
      <c r="C1682" s="19"/>
      <c r="E1682" s="4"/>
    </row>
    <row r="1683" spans="1:5" x14ac:dyDescent="0.25">
      <c r="A1683" s="2"/>
      <c r="C1683" s="19"/>
      <c r="E1683" s="4"/>
    </row>
    <row r="1684" spans="1:5" x14ac:dyDescent="0.25">
      <c r="A1684" s="2"/>
      <c r="C1684" s="19"/>
      <c r="E1684" s="4"/>
    </row>
    <row r="1685" spans="1:5" x14ac:dyDescent="0.25">
      <c r="A1685" s="2"/>
    </row>
    <row r="1686" spans="1:5" x14ac:dyDescent="0.25">
      <c r="A1686" s="2"/>
    </row>
    <row r="1687" spans="1:5" x14ac:dyDescent="0.25">
      <c r="A1687" s="2"/>
    </row>
    <row r="1688" spans="1:5" x14ac:dyDescent="0.25">
      <c r="A1688" s="2"/>
    </row>
    <row r="1689" spans="1:5" x14ac:dyDescent="0.25">
      <c r="A1689" s="2"/>
      <c r="C1689" s="19"/>
      <c r="E1689" s="4"/>
    </row>
    <row r="1690" spans="1:5" x14ac:dyDescent="0.25">
      <c r="A1690" s="2"/>
      <c r="C1690" s="19"/>
      <c r="E1690" s="4"/>
    </row>
    <row r="1691" spans="1:5" x14ac:dyDescent="0.25">
      <c r="A1691" s="2"/>
      <c r="C1691" s="19"/>
      <c r="E1691" s="4"/>
    </row>
    <row r="1692" spans="1:5" x14ac:dyDescent="0.25">
      <c r="A1692" s="2"/>
      <c r="C1692" s="19"/>
      <c r="E1692" s="4"/>
    </row>
    <row r="1693" spans="1:5" x14ac:dyDescent="0.25">
      <c r="A1693" s="2"/>
    </row>
    <row r="1694" spans="1:5" x14ac:dyDescent="0.25">
      <c r="A1694" s="2"/>
    </row>
    <row r="1695" spans="1:5" x14ac:dyDescent="0.25">
      <c r="A1695" s="2"/>
    </row>
    <row r="1696" spans="1:5" x14ac:dyDescent="0.25">
      <c r="A1696" s="2"/>
    </row>
    <row r="1697" spans="1:5" x14ac:dyDescent="0.25">
      <c r="A1697" s="2"/>
    </row>
    <row r="1698" spans="1:5" x14ac:dyDescent="0.25">
      <c r="A1698" s="2"/>
      <c r="C1698" s="19"/>
      <c r="E1698" s="4"/>
    </row>
    <row r="1699" spans="1:5" x14ac:dyDescent="0.25">
      <c r="A1699" s="2"/>
      <c r="C1699" s="19"/>
      <c r="E1699" s="4"/>
    </row>
    <row r="1700" spans="1:5" x14ac:dyDescent="0.25">
      <c r="A1700" s="2"/>
      <c r="C1700" s="19"/>
      <c r="E1700" s="4"/>
    </row>
    <row r="1701" spans="1:5" x14ac:dyDescent="0.25">
      <c r="A1701" s="2"/>
      <c r="C1701" s="19"/>
      <c r="E1701" s="4"/>
    </row>
    <row r="1702" spans="1:5" x14ac:dyDescent="0.25">
      <c r="A1702" s="2"/>
      <c r="C1702" s="19"/>
      <c r="E1702" s="4"/>
    </row>
    <row r="1703" spans="1:5" x14ac:dyDescent="0.25">
      <c r="A1703" s="2"/>
    </row>
    <row r="1704" spans="1:5" x14ac:dyDescent="0.25">
      <c r="A1704" s="2"/>
      <c r="C1704" s="19"/>
      <c r="E1704" s="4"/>
    </row>
    <row r="1705" spans="1:5" x14ac:dyDescent="0.25">
      <c r="A1705" s="2"/>
    </row>
    <row r="1706" spans="1:5" x14ac:dyDescent="0.25">
      <c r="A1706" s="2"/>
      <c r="C1706" s="19"/>
      <c r="E1706" s="4"/>
    </row>
    <row r="1707" spans="1:5" x14ac:dyDescent="0.25">
      <c r="A1707" s="2"/>
    </row>
    <row r="1708" spans="1:5" x14ac:dyDescent="0.25">
      <c r="A1708" s="2"/>
      <c r="C1708" s="19"/>
      <c r="E1708" s="4"/>
    </row>
    <row r="1709" spans="1:5" x14ac:dyDescent="0.25">
      <c r="A1709" s="2"/>
    </row>
    <row r="1710" spans="1:5" x14ac:dyDescent="0.25">
      <c r="A1710" s="2"/>
      <c r="C1710" s="19"/>
      <c r="E1710" s="4"/>
    </row>
    <row r="1711" spans="1:5" x14ac:dyDescent="0.25">
      <c r="A1711" s="2"/>
      <c r="C1711" s="19"/>
      <c r="E1711" s="4"/>
    </row>
    <row r="1712" spans="1:5" x14ac:dyDescent="0.25">
      <c r="A1712" s="2"/>
      <c r="C1712" s="19"/>
      <c r="E1712" s="4"/>
    </row>
    <row r="1713" spans="1:5" x14ac:dyDescent="0.25">
      <c r="A1713" s="2"/>
      <c r="C1713" s="19"/>
      <c r="E1713" s="4"/>
    </row>
    <row r="1714" spans="1:5" x14ac:dyDescent="0.25">
      <c r="A1714" s="2"/>
      <c r="C1714" s="19"/>
      <c r="E1714" s="4"/>
    </row>
    <row r="1715" spans="1:5" x14ac:dyDescent="0.25">
      <c r="A1715" s="2"/>
      <c r="C1715" s="19"/>
      <c r="E1715" s="4"/>
    </row>
    <row r="1716" spans="1:5" x14ac:dyDescent="0.25">
      <c r="A1716" s="2"/>
      <c r="C1716" s="19"/>
      <c r="E1716" s="4"/>
    </row>
    <row r="1717" spans="1:5" x14ac:dyDescent="0.25">
      <c r="A1717" s="2"/>
      <c r="C1717" s="19"/>
      <c r="E1717" s="4"/>
    </row>
    <row r="1718" spans="1:5" x14ac:dyDescent="0.25">
      <c r="A1718" s="2"/>
      <c r="C1718" s="19"/>
      <c r="E1718" s="4"/>
    </row>
    <row r="1719" spans="1:5" x14ac:dyDescent="0.25">
      <c r="A1719" s="2"/>
      <c r="C1719" s="19"/>
      <c r="E1719" s="4"/>
    </row>
    <row r="1720" spans="1:5" x14ac:dyDescent="0.25">
      <c r="A1720" s="2"/>
      <c r="C1720" s="19"/>
      <c r="E1720" s="4"/>
    </row>
    <row r="1721" spans="1:5" x14ac:dyDescent="0.25">
      <c r="A1721" s="2"/>
      <c r="C1721" s="19"/>
      <c r="E1721" s="4"/>
    </row>
    <row r="1722" spans="1:5" x14ac:dyDescent="0.25">
      <c r="A1722" s="2"/>
      <c r="C1722" s="19"/>
      <c r="E1722" s="4"/>
    </row>
    <row r="1723" spans="1:5" x14ac:dyDescent="0.25">
      <c r="A1723" s="2"/>
      <c r="C1723" s="19"/>
      <c r="E1723" s="4"/>
    </row>
    <row r="1724" spans="1:5" x14ac:dyDescent="0.25">
      <c r="A1724" s="2"/>
      <c r="C1724" s="19"/>
      <c r="E1724" s="4"/>
    </row>
    <row r="1725" spans="1:5" x14ac:dyDescent="0.25">
      <c r="A1725" s="2"/>
      <c r="C1725" s="19"/>
      <c r="E1725" s="4"/>
    </row>
    <row r="1726" spans="1:5" x14ac:dyDescent="0.25">
      <c r="A1726" s="2"/>
      <c r="C1726" s="19"/>
      <c r="E1726" s="4"/>
    </row>
    <row r="1727" spans="1:5" x14ac:dyDescent="0.25">
      <c r="A1727" s="2"/>
      <c r="C1727" s="19"/>
      <c r="E1727" s="4"/>
    </row>
    <row r="1728" spans="1:5" x14ac:dyDescent="0.25">
      <c r="A1728" s="2"/>
      <c r="C1728" s="19"/>
      <c r="E1728" s="4"/>
    </row>
    <row r="1729" spans="1:5" x14ac:dyDescent="0.25">
      <c r="A1729" s="2"/>
      <c r="C1729" s="19"/>
      <c r="E1729" s="4"/>
    </row>
    <row r="1730" spans="1:5" x14ac:dyDescent="0.25">
      <c r="A1730" s="2"/>
      <c r="C1730" s="19"/>
      <c r="E1730" s="4"/>
    </row>
    <row r="1731" spans="1:5" x14ac:dyDescent="0.25">
      <c r="A1731" s="2"/>
      <c r="C1731" s="19"/>
      <c r="E1731" s="4"/>
    </row>
    <row r="1732" spans="1:5" x14ac:dyDescent="0.25">
      <c r="A1732" s="2"/>
      <c r="C1732" s="19"/>
      <c r="E1732" s="4"/>
    </row>
    <row r="1733" spans="1:5" x14ac:dyDescent="0.25">
      <c r="A1733" s="2"/>
      <c r="C1733" s="19"/>
      <c r="E1733" s="4"/>
    </row>
    <row r="1734" spans="1:5" x14ac:dyDescent="0.25">
      <c r="A1734" s="2"/>
      <c r="C1734" s="19"/>
      <c r="E1734" s="4"/>
    </row>
    <row r="1735" spans="1:5" x14ac:dyDescent="0.25">
      <c r="A1735" s="2"/>
      <c r="C1735" s="19"/>
      <c r="E1735" s="4"/>
    </row>
    <row r="1736" spans="1:5" x14ac:dyDescent="0.25">
      <c r="A1736" s="2"/>
      <c r="C1736" s="19"/>
      <c r="E1736" s="4"/>
    </row>
    <row r="1737" spans="1:5" x14ac:dyDescent="0.25">
      <c r="A1737" s="2"/>
      <c r="C1737" s="19"/>
      <c r="E1737" s="4"/>
    </row>
    <row r="1738" spans="1:5" x14ac:dyDescent="0.25">
      <c r="A1738" s="2"/>
      <c r="C1738" s="19"/>
      <c r="E1738" s="4"/>
    </row>
    <row r="1739" spans="1:5" x14ac:dyDescent="0.25">
      <c r="A1739" s="2"/>
      <c r="C1739" s="19"/>
      <c r="E1739" s="4"/>
    </row>
    <row r="1740" spans="1:5" x14ac:dyDescent="0.25">
      <c r="A1740" s="2"/>
      <c r="C1740" s="19"/>
      <c r="E1740" s="4"/>
    </row>
    <row r="1741" spans="1:5" x14ac:dyDescent="0.25">
      <c r="A1741" s="2"/>
      <c r="C1741" s="19"/>
      <c r="E1741" s="4"/>
    </row>
    <row r="1742" spans="1:5" x14ac:dyDescent="0.25">
      <c r="A1742" s="2"/>
    </row>
    <row r="1743" spans="1:5" x14ac:dyDescent="0.25">
      <c r="A1743" s="2"/>
    </row>
    <row r="1744" spans="1:5" x14ac:dyDescent="0.25">
      <c r="A1744" s="2"/>
    </row>
    <row r="1745" spans="1:1" x14ac:dyDescent="0.25">
      <c r="A1745" s="2"/>
    </row>
    <row r="1746" spans="1:1" x14ac:dyDescent="0.25">
      <c r="A1746" s="2"/>
    </row>
    <row r="1747" spans="1:1" x14ac:dyDescent="0.25">
      <c r="A1747" s="2"/>
    </row>
    <row r="1748" spans="1:1" x14ac:dyDescent="0.25">
      <c r="A1748" s="2"/>
    </row>
    <row r="1749" spans="1:1" x14ac:dyDescent="0.25">
      <c r="A1749" s="2"/>
    </row>
    <row r="1750" spans="1:1" x14ac:dyDescent="0.25">
      <c r="A1750" s="2"/>
    </row>
    <row r="1751" spans="1:1" x14ac:dyDescent="0.25">
      <c r="A1751" s="2"/>
    </row>
    <row r="1752" spans="1:1" x14ac:dyDescent="0.25">
      <c r="A1752" s="2"/>
    </row>
    <row r="1753" spans="1:1" x14ac:dyDescent="0.25">
      <c r="A1753" s="2"/>
    </row>
    <row r="1754" spans="1:1" x14ac:dyDescent="0.25">
      <c r="A1754" s="2"/>
    </row>
    <row r="1755" spans="1:1" x14ac:dyDescent="0.25">
      <c r="A1755" s="2"/>
    </row>
    <row r="1756" spans="1:1" x14ac:dyDescent="0.25">
      <c r="A1756" s="2"/>
    </row>
    <row r="1757" spans="1:1" x14ac:dyDescent="0.25">
      <c r="A1757" s="2"/>
    </row>
    <row r="1758" spans="1:1" x14ac:dyDescent="0.25">
      <c r="A1758" s="2"/>
    </row>
    <row r="1759" spans="1:1" x14ac:dyDescent="0.25">
      <c r="A1759" s="2"/>
    </row>
    <row r="1760" spans="1:1" x14ac:dyDescent="0.25">
      <c r="A1760" s="2"/>
    </row>
    <row r="1761" spans="1:1" x14ac:dyDescent="0.25">
      <c r="A1761" s="2"/>
    </row>
    <row r="1762" spans="1:1" x14ac:dyDescent="0.25">
      <c r="A1762" s="2"/>
    </row>
    <row r="1763" spans="1:1" x14ac:dyDescent="0.25">
      <c r="A1763" s="2"/>
    </row>
    <row r="1764" spans="1:1" x14ac:dyDescent="0.25">
      <c r="A1764" s="2"/>
    </row>
    <row r="1765" spans="1:1" x14ac:dyDescent="0.25">
      <c r="A1765" s="2"/>
    </row>
    <row r="1766" spans="1:1" x14ac:dyDescent="0.25">
      <c r="A1766" s="2"/>
    </row>
    <row r="1767" spans="1:1" x14ac:dyDescent="0.25">
      <c r="A1767" s="2"/>
    </row>
    <row r="1768" spans="1:1" x14ac:dyDescent="0.25">
      <c r="A1768" s="2"/>
    </row>
    <row r="1769" spans="1:1" x14ac:dyDescent="0.25">
      <c r="A1769" s="2"/>
    </row>
    <row r="1770" spans="1:1" x14ac:dyDescent="0.25">
      <c r="A1770" s="2"/>
    </row>
    <row r="1771" spans="1:1" x14ac:dyDescent="0.25">
      <c r="A1771" s="2"/>
    </row>
    <row r="1772" spans="1:1" x14ac:dyDescent="0.25">
      <c r="A1772" s="2"/>
    </row>
    <row r="1773" spans="1:1" x14ac:dyDescent="0.25">
      <c r="A1773" s="2"/>
    </row>
    <row r="1817" spans="6:6" x14ac:dyDescent="0.25">
      <c r="F1817" s="16"/>
    </row>
    <row r="1818" spans="6:6" x14ac:dyDescent="0.25">
      <c r="F1818" s="16"/>
    </row>
  </sheetData>
  <mergeCells count="54">
    <mergeCell ref="DE2:EI2"/>
    <mergeCell ref="BY53:DC53"/>
    <mergeCell ref="AS8:BU8"/>
    <mergeCell ref="M48:AQ48"/>
    <mergeCell ref="DE8:EG8"/>
    <mergeCell ref="BY18:DC18"/>
    <mergeCell ref="M2:AQ2"/>
    <mergeCell ref="BY3:DC3"/>
    <mergeCell ref="AS43:BW43"/>
    <mergeCell ref="BY2:DC2"/>
    <mergeCell ref="DE13:EI13"/>
    <mergeCell ref="M8:AO8"/>
    <mergeCell ref="BY33:DC33"/>
    <mergeCell ref="M13:AQ13"/>
    <mergeCell ref="BY23:DC23"/>
    <mergeCell ref="DE3:EI3"/>
    <mergeCell ref="H1:K1"/>
    <mergeCell ref="M53:AQ53"/>
    <mergeCell ref="M43:AQ43"/>
    <mergeCell ref="AS13:BW13"/>
    <mergeCell ref="AS3:BW3"/>
    <mergeCell ref="M38:AQ38"/>
    <mergeCell ref="M23:AQ23"/>
    <mergeCell ref="AS38:BW38"/>
    <mergeCell ref="AS53:BW53"/>
    <mergeCell ref="AS18:BW18"/>
    <mergeCell ref="AS33:BW33"/>
    <mergeCell ref="AS2:BW2"/>
    <mergeCell ref="M3:AQ3"/>
    <mergeCell ref="DE58:EI58"/>
    <mergeCell ref="AS28:BW28"/>
    <mergeCell ref="BY58:DC58"/>
    <mergeCell ref="DE48:EI48"/>
    <mergeCell ref="DE28:EI28"/>
    <mergeCell ref="BY48:DC48"/>
    <mergeCell ref="AS58:BW58"/>
    <mergeCell ref="BY28:DC28"/>
    <mergeCell ref="AS48:BW48"/>
    <mergeCell ref="P136:U136"/>
    <mergeCell ref="BY38:DC38"/>
    <mergeCell ref="BY43:DC43"/>
    <mergeCell ref="M28:AQ28"/>
    <mergeCell ref="M18:AQ18"/>
    <mergeCell ref="M33:AQ33"/>
    <mergeCell ref="AS23:BW23"/>
    <mergeCell ref="M58:AQ58"/>
    <mergeCell ref="BY8:DA8"/>
    <mergeCell ref="BY13:DC13"/>
    <mergeCell ref="DE33:EI33"/>
    <mergeCell ref="DE53:EI53"/>
    <mergeCell ref="DE18:EI18"/>
    <mergeCell ref="DE38:EI38"/>
    <mergeCell ref="DE23:EI23"/>
    <mergeCell ref="DE43:EI43"/>
  </mergeCells>
  <conditionalFormatting sqref="AO9">
    <cfRule type="expression" dxfId="3" priority="168">
      <formula>MONTH(DATE(CalendarYear,2,29))&lt;&gt;2</formula>
    </cfRule>
  </conditionalFormatting>
  <conditionalFormatting sqref="BU9">
    <cfRule type="expression" dxfId="2" priority="167">
      <formula>MONTH(DATE(CalendarYear,2,29))&lt;&gt;2</formula>
    </cfRule>
  </conditionalFormatting>
  <conditionalFormatting sqref="DA9">
    <cfRule type="expression" dxfId="1" priority="166">
      <formula>MONTH(DATE(CalendarYear,2,29))&lt;&gt;2</formula>
    </cfRule>
  </conditionalFormatting>
  <conditionalFormatting sqref="BY6:DC6">
    <cfRule type="colorScale" priority="164">
      <colorScale>
        <cfvo type="min"/>
        <cfvo type="percentile" val="50"/>
        <cfvo type="max"/>
        <color rgb="FFF8696B"/>
        <color rgb="FFFFEB84"/>
        <color rgb="FF63BE7B"/>
      </colorScale>
    </cfRule>
    <cfRule type="colorScale" priority="165">
      <colorScale>
        <cfvo type="min"/>
        <cfvo type="max"/>
        <color rgb="FFFF7128"/>
        <color rgb="FFFFEF9C"/>
      </colorScale>
    </cfRule>
  </conditionalFormatting>
  <conditionalFormatting sqref="M6:AQ6 L5 AR62 AS6:BW6 BX62 BY6:DC6 EL5 EZ5:XFD5">
    <cfRule type="colorScale" priority="163">
      <colorScale>
        <cfvo type="min"/>
        <cfvo type="percentile" val="50"/>
        <cfvo type="max"/>
        <color rgb="FFF8696B"/>
        <color rgb="FFFFEB84"/>
        <color rgb="FF63BE7B"/>
      </colorScale>
    </cfRule>
  </conditionalFormatting>
  <conditionalFormatting sqref="M11:AQ11 L10 AR67 AS11:BW11 BX67 BY11:DC11 DD67 EL10 EZ10:XFD10">
    <cfRule type="colorScale" priority="162">
      <colorScale>
        <cfvo type="min"/>
        <cfvo type="percentile" val="50"/>
        <cfvo type="max"/>
        <color rgb="FFF8696B"/>
        <color rgb="FFFFEB84"/>
        <color rgb="FF63BE7B"/>
      </colorScale>
    </cfRule>
  </conditionalFormatting>
  <conditionalFormatting sqref="M16:AQ16 L15 AR72 AS16:BW16 BX72 BY16:DC16 DD72 EL15 EZ15:XFD15">
    <cfRule type="colorScale" priority="161">
      <colorScale>
        <cfvo type="min"/>
        <cfvo type="percentile" val="50"/>
        <cfvo type="max"/>
        <color rgb="FFF8696B"/>
        <color rgb="FFFFEB84"/>
        <color rgb="FF63BE7B"/>
      </colorScale>
    </cfRule>
  </conditionalFormatting>
  <conditionalFormatting sqref="M21:AQ21 L20 AR77 AS21:BW21 BX77 BY21:DC21 DD77 EL20 EZ20:XFD20">
    <cfRule type="colorScale" priority="160">
      <colorScale>
        <cfvo type="min"/>
        <cfvo type="percentile" val="50"/>
        <cfvo type="max"/>
        <color rgb="FFF8696B"/>
        <color rgb="FFFFEB84"/>
        <color rgb="FF63BE7B"/>
      </colorScale>
    </cfRule>
  </conditionalFormatting>
  <conditionalFormatting sqref="M26:AQ26 L25 AR82 AS26:BW26 BX82 BY26:DC26 DD82 EL25 EZ25:XFD25">
    <cfRule type="colorScale" priority="159">
      <colorScale>
        <cfvo type="min"/>
        <cfvo type="percentile" val="50"/>
        <cfvo type="max"/>
        <color rgb="FFF8696B"/>
        <color rgb="FFFFEB84"/>
        <color rgb="FF63BE7B"/>
      </colorScale>
    </cfRule>
  </conditionalFormatting>
  <conditionalFormatting sqref="L30 G30 M31:AQ31 AR87 AS31:BW31 BX87 BY31:DC31 DD87 EL30 EZ30:XFD30">
    <cfRule type="colorScale" priority="158">
      <colorScale>
        <cfvo type="min"/>
        <cfvo type="percentile" val="50"/>
        <cfvo type="max"/>
        <color rgb="FFF8696B"/>
        <color rgb="FFFFEB84"/>
        <color rgb="FF63BE7B"/>
      </colorScale>
    </cfRule>
  </conditionalFormatting>
  <conditionalFormatting sqref="L35 G35 M36:AQ36 AR92 AS36:BW36 BX92 BY36:DC36 DD92 EL35 EZ35:XFD35">
    <cfRule type="colorScale" priority="157">
      <colorScale>
        <cfvo type="min"/>
        <cfvo type="percentile" val="50"/>
        <cfvo type="max"/>
        <color rgb="FFF8696B"/>
        <color rgb="FFFFEB84"/>
        <color rgb="FF63BE7B"/>
      </colorScale>
    </cfRule>
  </conditionalFormatting>
  <conditionalFormatting sqref="L40 G40 M41:AQ41 AR97 AS41:BW41 BX97 BY41:DC41 DD97 EL40 EZ40:XFD40">
    <cfRule type="colorScale" priority="156">
      <colorScale>
        <cfvo type="min"/>
        <cfvo type="percentile" val="50"/>
        <cfvo type="max"/>
        <color rgb="FFF8696B"/>
        <color rgb="FFFFEB84"/>
        <color rgb="FF63BE7B"/>
      </colorScale>
    </cfRule>
  </conditionalFormatting>
  <conditionalFormatting sqref="G45 L45 M46:AQ46 AR102 AS46:BW46 BX102 BY46:DC46 DD102 EL45 EZ45:XFD45">
    <cfRule type="colorScale" priority="155">
      <colorScale>
        <cfvo type="min"/>
        <cfvo type="percentile" val="50"/>
        <cfvo type="max"/>
        <color rgb="FFF8696B"/>
        <color rgb="FFFFEB84"/>
        <color rgb="FF63BE7B"/>
      </colorScale>
    </cfRule>
  </conditionalFormatting>
  <conditionalFormatting sqref="G50 L50 M51:AQ51 AR107 AS51:BW51 BX107 BY51:DC51 DD107 EL50 EQ50:ER50 EU50:XFD50">
    <cfRule type="colorScale" priority="154">
      <colorScale>
        <cfvo type="min"/>
        <cfvo type="percentile" val="50"/>
        <cfvo type="max"/>
        <color rgb="FFF8696B"/>
        <color rgb="FFFFEB84"/>
        <color rgb="FF63BE7B"/>
      </colorScale>
    </cfRule>
  </conditionalFormatting>
  <conditionalFormatting sqref="G60 L60 M61:AQ61 AR117 AS61:BW61 BX117 BY61:DC61 DD117 EL60 EQ60:ER60 EU60:XFD60">
    <cfRule type="colorScale" priority="153">
      <colorScale>
        <cfvo type="min"/>
        <cfvo type="percentile" val="50"/>
        <cfvo type="max"/>
        <color rgb="FFF8696B"/>
        <color rgb="FFFFEB84"/>
        <color rgb="FF63BE7B"/>
      </colorScale>
    </cfRule>
  </conditionalFormatting>
  <conditionalFormatting sqref="G55 L55 M56:AQ56 AR112 AS56:BW56 BX112 BY56:DC56 DD112 EL55 EQ55:ER55 EU55:XFD55">
    <cfRule type="colorScale" priority="152">
      <colorScale>
        <cfvo type="min"/>
        <cfvo type="percentile" val="50"/>
        <cfvo type="max"/>
        <color rgb="FFF8696B"/>
        <color rgb="FFFFEB84"/>
        <color rgb="FF63BE7B"/>
      </colorScale>
    </cfRule>
  </conditionalFormatting>
  <conditionalFormatting sqref="K1:K1048576">
    <cfRule type="colorScale" priority="146">
      <colorScale>
        <cfvo type="min"/>
        <cfvo type="percentile" val="50"/>
        <cfvo type="max"/>
        <color rgb="FFF8696B"/>
        <color rgb="FFFFEB84"/>
        <color rgb="FF63BE7B"/>
      </colorScale>
    </cfRule>
  </conditionalFormatting>
  <conditionalFormatting sqref="EG9">
    <cfRule type="expression" dxfId="0" priority="144">
      <formula>MONTH(DATE(CalendarYear,2,29))&lt;&gt;2</formula>
    </cfRule>
  </conditionalFormatting>
  <conditionalFormatting sqref="DE6:EI6 EJ5:EK5">
    <cfRule type="colorScale" priority="143">
      <colorScale>
        <cfvo type="min"/>
        <cfvo type="percentile" val="50"/>
        <cfvo type="max"/>
        <color rgb="FFF8696B"/>
        <color rgb="FFFFEB84"/>
        <color rgb="FF63BE7B"/>
      </colorScale>
    </cfRule>
  </conditionalFormatting>
  <conditionalFormatting sqref="F648:F1820 F1881:F1048576 G301">
    <cfRule type="colorScale" priority="131">
      <colorScale>
        <cfvo type="min"/>
        <cfvo type="percentile" val="50"/>
        <cfvo type="max"/>
        <color rgb="FFF8696B"/>
        <color rgb="FFFFEB84"/>
        <color rgb="FF63BE7B"/>
      </colorScale>
    </cfRule>
    <cfRule type="colorScale" priority="888">
      <colorScale>
        <cfvo type="min"/>
        <cfvo type="percentile" val="50"/>
        <cfvo type="max"/>
        <color rgb="FFF8696B"/>
        <color rgb="FFFFEB84"/>
        <color rgb="FF63BE7B"/>
      </colorScale>
    </cfRule>
  </conditionalFormatting>
  <conditionalFormatting sqref="EN1:EN176 FS85:FS96 GX97:GX1048576">
    <cfRule type="colorScale" priority="130">
      <colorScale>
        <cfvo type="min"/>
        <cfvo type="percentile" val="50"/>
        <cfvo type="max"/>
        <color rgb="FFF8696B"/>
        <color rgb="FFFFEB84"/>
        <color rgb="FF63BE7B"/>
      </colorScale>
    </cfRule>
  </conditionalFormatting>
  <conditionalFormatting sqref="EO1:EO176 FT85:FT96 GY97:GY1048576">
    <cfRule type="colorScale" priority="129">
      <colorScale>
        <cfvo type="min"/>
        <cfvo type="percentile" val="50"/>
        <cfvo type="max"/>
        <color rgb="FFF8696B"/>
        <color rgb="FFFFEB84"/>
        <color rgb="FF63BE7B"/>
      </colorScale>
    </cfRule>
  </conditionalFormatting>
  <conditionalFormatting sqref="EP1:EP176 FU85:FU96 GZ97:GZ1048576">
    <cfRule type="colorScale" priority="128">
      <colorScale>
        <cfvo type="min"/>
        <cfvo type="percentile" val="50"/>
        <cfvo type="max"/>
        <color rgb="FFF8696B"/>
        <color rgb="FFFFEB84"/>
        <color rgb="FF63BE7B"/>
      </colorScale>
    </cfRule>
  </conditionalFormatting>
  <conditionalFormatting sqref="EQ3:EQ43">
    <cfRule type="colorScale" priority="126">
      <colorScale>
        <cfvo type="min"/>
        <cfvo type="percentile" val="50"/>
        <cfvo type="max"/>
        <color rgb="FFF8696B"/>
        <color rgb="FFFFEB84"/>
        <color rgb="FF63BE7B"/>
      </colorScale>
    </cfRule>
    <cfRule type="colorScale" priority="127">
      <colorScale>
        <cfvo type="min"/>
        <cfvo type="percentile" val="50"/>
        <cfvo type="max"/>
        <color rgb="FFF8696B"/>
        <color rgb="FFFFEB84"/>
        <color rgb="FF63BE7B"/>
      </colorScale>
    </cfRule>
  </conditionalFormatting>
  <conditionalFormatting sqref="F648:F1820 F1881:F1048576">
    <cfRule type="colorScale" priority="118">
      <colorScale>
        <cfvo type="min"/>
        <cfvo type="percentile" val="50"/>
        <cfvo type="max"/>
        <color rgb="FFF8696B"/>
        <color rgb="FFFFEB84"/>
        <color rgb="FF63BE7B"/>
      </colorScale>
    </cfRule>
  </conditionalFormatting>
  <conditionalFormatting sqref="C648:C1820 C1881:C1048576">
    <cfRule type="colorScale" priority="68">
      <colorScale>
        <cfvo type="min"/>
        <cfvo type="percentile" val="50"/>
        <cfvo type="max"/>
        <color rgb="FFF8696B"/>
        <color rgb="FFFFEB84"/>
        <color rgb="FF63BE7B"/>
      </colorScale>
    </cfRule>
    <cfRule type="colorScale" priority="119">
      <colorScale>
        <cfvo type="min"/>
        <cfvo type="percentile" val="50"/>
        <cfvo type="max"/>
        <color rgb="FFF8696B"/>
        <color rgb="FFFFEB84"/>
        <color rgb="FF63BE7B"/>
      </colorScale>
    </cfRule>
    <cfRule type="colorScale" priority="120">
      <colorScale>
        <cfvo type="min"/>
        <cfvo type="max"/>
        <color rgb="FF63BE7B"/>
        <color rgb="FFFFEF9C"/>
      </colorScale>
    </cfRule>
  </conditionalFormatting>
  <conditionalFormatting sqref="BX5 AR5 DD5">
    <cfRule type="colorScale" priority="480">
      <colorScale>
        <cfvo type="min"/>
        <cfvo type="percentile" val="50"/>
        <cfvo type="max"/>
        <color rgb="FFF8696B"/>
        <color rgb="FFFFEB84"/>
        <color rgb="FF63BE7B"/>
      </colorScale>
    </cfRule>
  </conditionalFormatting>
  <conditionalFormatting sqref="DE11:EI11 EJ10:EK10">
    <cfRule type="colorScale" priority="737">
      <colorScale>
        <cfvo type="min"/>
        <cfvo type="percentile" val="50"/>
        <cfvo type="max"/>
        <color rgb="FFF8696B"/>
        <color rgb="FFFFEB84"/>
        <color rgb="FF63BE7B"/>
      </colorScale>
    </cfRule>
  </conditionalFormatting>
  <conditionalFormatting sqref="DE16:EI16 EJ15:EK15">
    <cfRule type="colorScale" priority="740">
      <colorScale>
        <cfvo type="min"/>
        <cfvo type="percentile" val="50"/>
        <cfvo type="max"/>
        <color rgb="FFF8696B"/>
        <color rgb="FFFFEB84"/>
        <color rgb="FF63BE7B"/>
      </colorScale>
    </cfRule>
  </conditionalFormatting>
  <conditionalFormatting sqref="DE21:EI21 EJ20:EK20">
    <cfRule type="colorScale" priority="743">
      <colorScale>
        <cfvo type="min"/>
        <cfvo type="percentile" val="50"/>
        <cfvo type="max"/>
        <color rgb="FFF8696B"/>
        <color rgb="FFFFEB84"/>
        <color rgb="FF63BE7B"/>
      </colorScale>
    </cfRule>
  </conditionalFormatting>
  <conditionalFormatting sqref="DE26:EI26 EJ25:EK25">
    <cfRule type="colorScale" priority="746">
      <colorScale>
        <cfvo type="min"/>
        <cfvo type="percentile" val="50"/>
        <cfvo type="max"/>
        <color rgb="FFF8696B"/>
        <color rgb="FFFFEB84"/>
        <color rgb="FF63BE7B"/>
      </colorScale>
    </cfRule>
  </conditionalFormatting>
  <conditionalFormatting sqref="DE31:EI31 EJ30:EK30">
    <cfRule type="colorScale" priority="749">
      <colorScale>
        <cfvo type="min"/>
        <cfvo type="percentile" val="50"/>
        <cfvo type="max"/>
        <color rgb="FFF8696B"/>
        <color rgb="FFFFEB84"/>
        <color rgb="FF63BE7B"/>
      </colorScale>
    </cfRule>
  </conditionalFormatting>
  <conditionalFormatting sqref="DE36:EI36 EJ35:EK35">
    <cfRule type="colorScale" priority="752">
      <colorScale>
        <cfvo type="min"/>
        <cfvo type="percentile" val="50"/>
        <cfvo type="max"/>
        <color rgb="FFF8696B"/>
        <color rgb="FFFFEB84"/>
        <color rgb="FF63BE7B"/>
      </colorScale>
    </cfRule>
  </conditionalFormatting>
  <conditionalFormatting sqref="DE41:EI41 EJ40:EK40">
    <cfRule type="colorScale" priority="755">
      <colorScale>
        <cfvo type="min"/>
        <cfvo type="percentile" val="50"/>
        <cfvo type="max"/>
        <color rgb="FFF8696B"/>
        <color rgb="FFFFEB84"/>
        <color rgb="FF63BE7B"/>
      </colorScale>
    </cfRule>
  </conditionalFormatting>
  <conditionalFormatting sqref="DE46:EI46 EJ45:EK45">
    <cfRule type="colorScale" priority="758">
      <colorScale>
        <cfvo type="min"/>
        <cfvo type="percentile" val="50"/>
        <cfvo type="max"/>
        <color rgb="FFF8696B"/>
        <color rgb="FFFFEB84"/>
        <color rgb="FF63BE7B"/>
      </colorScale>
    </cfRule>
  </conditionalFormatting>
  <conditionalFormatting sqref="DE51:EI51 EJ50:EK50">
    <cfRule type="colorScale" priority="761">
      <colorScale>
        <cfvo type="min"/>
        <cfvo type="percentile" val="50"/>
        <cfvo type="max"/>
        <color rgb="FFF8696B"/>
        <color rgb="FFFFEB84"/>
        <color rgb="FF63BE7B"/>
      </colorScale>
    </cfRule>
  </conditionalFormatting>
  <conditionalFormatting sqref="DE61:EI61 EJ60:EK60">
    <cfRule type="colorScale" priority="764">
      <colorScale>
        <cfvo type="min"/>
        <cfvo type="percentile" val="50"/>
        <cfvo type="max"/>
        <color rgb="FFF8696B"/>
        <color rgb="FFFFEB84"/>
        <color rgb="FF63BE7B"/>
      </colorScale>
    </cfRule>
  </conditionalFormatting>
  <conditionalFormatting sqref="DE56:EI56 EJ55:EK55">
    <cfRule type="colorScale" priority="767">
      <colorScale>
        <cfvo type="min"/>
        <cfvo type="percentile" val="50"/>
        <cfvo type="max"/>
        <color rgb="FFF8696B"/>
        <color rgb="FFFFEB84"/>
        <color rgb="FF63BE7B"/>
      </colorScale>
    </cfRule>
  </conditionalFormatting>
  <conditionalFormatting sqref="ES77">
    <cfRule type="colorScale" priority="67">
      <colorScale>
        <cfvo type="min"/>
        <cfvo type="percentile" val="50"/>
        <cfvo type="max"/>
        <color rgb="FFF8696B"/>
        <color rgb="FFFFEB84"/>
        <color rgb="FF63BE7B"/>
      </colorScale>
    </cfRule>
  </conditionalFormatting>
  <conditionalFormatting sqref="ES82">
    <cfRule type="colorScale" priority="66">
      <colorScale>
        <cfvo type="min"/>
        <cfvo type="percentile" val="50"/>
        <cfvo type="max"/>
        <color rgb="FFF8696B"/>
        <color rgb="FFFFEB84"/>
        <color rgb="FF63BE7B"/>
      </colorScale>
    </cfRule>
  </conditionalFormatting>
  <conditionalFormatting sqref="ES87">
    <cfRule type="colorScale" priority="65">
      <colorScale>
        <cfvo type="min"/>
        <cfvo type="percentile" val="50"/>
        <cfvo type="max"/>
        <color rgb="FFF8696B"/>
        <color rgb="FFFFEB84"/>
        <color rgb="FF63BE7B"/>
      </colorScale>
    </cfRule>
  </conditionalFormatting>
  <conditionalFormatting sqref="ES92">
    <cfRule type="colorScale" priority="64">
      <colorScale>
        <cfvo type="min"/>
        <cfvo type="percentile" val="50"/>
        <cfvo type="max"/>
        <color rgb="FFF8696B"/>
        <color rgb="FFFFEB84"/>
        <color rgb="FF63BE7B"/>
      </colorScale>
    </cfRule>
  </conditionalFormatting>
  <conditionalFormatting sqref="ES97">
    <cfRule type="colorScale" priority="63">
      <colorScale>
        <cfvo type="min"/>
        <cfvo type="percentile" val="50"/>
        <cfvo type="max"/>
        <color rgb="FFF8696B"/>
        <color rgb="FFFFEB84"/>
        <color rgb="FF63BE7B"/>
      </colorScale>
    </cfRule>
  </conditionalFormatting>
  <conditionalFormatting sqref="ES102">
    <cfRule type="colorScale" priority="62">
      <colorScale>
        <cfvo type="min"/>
        <cfvo type="percentile" val="50"/>
        <cfvo type="max"/>
        <color rgb="FFF8696B"/>
        <color rgb="FFFFEB84"/>
        <color rgb="FF63BE7B"/>
      </colorScale>
    </cfRule>
  </conditionalFormatting>
  <conditionalFormatting sqref="ES107">
    <cfRule type="colorScale" priority="61">
      <colorScale>
        <cfvo type="min"/>
        <cfvo type="percentile" val="50"/>
        <cfvo type="max"/>
        <color rgb="FFF8696B"/>
        <color rgb="FFFFEB84"/>
        <color rgb="FF63BE7B"/>
      </colorScale>
    </cfRule>
  </conditionalFormatting>
  <conditionalFormatting sqref="ES112">
    <cfRule type="colorScale" priority="60">
      <colorScale>
        <cfvo type="min"/>
        <cfvo type="percentile" val="50"/>
        <cfvo type="max"/>
        <color rgb="FFF8696B"/>
        <color rgb="FFFFEB84"/>
        <color rgb="FF63BE7B"/>
      </colorScale>
    </cfRule>
  </conditionalFormatting>
  <conditionalFormatting sqref="ES117">
    <cfRule type="colorScale" priority="59">
      <colorScale>
        <cfvo type="min"/>
        <cfvo type="percentile" val="50"/>
        <cfvo type="max"/>
        <color rgb="FFF8696B"/>
        <color rgb="FFFFEB84"/>
        <color rgb="FF63BE7B"/>
      </colorScale>
    </cfRule>
  </conditionalFormatting>
  <conditionalFormatting sqref="ES122">
    <cfRule type="colorScale" priority="58">
      <colorScale>
        <cfvo type="min"/>
        <cfvo type="percentile" val="50"/>
        <cfvo type="max"/>
        <color rgb="FFF8696B"/>
        <color rgb="FFFFEB84"/>
        <color rgb="FF63BE7B"/>
      </colorScale>
    </cfRule>
  </conditionalFormatting>
  <conditionalFormatting sqref="R212:S212">
    <cfRule type="colorScale" priority="50">
      <colorScale>
        <cfvo type="min"/>
        <cfvo type="percentile" val="50"/>
        <cfvo type="max"/>
        <color rgb="FFF8696B"/>
        <color rgb="FFFFEB84"/>
        <color rgb="FF63BE7B"/>
      </colorScale>
    </cfRule>
  </conditionalFormatting>
  <conditionalFormatting sqref="R217:S217">
    <cfRule type="colorScale" priority="49">
      <colorScale>
        <cfvo type="min"/>
        <cfvo type="percentile" val="50"/>
        <cfvo type="max"/>
        <color rgb="FFF8696B"/>
        <color rgb="FFFFEB84"/>
        <color rgb="FF63BE7B"/>
      </colorScale>
    </cfRule>
  </conditionalFormatting>
  <conditionalFormatting sqref="R222:S222">
    <cfRule type="colorScale" priority="48">
      <colorScale>
        <cfvo type="min"/>
        <cfvo type="percentile" val="50"/>
        <cfvo type="max"/>
        <color rgb="FFF8696B"/>
        <color rgb="FFFFEB84"/>
        <color rgb="FF63BE7B"/>
      </colorScale>
    </cfRule>
  </conditionalFormatting>
  <conditionalFormatting sqref="R227:S227">
    <cfRule type="colorScale" priority="47">
      <colorScale>
        <cfvo type="min"/>
        <cfvo type="percentile" val="50"/>
        <cfvo type="max"/>
        <color rgb="FFF8696B"/>
        <color rgb="FFFFEB84"/>
        <color rgb="FF63BE7B"/>
      </colorScale>
    </cfRule>
  </conditionalFormatting>
  <conditionalFormatting sqref="S232">
    <cfRule type="colorScale" priority="46">
      <colorScale>
        <cfvo type="min"/>
        <cfvo type="percentile" val="50"/>
        <cfvo type="max"/>
        <color rgb="FFF8696B"/>
        <color rgb="FFFFEB84"/>
        <color rgb="FF63BE7B"/>
      </colorScale>
    </cfRule>
  </conditionalFormatting>
  <conditionalFormatting sqref="S237">
    <cfRule type="colorScale" priority="45">
      <colorScale>
        <cfvo type="min"/>
        <cfvo type="percentile" val="50"/>
        <cfvo type="max"/>
        <color rgb="FFF8696B"/>
        <color rgb="FFFFEB84"/>
        <color rgb="FF63BE7B"/>
      </colorScale>
    </cfRule>
  </conditionalFormatting>
  <conditionalFormatting sqref="S242">
    <cfRule type="colorScale" priority="44">
      <colorScale>
        <cfvo type="min"/>
        <cfvo type="percentile" val="50"/>
        <cfvo type="max"/>
        <color rgb="FFF8696B"/>
        <color rgb="FFFFEB84"/>
        <color rgb="FF63BE7B"/>
      </colorScale>
    </cfRule>
  </conditionalFormatting>
  <conditionalFormatting sqref="S247">
    <cfRule type="colorScale" priority="43">
      <colorScale>
        <cfvo type="min"/>
        <cfvo type="percentile" val="50"/>
        <cfvo type="max"/>
        <color rgb="FFF8696B"/>
        <color rgb="FFFFEB84"/>
        <color rgb="FF63BE7B"/>
      </colorScale>
    </cfRule>
  </conditionalFormatting>
  <conditionalFormatting sqref="S252">
    <cfRule type="colorScale" priority="42">
      <colorScale>
        <cfvo type="min"/>
        <cfvo type="percentile" val="50"/>
        <cfvo type="max"/>
        <color rgb="FFF8696B"/>
        <color rgb="FFFFEB84"/>
        <color rgb="FF63BE7B"/>
      </colorScale>
    </cfRule>
  </conditionalFormatting>
  <conditionalFormatting sqref="S257">
    <cfRule type="colorScale" priority="41">
      <colorScale>
        <cfvo type="min"/>
        <cfvo type="percentile" val="50"/>
        <cfvo type="max"/>
        <color rgb="FFF8696B"/>
        <color rgb="FFFFEB84"/>
        <color rgb="FF63BE7B"/>
      </colorScale>
    </cfRule>
  </conditionalFormatting>
  <conditionalFormatting sqref="U210:U782 U137">
    <cfRule type="colorScale" priority="37">
      <colorScale>
        <cfvo type="min"/>
        <cfvo type="percentile" val="50"/>
        <cfvo type="max"/>
        <color rgb="FFF8696B"/>
        <color rgb="FFFFEB84"/>
        <color rgb="FF63BE7B"/>
      </colorScale>
    </cfRule>
    <cfRule type="colorScale" priority="40">
      <colorScale>
        <cfvo type="min"/>
        <cfvo type="percentile" val="50"/>
        <cfvo type="max"/>
        <color rgb="FFF8696B"/>
        <color rgb="FFFFEB84"/>
        <color rgb="FF63BE7B"/>
      </colorScale>
    </cfRule>
  </conditionalFormatting>
  <conditionalFormatting sqref="R210:R728 R137">
    <cfRule type="colorScale" priority="38">
      <colorScale>
        <cfvo type="min"/>
        <cfvo type="percentile" val="50"/>
        <cfvo type="max"/>
        <color rgb="FFF8696B"/>
        <color rgb="FFFFEB84"/>
        <color rgb="FF63BE7B"/>
      </colorScale>
    </cfRule>
    <cfRule type="colorScale" priority="39">
      <colorScale>
        <cfvo type="min"/>
        <cfvo type="max"/>
        <color rgb="FF63BE7B"/>
        <color rgb="FFFFEF9C"/>
      </colorScale>
    </cfRule>
  </conditionalFormatting>
  <conditionalFormatting sqref="U210:U229">
    <cfRule type="colorScale" priority="36">
      <colorScale>
        <cfvo type="min"/>
        <cfvo type="percentile" val="50"/>
        <cfvo type="max"/>
        <color rgb="FFF8696B"/>
        <color rgb="FFFFEB84"/>
        <color rgb="FF63BE7B"/>
      </colorScale>
    </cfRule>
  </conditionalFormatting>
  <conditionalFormatting sqref="U210:U230">
    <cfRule type="colorScale" priority="35">
      <colorScale>
        <cfvo type="min"/>
        <cfvo type="percentile" val="50"/>
        <cfvo type="max"/>
        <color rgb="FFF8696B"/>
        <color rgb="FFFFEB84"/>
        <color rgb="FF63BE7B"/>
      </colorScale>
    </cfRule>
  </conditionalFormatting>
  <conditionalFormatting sqref="U231:U264">
    <cfRule type="colorScale" priority="33">
      <colorScale>
        <cfvo type="min"/>
        <cfvo type="percentile" val="50"/>
        <cfvo type="max"/>
        <color rgb="FFF8696B"/>
        <color rgb="FFFFEB84"/>
        <color rgb="FF63BE7B"/>
      </colorScale>
    </cfRule>
  </conditionalFormatting>
  <conditionalFormatting sqref="U231:U263">
    <cfRule type="colorScale" priority="34">
      <colorScale>
        <cfvo type="min"/>
        <cfvo type="percentile" val="50"/>
        <cfvo type="max"/>
        <color rgb="FFF8696B"/>
        <color rgb="FFFFEB84"/>
        <color rgb="FF63BE7B"/>
      </colorScale>
    </cfRule>
  </conditionalFormatting>
  <conditionalFormatting sqref="U265">
    <cfRule type="colorScale" priority="32">
      <colorScale>
        <cfvo type="min"/>
        <cfvo type="percentile" val="50"/>
        <cfvo type="max"/>
        <color rgb="FFF8696B"/>
        <color rgb="FFFFEB84"/>
        <color rgb="FF63BE7B"/>
      </colorScale>
    </cfRule>
  </conditionalFormatting>
  <conditionalFormatting sqref="U266">
    <cfRule type="colorScale" priority="31">
      <colorScale>
        <cfvo type="min"/>
        <cfvo type="percentile" val="50"/>
        <cfvo type="max"/>
        <color rgb="FFF8696B"/>
        <color rgb="FFFFEB84"/>
        <color rgb="FF63BE7B"/>
      </colorScale>
    </cfRule>
  </conditionalFormatting>
  <conditionalFormatting sqref="U267:U275">
    <cfRule type="colorScale" priority="30">
      <colorScale>
        <cfvo type="min"/>
        <cfvo type="percentile" val="50"/>
        <cfvo type="max"/>
        <color rgb="FFF8696B"/>
        <color rgb="FFFFEB84"/>
        <color rgb="FF63BE7B"/>
      </colorScale>
    </cfRule>
  </conditionalFormatting>
  <conditionalFormatting sqref="U276:U281">
    <cfRule type="colorScale" priority="29">
      <colorScale>
        <cfvo type="min"/>
        <cfvo type="percentile" val="50"/>
        <cfvo type="max"/>
        <color rgb="FFF8696B"/>
        <color rgb="FFFFEB84"/>
        <color rgb="FF63BE7B"/>
      </colorScale>
    </cfRule>
  </conditionalFormatting>
  <conditionalFormatting sqref="U282:U298">
    <cfRule type="colorScale" priority="28">
      <colorScale>
        <cfvo type="min"/>
        <cfvo type="percentile" val="50"/>
        <cfvo type="max"/>
        <color rgb="FFF8696B"/>
        <color rgb="FFFFEB84"/>
        <color rgb="FF63BE7B"/>
      </colorScale>
    </cfRule>
  </conditionalFormatting>
  <conditionalFormatting sqref="U299:U303">
    <cfRule type="colorScale" priority="27">
      <colorScale>
        <cfvo type="min"/>
        <cfvo type="percentile" val="50"/>
        <cfvo type="max"/>
        <color rgb="FFF8696B"/>
        <color rgb="FFFFEB84"/>
        <color rgb="FF63BE7B"/>
      </colorScale>
    </cfRule>
  </conditionalFormatting>
  <conditionalFormatting sqref="U304">
    <cfRule type="colorScale" priority="26">
      <colorScale>
        <cfvo type="min"/>
        <cfvo type="percentile" val="50"/>
        <cfvo type="max"/>
        <color rgb="FFF8696B"/>
        <color rgb="FFFFEB84"/>
        <color rgb="FF63BE7B"/>
      </colorScale>
    </cfRule>
  </conditionalFormatting>
  <conditionalFormatting sqref="U305">
    <cfRule type="colorScale" priority="25">
      <colorScale>
        <cfvo type="min"/>
        <cfvo type="percentile" val="50"/>
        <cfvo type="max"/>
        <color rgb="FFF8696B"/>
        <color rgb="FFFFEB84"/>
        <color rgb="FF63BE7B"/>
      </colorScale>
    </cfRule>
  </conditionalFormatting>
  <conditionalFormatting sqref="U306:U311">
    <cfRule type="colorScale" priority="24">
      <colorScale>
        <cfvo type="min"/>
        <cfvo type="percentile" val="50"/>
        <cfvo type="max"/>
        <color rgb="FFF8696B"/>
        <color rgb="FFFFEB84"/>
        <color rgb="FF63BE7B"/>
      </colorScale>
    </cfRule>
  </conditionalFormatting>
  <conditionalFormatting sqref="U312:U317">
    <cfRule type="colorScale" priority="23">
      <colorScale>
        <cfvo type="min"/>
        <cfvo type="percentile" val="50"/>
        <cfvo type="max"/>
        <color rgb="FFF8696B"/>
        <color rgb="FFFFEB84"/>
        <color rgb="FF63BE7B"/>
      </colorScale>
    </cfRule>
  </conditionalFormatting>
  <conditionalFormatting sqref="U318:U331">
    <cfRule type="colorScale" priority="22">
      <colorScale>
        <cfvo type="min"/>
        <cfvo type="percentile" val="50"/>
        <cfvo type="max"/>
        <color rgb="FFF8696B"/>
        <color rgb="FFFFEB84"/>
        <color rgb="FF63BE7B"/>
      </colorScale>
    </cfRule>
  </conditionalFormatting>
  <conditionalFormatting sqref="U332">
    <cfRule type="colorScale" priority="21">
      <colorScale>
        <cfvo type="min"/>
        <cfvo type="percentile" val="50"/>
        <cfvo type="max"/>
        <color rgb="FFF8696B"/>
        <color rgb="FFFFEB84"/>
        <color rgb="FF63BE7B"/>
      </colorScale>
    </cfRule>
  </conditionalFormatting>
  <conditionalFormatting sqref="U333">
    <cfRule type="colorScale" priority="20">
      <colorScale>
        <cfvo type="min"/>
        <cfvo type="percentile" val="50"/>
        <cfvo type="max"/>
        <color rgb="FFF8696B"/>
        <color rgb="FFFFEB84"/>
        <color rgb="FF63BE7B"/>
      </colorScale>
    </cfRule>
  </conditionalFormatting>
  <conditionalFormatting sqref="U334:U335">
    <cfRule type="colorScale" priority="19">
      <colorScale>
        <cfvo type="min"/>
        <cfvo type="percentile" val="50"/>
        <cfvo type="max"/>
        <color rgb="FFF8696B"/>
        <color rgb="FFFFEB84"/>
        <color rgb="FF63BE7B"/>
      </colorScale>
    </cfRule>
  </conditionalFormatting>
  <conditionalFormatting sqref="U336:U351">
    <cfRule type="colorScale" priority="18">
      <colorScale>
        <cfvo type="min"/>
        <cfvo type="percentile" val="50"/>
        <cfvo type="max"/>
        <color rgb="FFF8696B"/>
        <color rgb="FFFFEB84"/>
        <color rgb="FF63BE7B"/>
      </colorScale>
    </cfRule>
  </conditionalFormatting>
  <conditionalFormatting sqref="U352">
    <cfRule type="colorScale" priority="17">
      <colorScale>
        <cfvo type="min"/>
        <cfvo type="percentile" val="50"/>
        <cfvo type="max"/>
        <color rgb="FFF8696B"/>
        <color rgb="FFFFEB84"/>
        <color rgb="FF63BE7B"/>
      </colorScale>
    </cfRule>
  </conditionalFormatting>
  <conditionalFormatting sqref="U353">
    <cfRule type="colorScale" priority="16">
      <colorScale>
        <cfvo type="min"/>
        <cfvo type="percentile" val="50"/>
        <cfvo type="max"/>
        <color rgb="FFF8696B"/>
        <color rgb="FFFFEB84"/>
        <color rgb="FF63BE7B"/>
      </colorScale>
    </cfRule>
  </conditionalFormatting>
  <conditionalFormatting sqref="U354:U440">
    <cfRule type="colorScale" priority="15">
      <colorScale>
        <cfvo type="min"/>
        <cfvo type="percentile" val="50"/>
        <cfvo type="max"/>
        <color rgb="FFF8696B"/>
        <color rgb="FFFFEB84"/>
        <color rgb="FF63BE7B"/>
      </colorScale>
    </cfRule>
  </conditionalFormatting>
  <conditionalFormatting sqref="U441:U523">
    <cfRule type="colorScale" priority="14">
      <colorScale>
        <cfvo type="min"/>
        <cfvo type="percentile" val="50"/>
        <cfvo type="max"/>
        <color rgb="FFF8696B"/>
        <color rgb="FFFFEB84"/>
        <color rgb="FF63BE7B"/>
      </colorScale>
    </cfRule>
  </conditionalFormatting>
  <conditionalFormatting sqref="U524:U526">
    <cfRule type="colorScale" priority="13">
      <colorScale>
        <cfvo type="min"/>
        <cfvo type="percentile" val="50"/>
        <cfvo type="max"/>
        <color rgb="FFF8696B"/>
        <color rgb="FFFFEB84"/>
        <color rgb="FF63BE7B"/>
      </colorScale>
    </cfRule>
  </conditionalFormatting>
  <conditionalFormatting sqref="U527:U570">
    <cfRule type="colorScale" priority="11">
      <colorScale>
        <cfvo type="min"/>
        <cfvo type="percentile" val="50"/>
        <cfvo type="max"/>
        <color rgb="FFF8696B"/>
        <color rgb="FFFFEB84"/>
        <color rgb="FF63BE7B"/>
      </colorScale>
    </cfRule>
  </conditionalFormatting>
  <conditionalFormatting sqref="U571:U575">
    <cfRule type="colorScale" priority="12">
      <colorScale>
        <cfvo type="min"/>
        <cfvo type="percentile" val="50"/>
        <cfvo type="max"/>
        <color rgb="FFF8696B"/>
        <color rgb="FFFFEB84"/>
        <color rgb="FF63BE7B"/>
      </colorScale>
    </cfRule>
  </conditionalFormatting>
  <conditionalFormatting sqref="U601:U622">
    <cfRule type="colorScale" priority="10">
      <colorScale>
        <cfvo type="min"/>
        <cfvo type="percentile" val="50"/>
        <cfvo type="max"/>
        <color rgb="FFF8696B"/>
        <color rgb="FFFFEB84"/>
        <color rgb="FF63BE7B"/>
      </colorScale>
    </cfRule>
  </conditionalFormatting>
  <conditionalFormatting sqref="U597:U600">
    <cfRule type="colorScale" priority="9">
      <colorScale>
        <cfvo type="min"/>
        <cfvo type="percentile" val="50"/>
        <cfvo type="max"/>
        <color rgb="FFF8696B"/>
        <color rgb="FFFFEB84"/>
        <color rgb="FF63BE7B"/>
      </colorScale>
    </cfRule>
  </conditionalFormatting>
  <conditionalFormatting sqref="U596">
    <cfRule type="colorScale" priority="8">
      <colorScale>
        <cfvo type="min"/>
        <cfvo type="percentile" val="50"/>
        <cfvo type="max"/>
        <color rgb="FFF8696B"/>
        <color rgb="FFFFEB84"/>
        <color rgb="FF63BE7B"/>
      </colorScale>
    </cfRule>
  </conditionalFormatting>
  <conditionalFormatting sqref="U595">
    <cfRule type="colorScale" priority="7">
      <colorScale>
        <cfvo type="min"/>
        <cfvo type="percentile" val="50"/>
        <cfvo type="max"/>
        <color rgb="FFF8696B"/>
        <color rgb="FFFFEB84"/>
        <color rgb="FF63BE7B"/>
      </colorScale>
    </cfRule>
  </conditionalFormatting>
  <conditionalFormatting sqref="U594">
    <cfRule type="colorScale" priority="6">
      <colorScale>
        <cfvo type="min"/>
        <cfvo type="percentile" val="50"/>
        <cfvo type="max"/>
        <color rgb="FFF8696B"/>
        <color rgb="FFFFEB84"/>
        <color rgb="FF63BE7B"/>
      </colorScale>
    </cfRule>
  </conditionalFormatting>
  <conditionalFormatting sqref="U592:U593">
    <cfRule type="colorScale" priority="5">
      <colorScale>
        <cfvo type="min"/>
        <cfvo type="percentile" val="50"/>
        <cfvo type="max"/>
        <color rgb="FFF8696B"/>
        <color rgb="FFFFEB84"/>
        <color rgb="FF63BE7B"/>
      </colorScale>
    </cfRule>
  </conditionalFormatting>
  <conditionalFormatting sqref="U582:U591">
    <cfRule type="colorScale" priority="4">
      <colorScale>
        <cfvo type="min"/>
        <cfvo type="percentile" val="50"/>
        <cfvo type="max"/>
        <color rgb="FFF8696B"/>
        <color rgb="FFFFEB84"/>
        <color rgb="FF63BE7B"/>
      </colorScale>
    </cfRule>
  </conditionalFormatting>
  <conditionalFormatting sqref="U581">
    <cfRule type="colorScale" priority="3">
      <colorScale>
        <cfvo type="min"/>
        <cfvo type="percentile" val="50"/>
        <cfvo type="max"/>
        <color rgb="FFF8696B"/>
        <color rgb="FFFFEB84"/>
        <color rgb="FF63BE7B"/>
      </colorScale>
    </cfRule>
  </conditionalFormatting>
  <conditionalFormatting sqref="U576:U580">
    <cfRule type="colorScale" priority="2">
      <colorScale>
        <cfvo type="min"/>
        <cfvo type="percentile" val="50"/>
        <cfvo type="max"/>
        <color rgb="FFF8696B"/>
        <color rgb="FFFFEB84"/>
        <color rgb="FF63BE7B"/>
      </colorScale>
    </cfRule>
  </conditionalFormatting>
  <conditionalFormatting sqref="R210:R640 R137">
    <cfRule type="colorScale" priority="51">
      <colorScale>
        <cfvo type="min"/>
        <cfvo type="percentile" val="50"/>
        <cfvo type="max"/>
        <color rgb="FFF8696B"/>
        <color rgb="FFFFEB84"/>
        <color rgb="FF63BE7B"/>
      </colorScale>
    </cfRule>
  </conditionalFormatting>
  <conditionalFormatting sqref="R137:R728">
    <cfRule type="colorScale" priority="1">
      <colorScale>
        <cfvo type="min"/>
        <cfvo type="percentile" val="50"/>
        <cfvo type="max"/>
        <color rgb="FFF8696B"/>
        <color rgb="FFFFEB84"/>
        <color rgb="FF63BE7B"/>
      </colorScale>
    </cfRule>
  </conditionalFormatting>
  <conditionalFormatting sqref="U138:U209">
    <cfRule type="colorScale" priority="52">
      <colorScale>
        <cfvo type="min"/>
        <cfvo type="percentile" val="50"/>
        <cfvo type="max"/>
        <color rgb="FFF8696B"/>
        <color rgb="FFFFEB84"/>
        <color rgb="FF63BE7B"/>
      </colorScale>
    </cfRule>
    <cfRule type="colorScale" priority="53">
      <colorScale>
        <cfvo type="min"/>
        <cfvo type="percentile" val="50"/>
        <cfvo type="max"/>
        <color rgb="FFF8696B"/>
        <color rgb="FFFFEB84"/>
        <color rgb="FF63BE7B"/>
      </colorScale>
    </cfRule>
    <cfRule type="colorScale" priority="54">
      <colorScale>
        <cfvo type="min"/>
        <cfvo type="percentile" val="50"/>
        <cfvo type="max"/>
        <color rgb="FFF8696B"/>
        <color rgb="FFFFEB84"/>
        <color rgb="FF63BE7B"/>
      </colorScale>
    </cfRule>
  </conditionalFormatting>
  <conditionalFormatting sqref="R138:R209">
    <cfRule type="colorScale" priority="55">
      <colorScale>
        <cfvo type="min"/>
        <cfvo type="percentile" val="50"/>
        <cfvo type="max"/>
        <color rgb="FFF8696B"/>
        <color rgb="FFFFEB84"/>
        <color rgb="FF63BE7B"/>
      </colorScale>
    </cfRule>
    <cfRule type="colorScale" priority="56">
      <colorScale>
        <cfvo type="min"/>
        <cfvo type="max"/>
        <color rgb="FF63BE7B"/>
        <color rgb="FFFFEF9C"/>
      </colorScale>
    </cfRule>
  </conditionalFormatting>
  <conditionalFormatting sqref="U210:U620 U137 U623:U782">
    <cfRule type="colorScale" priority="57">
      <colorScale>
        <cfvo type="min"/>
        <cfvo type="percentile" val="50"/>
        <cfvo type="max"/>
        <color rgb="FFF8696B"/>
        <color rgb="FFFFEB84"/>
        <color rgb="FF63BE7B"/>
      </colorScale>
    </cfRule>
  </conditionalFormatting>
  <dataValidations count="2">
    <dataValidation showInputMessage="1" showErrorMessage="1" prompt="Weekdays in this row are automatically updated for the month according to the year entered in AH4. Each day of the month is a column to note an employee's absence and absence type" sqref="M4 AS4 BY4 DE4"/>
    <dataValidation showInputMessage="1" showErrorMessage="1" prompt="Weekdays in this row are automatically updated for the month according to the year in AH4. Each day of the month is a column to note an employee's absence and absence type" sqref="M9 M14 M19 M24 M29 M34 M39 M44 M49 M54 M59 AS9 AS14 AS19 AS24 AS29 AS34 AS39 AS44 AS49 AS54 AS59 BY9 BY14 BY19 BY24 BY29 BY34 BY39 BY44 BY49 BY54 BY59 DE9 DE14 DE19 DE24 DE29 DE34 DE39 DE44 DE49 DE54 DE59"/>
  </dataValidations>
  <pageMargins left="0.75" right="0.75" top="1" bottom="1" header="0.5" footer="0.5"/>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561"/>
  <sheetViews>
    <sheetView tabSelected="1" topLeftCell="A239" workbookViewId="0">
      <selection activeCell="J282" sqref="J282"/>
    </sheetView>
  </sheetViews>
  <sheetFormatPr defaultRowHeight="15" x14ac:dyDescent="0.25"/>
  <cols>
    <col min="1" max="2" width="26.5703125" style="25" bestFit="1" customWidth="1"/>
    <col min="3" max="3" width="9.140625" style="12" customWidth="1"/>
    <col min="4" max="4" width="5.85546875" style="26" bestFit="1" customWidth="1"/>
    <col min="5" max="5" width="21.42578125" style="36" bestFit="1" customWidth="1"/>
    <col min="6" max="6" width="7.7109375" style="16" bestFit="1" customWidth="1"/>
    <col min="7" max="7" width="16.7109375" style="16" bestFit="1" customWidth="1"/>
    <col min="8" max="8" width="9.140625" style="12" customWidth="1"/>
  </cols>
  <sheetData>
    <row r="1" spans="1:7" ht="18.75" customHeight="1" x14ac:dyDescent="0.3">
      <c r="A1" s="27" t="s">
        <v>78</v>
      </c>
      <c r="B1" s="27" t="s">
        <v>328</v>
      </c>
      <c r="C1" s="1" t="s">
        <v>79</v>
      </c>
      <c r="D1" s="30" t="s">
        <v>80</v>
      </c>
      <c r="E1" s="34" t="s">
        <v>5</v>
      </c>
      <c r="F1" s="15" t="s">
        <v>6</v>
      </c>
      <c r="G1" s="15" t="s">
        <v>81</v>
      </c>
    </row>
    <row r="2" spans="1:7" x14ac:dyDescent="0.25">
      <c r="A2" s="33" t="s">
        <v>289</v>
      </c>
      <c r="B2" s="33" t="s">
        <v>329</v>
      </c>
      <c r="C2" s="7">
        <v>1</v>
      </c>
      <c r="D2" s="28">
        <v>0.5</v>
      </c>
      <c r="E2" s="35" t="s">
        <v>9</v>
      </c>
      <c r="F2" s="17">
        <f>IF($E:$E="MATOOKE KGS", 1500, IF($E:$E="MINCED BEEF", 22000, IF($E:$E="DOG BONES", 4000, IF($E:$E="DOG MINCE", 5000,IF($E:$E="ZIP LOCKS",30000, IF($E:$E="BONELESS BEEF", 22000, IF($E:$E="SAUSAGES", 30000, IF($E:$E="MARINATED CHICKEN", 25000, IF($E:$E="MARINATED GOAT LEG", 28000, IF($E:$E="TOMATOES", 3000,  IF($E:$E="CHICKEN", 30000, IF($E:$E="LOCAL EGGS", 25000,  IF($E:$E="IRISH", 3000, IF($E:$E="MILK", 2000, IF($E:$E="ONIONS", 6000, IF($E:$E="YELLOW YOLK EGGS", 20000, IF($E:$E="AVOCADO", 1000, IF($E:$E="BEEF", 16000,IF($E:$E="BEEF FILLET", 30000, IF($E:$E="PLAIN YOGHURT", 4000, IF($E:$E="DOG MEAT", 4000, IF($E:$E="BEEF SAUSAGES", 30000,IF($E:$E="GOAT", 19000, "")))))))))))))))))))))))</f>
        <v>16000</v>
      </c>
      <c r="G2" s="16">
        <f t="shared" ref="G2:G65" si="0">(F2*D2)</f>
        <v>8000</v>
      </c>
    </row>
    <row r="3" spans="1:7" x14ac:dyDescent="0.25">
      <c r="A3" s="33" t="s">
        <v>289</v>
      </c>
      <c r="B3" s="33" t="s">
        <v>329</v>
      </c>
      <c r="C3" s="7">
        <v>2</v>
      </c>
      <c r="D3" s="28">
        <v>3.3</v>
      </c>
      <c r="E3" s="35" t="s">
        <v>56</v>
      </c>
      <c r="F3" s="17">
        <f t="shared" ref="F3:F39" si="1">IF($E:$E="MATOOKE KGS", 1500, IF($E:$E="MINCED BEEF", 22000, IF($E:$E="DOG BONES", 4000, IF($E:$E="DOG MINCE", 5000,IF($E:$E="ZIP LOCKS",30000, IF($E:$E="BONELESS BEEF", 22000, IF($E:$E="SAUSAGES", 30000, IF($E:$E="MARINATED CHICKEN", 25000, IF($E:$E="MARINATED GOAT LEG", 28000, IF($E:$E="TOMATOES", 3000,  IF($E:$E="CHICKEN", 30000, IF($E:$E="LOCAL EGGS", 25000,  IF($E:$E="IRISH", 3000, IF($E:$E="MILK", 2000, IF($E:$E="ONIONS", 6000, IF($E:$E="YELLOW YOLK EGGS", 20000, IF($E:$E="AVOCADO", 1000, IF($E:$E="BEEF", 16000,IF($E:$E="BEEF FILLET", 30000, IF($E:$E="PLAIN YOGHURT", 4000, IF($E:$E="DOG MEAT", 4000, IF($E:$E="BEEF SAUSAGES", 30000,IF($E:$E="GOAT", 19000, "")))))))))))))))))))))))</f>
        <v>1500</v>
      </c>
      <c r="G3" s="16">
        <f t="shared" si="0"/>
        <v>4950</v>
      </c>
    </row>
    <row r="4" spans="1:7" x14ac:dyDescent="0.25">
      <c r="A4" s="33" t="s">
        <v>289</v>
      </c>
      <c r="B4" s="33" t="s">
        <v>329</v>
      </c>
      <c r="C4" s="7">
        <v>3</v>
      </c>
      <c r="D4" s="28">
        <v>1</v>
      </c>
      <c r="E4" s="35" t="s">
        <v>59</v>
      </c>
      <c r="F4" s="17">
        <f t="shared" si="1"/>
        <v>2000</v>
      </c>
      <c r="G4" s="16">
        <f t="shared" si="0"/>
        <v>2000</v>
      </c>
    </row>
    <row r="5" spans="1:7" x14ac:dyDescent="0.25">
      <c r="A5" s="33" t="s">
        <v>289</v>
      </c>
      <c r="B5" s="33" t="s">
        <v>329</v>
      </c>
      <c r="C5" s="7">
        <v>4</v>
      </c>
      <c r="D5" s="28">
        <v>1</v>
      </c>
      <c r="E5" s="35" t="s">
        <v>44</v>
      </c>
      <c r="F5" s="17">
        <f t="shared" si="1"/>
        <v>25000</v>
      </c>
      <c r="G5" s="16">
        <f t="shared" si="0"/>
        <v>25000</v>
      </c>
    </row>
    <row r="6" spans="1:7" x14ac:dyDescent="0.25">
      <c r="A6" s="33" t="s">
        <v>289</v>
      </c>
      <c r="B6" s="33" t="s">
        <v>329</v>
      </c>
      <c r="C6" s="7">
        <v>5</v>
      </c>
      <c r="D6" s="28">
        <v>0.5</v>
      </c>
      <c r="E6" s="35" t="s">
        <v>59</v>
      </c>
      <c r="F6" s="17">
        <f t="shared" si="1"/>
        <v>2000</v>
      </c>
      <c r="G6" s="16">
        <f t="shared" si="0"/>
        <v>1000</v>
      </c>
    </row>
    <row r="7" spans="1:7" x14ac:dyDescent="0.25">
      <c r="A7" s="33" t="s">
        <v>289</v>
      </c>
      <c r="B7" s="33" t="s">
        <v>329</v>
      </c>
      <c r="C7" s="7">
        <v>6</v>
      </c>
      <c r="D7" s="28">
        <v>4</v>
      </c>
      <c r="E7" s="35" t="s">
        <v>21</v>
      </c>
      <c r="F7" s="17">
        <f t="shared" si="1"/>
        <v>4000</v>
      </c>
      <c r="G7" s="16">
        <f t="shared" si="0"/>
        <v>16000</v>
      </c>
    </row>
    <row r="8" spans="1:7" x14ac:dyDescent="0.25">
      <c r="A8" s="33" t="s">
        <v>289</v>
      </c>
      <c r="B8" s="33" t="s">
        <v>329</v>
      </c>
      <c r="C8" s="7">
        <v>7</v>
      </c>
      <c r="D8" s="28">
        <v>1</v>
      </c>
      <c r="E8" s="35" t="s">
        <v>36</v>
      </c>
      <c r="F8" s="17">
        <v>5000</v>
      </c>
      <c r="G8" s="16">
        <f t="shared" si="0"/>
        <v>5000</v>
      </c>
    </row>
    <row r="9" spans="1:7" x14ac:dyDescent="0.25">
      <c r="A9" s="33" t="s">
        <v>289</v>
      </c>
      <c r="B9" s="33" t="s">
        <v>329</v>
      </c>
      <c r="C9" s="7">
        <v>8</v>
      </c>
      <c r="D9" s="28">
        <v>1</v>
      </c>
      <c r="E9" s="35" t="s">
        <v>59</v>
      </c>
      <c r="F9" s="17">
        <f t="shared" si="1"/>
        <v>2000</v>
      </c>
      <c r="G9" s="16">
        <f t="shared" si="0"/>
        <v>2000</v>
      </c>
    </row>
    <row r="10" spans="1:7" x14ac:dyDescent="0.25">
      <c r="A10" s="33" t="s">
        <v>289</v>
      </c>
      <c r="B10" s="33" t="s">
        <v>329</v>
      </c>
      <c r="C10" s="7">
        <v>9</v>
      </c>
      <c r="D10" s="28">
        <v>2</v>
      </c>
      <c r="E10" s="35" t="s">
        <v>44</v>
      </c>
      <c r="F10" s="17">
        <f t="shared" si="1"/>
        <v>25000</v>
      </c>
      <c r="G10" s="16">
        <f t="shared" si="0"/>
        <v>50000</v>
      </c>
    </row>
    <row r="11" spans="1:7" x14ac:dyDescent="0.25">
      <c r="A11" s="33" t="s">
        <v>289</v>
      </c>
      <c r="B11" s="33" t="s">
        <v>329</v>
      </c>
      <c r="C11" s="7">
        <v>10</v>
      </c>
      <c r="D11" s="28">
        <v>1</v>
      </c>
      <c r="E11" s="35" t="s">
        <v>8</v>
      </c>
      <c r="F11" s="17">
        <f t="shared" si="1"/>
        <v>1000</v>
      </c>
      <c r="G11" s="16">
        <f t="shared" si="0"/>
        <v>1000</v>
      </c>
    </row>
    <row r="12" spans="1:7" x14ac:dyDescent="0.25">
      <c r="A12" s="33" t="s">
        <v>289</v>
      </c>
      <c r="B12" s="33" t="s">
        <v>329</v>
      </c>
      <c r="C12" s="7">
        <v>11</v>
      </c>
      <c r="D12" s="28">
        <v>1</v>
      </c>
      <c r="E12" s="35" t="s">
        <v>21</v>
      </c>
      <c r="F12" s="17">
        <f t="shared" si="1"/>
        <v>4000</v>
      </c>
      <c r="G12" s="16">
        <f t="shared" si="0"/>
        <v>4000</v>
      </c>
    </row>
    <row r="13" spans="1:7" x14ac:dyDescent="0.25">
      <c r="A13" s="33" t="s">
        <v>289</v>
      </c>
      <c r="B13" s="33" t="s">
        <v>329</v>
      </c>
      <c r="C13" s="7">
        <v>12</v>
      </c>
      <c r="D13" s="28">
        <v>1.3</v>
      </c>
      <c r="E13" s="35" t="s">
        <v>56</v>
      </c>
      <c r="F13" s="17">
        <f t="shared" si="1"/>
        <v>1500</v>
      </c>
      <c r="G13" s="16">
        <f t="shared" si="0"/>
        <v>1950</v>
      </c>
    </row>
    <row r="14" spans="1:7" x14ac:dyDescent="0.25">
      <c r="A14" s="33" t="s">
        <v>289</v>
      </c>
      <c r="B14" s="33" t="s">
        <v>329</v>
      </c>
      <c r="C14" s="7">
        <v>13</v>
      </c>
      <c r="D14" s="28">
        <v>1</v>
      </c>
      <c r="E14" s="35" t="s">
        <v>75</v>
      </c>
      <c r="F14" s="17">
        <f t="shared" si="1"/>
        <v>20000</v>
      </c>
      <c r="G14" s="16">
        <f t="shared" si="0"/>
        <v>20000</v>
      </c>
    </row>
    <row r="15" spans="1:7" x14ac:dyDescent="0.25">
      <c r="A15" s="33" t="s">
        <v>289</v>
      </c>
      <c r="B15" s="33" t="s">
        <v>329</v>
      </c>
      <c r="C15" s="7">
        <v>14</v>
      </c>
      <c r="D15" s="28">
        <v>1</v>
      </c>
      <c r="E15" s="35" t="s">
        <v>75</v>
      </c>
      <c r="F15" s="17">
        <f t="shared" si="1"/>
        <v>20000</v>
      </c>
      <c r="G15" s="16">
        <f t="shared" si="0"/>
        <v>20000</v>
      </c>
    </row>
    <row r="16" spans="1:7" x14ac:dyDescent="0.25">
      <c r="A16" s="33" t="s">
        <v>289</v>
      </c>
      <c r="B16" s="33" t="s">
        <v>329</v>
      </c>
      <c r="C16" s="7">
        <v>15</v>
      </c>
      <c r="D16" s="28">
        <v>1</v>
      </c>
      <c r="E16" s="35" t="s">
        <v>44</v>
      </c>
      <c r="F16" s="17">
        <f t="shared" si="1"/>
        <v>25000</v>
      </c>
      <c r="G16" s="16">
        <f t="shared" si="0"/>
        <v>25000</v>
      </c>
    </row>
    <row r="17" spans="1:7" x14ac:dyDescent="0.25">
      <c r="A17" s="33" t="s">
        <v>289</v>
      </c>
      <c r="B17" s="33" t="s">
        <v>329</v>
      </c>
      <c r="C17" s="7">
        <v>16</v>
      </c>
      <c r="D17" s="28">
        <v>4</v>
      </c>
      <c r="E17" s="35" t="s">
        <v>9</v>
      </c>
      <c r="F17" s="17">
        <f t="shared" si="1"/>
        <v>16000</v>
      </c>
      <c r="G17" s="16">
        <f t="shared" si="0"/>
        <v>64000</v>
      </c>
    </row>
    <row r="18" spans="1:7" x14ac:dyDescent="0.25">
      <c r="A18" s="33" t="s">
        <v>289</v>
      </c>
      <c r="B18" s="33" t="s">
        <v>329</v>
      </c>
      <c r="C18" s="7">
        <v>17</v>
      </c>
      <c r="D18" s="28">
        <v>2</v>
      </c>
      <c r="E18" s="35" t="s">
        <v>59</v>
      </c>
      <c r="F18" s="17">
        <f t="shared" si="1"/>
        <v>2000</v>
      </c>
      <c r="G18" s="16">
        <f t="shared" si="0"/>
        <v>4000</v>
      </c>
    </row>
    <row r="19" spans="1:7" x14ac:dyDescent="0.25">
      <c r="A19" s="33" t="s">
        <v>289</v>
      </c>
      <c r="B19" s="33" t="s">
        <v>329</v>
      </c>
      <c r="C19" s="7">
        <v>18</v>
      </c>
      <c r="D19" s="28">
        <v>1</v>
      </c>
      <c r="E19" s="35" t="s">
        <v>9</v>
      </c>
      <c r="F19" s="17">
        <f t="shared" si="1"/>
        <v>16000</v>
      </c>
      <c r="G19" s="16">
        <f t="shared" si="0"/>
        <v>16000</v>
      </c>
    </row>
    <row r="20" spans="1:7" x14ac:dyDescent="0.25">
      <c r="A20" s="33" t="s">
        <v>289</v>
      </c>
      <c r="B20" s="33" t="s">
        <v>329</v>
      </c>
      <c r="C20" s="7">
        <v>19</v>
      </c>
      <c r="D20" s="28">
        <v>1</v>
      </c>
      <c r="E20" s="35" t="s">
        <v>8</v>
      </c>
      <c r="F20" s="17">
        <f t="shared" si="1"/>
        <v>1000</v>
      </c>
      <c r="G20" s="16">
        <f t="shared" si="0"/>
        <v>1000</v>
      </c>
    </row>
    <row r="21" spans="1:7" x14ac:dyDescent="0.25">
      <c r="A21" s="33" t="s">
        <v>289</v>
      </c>
      <c r="B21" s="33" t="s">
        <v>329</v>
      </c>
      <c r="C21" s="7">
        <v>20</v>
      </c>
      <c r="D21" s="28">
        <v>1</v>
      </c>
      <c r="E21" s="35" t="s">
        <v>9</v>
      </c>
      <c r="F21" s="17">
        <f t="shared" si="1"/>
        <v>16000</v>
      </c>
      <c r="G21" s="16">
        <f t="shared" si="0"/>
        <v>16000</v>
      </c>
    </row>
    <row r="22" spans="1:7" x14ac:dyDescent="0.25">
      <c r="A22" s="33" t="s">
        <v>289</v>
      </c>
      <c r="B22" s="33" t="s">
        <v>329</v>
      </c>
      <c r="C22" s="7">
        <v>21</v>
      </c>
      <c r="D22" s="28">
        <v>1</v>
      </c>
      <c r="E22" s="35" t="s">
        <v>21</v>
      </c>
      <c r="F22" s="17">
        <f t="shared" si="1"/>
        <v>4000</v>
      </c>
      <c r="G22" s="16">
        <f t="shared" si="0"/>
        <v>4000</v>
      </c>
    </row>
    <row r="23" spans="1:7" x14ac:dyDescent="0.25">
      <c r="A23" s="33" t="s">
        <v>289</v>
      </c>
      <c r="B23" s="33" t="s">
        <v>329</v>
      </c>
      <c r="C23" s="7">
        <v>22</v>
      </c>
      <c r="D23" s="28">
        <v>3</v>
      </c>
      <c r="E23" s="35" t="s">
        <v>8</v>
      </c>
      <c r="F23" s="17">
        <f t="shared" si="1"/>
        <v>1000</v>
      </c>
      <c r="G23" s="16">
        <f t="shared" si="0"/>
        <v>3000</v>
      </c>
    </row>
    <row r="24" spans="1:7" x14ac:dyDescent="0.25">
      <c r="A24" s="33" t="s">
        <v>289</v>
      </c>
      <c r="B24" s="33" t="s">
        <v>329</v>
      </c>
      <c r="C24" s="7">
        <v>1</v>
      </c>
      <c r="D24" s="28">
        <v>1</v>
      </c>
      <c r="E24" s="35" t="s">
        <v>75</v>
      </c>
      <c r="F24" s="17">
        <f t="shared" si="1"/>
        <v>20000</v>
      </c>
      <c r="G24" s="16">
        <f t="shared" si="0"/>
        <v>20000</v>
      </c>
    </row>
    <row r="25" spans="1:7" x14ac:dyDescent="0.25">
      <c r="A25" s="33" t="s">
        <v>290</v>
      </c>
      <c r="B25" s="33" t="s">
        <v>330</v>
      </c>
      <c r="C25" s="7">
        <v>2</v>
      </c>
      <c r="D25" s="28">
        <v>1</v>
      </c>
      <c r="E25" s="35" t="s">
        <v>69</v>
      </c>
      <c r="F25" s="17">
        <f t="shared" si="1"/>
        <v>4000</v>
      </c>
      <c r="G25" s="16">
        <f t="shared" si="0"/>
        <v>4000</v>
      </c>
    </row>
    <row r="26" spans="1:7" x14ac:dyDescent="0.25">
      <c r="A26" s="33" t="s">
        <v>290</v>
      </c>
      <c r="B26" s="33" t="s">
        <v>330</v>
      </c>
      <c r="C26" s="7">
        <v>3</v>
      </c>
      <c r="D26" s="28">
        <v>1</v>
      </c>
      <c r="E26" s="35" t="s">
        <v>59</v>
      </c>
      <c r="F26" s="17">
        <f t="shared" si="1"/>
        <v>2000</v>
      </c>
      <c r="G26" s="16">
        <f t="shared" si="0"/>
        <v>2000</v>
      </c>
    </row>
    <row r="27" spans="1:7" x14ac:dyDescent="0.25">
      <c r="A27" s="33" t="s">
        <v>290</v>
      </c>
      <c r="B27" s="33" t="s">
        <v>330</v>
      </c>
      <c r="C27" s="7">
        <v>4</v>
      </c>
      <c r="D27" s="28">
        <v>1</v>
      </c>
      <c r="E27" s="35" t="s">
        <v>69</v>
      </c>
      <c r="F27" s="17">
        <f t="shared" si="1"/>
        <v>4000</v>
      </c>
      <c r="G27" s="16">
        <f t="shared" si="0"/>
        <v>4000</v>
      </c>
    </row>
    <row r="28" spans="1:7" x14ac:dyDescent="0.25">
      <c r="A28" s="33" t="s">
        <v>290</v>
      </c>
      <c r="B28" s="33" t="s">
        <v>330</v>
      </c>
      <c r="C28" s="7">
        <v>5</v>
      </c>
      <c r="D28" s="28">
        <v>1</v>
      </c>
      <c r="E28" s="35" t="s">
        <v>8</v>
      </c>
      <c r="F28" s="17">
        <f t="shared" si="1"/>
        <v>1000</v>
      </c>
      <c r="G28" s="16">
        <f t="shared" si="0"/>
        <v>1000</v>
      </c>
    </row>
    <row r="29" spans="1:7" x14ac:dyDescent="0.25">
      <c r="A29" s="33" t="s">
        <v>290</v>
      </c>
      <c r="B29" s="33" t="s">
        <v>330</v>
      </c>
      <c r="C29" s="7">
        <v>6</v>
      </c>
      <c r="D29" s="28">
        <v>1</v>
      </c>
      <c r="E29" s="35" t="s">
        <v>75</v>
      </c>
      <c r="F29" s="17">
        <f t="shared" si="1"/>
        <v>20000</v>
      </c>
      <c r="G29" s="16">
        <f t="shared" si="0"/>
        <v>20000</v>
      </c>
    </row>
    <row r="30" spans="1:7" x14ac:dyDescent="0.25">
      <c r="A30" s="33" t="s">
        <v>290</v>
      </c>
      <c r="B30" s="33" t="s">
        <v>330</v>
      </c>
      <c r="C30" s="7">
        <v>7</v>
      </c>
      <c r="D30" s="28">
        <v>1</v>
      </c>
      <c r="E30" s="35" t="s">
        <v>20</v>
      </c>
      <c r="F30" s="17">
        <f t="shared" si="1"/>
        <v>30000</v>
      </c>
      <c r="G30" s="16">
        <f t="shared" si="0"/>
        <v>30000</v>
      </c>
    </row>
    <row r="31" spans="1:7" x14ac:dyDescent="0.25">
      <c r="A31" s="33" t="s">
        <v>290</v>
      </c>
      <c r="B31" s="33" t="s">
        <v>330</v>
      </c>
      <c r="C31" s="7">
        <v>8</v>
      </c>
      <c r="D31" s="28">
        <v>1.5</v>
      </c>
      <c r="E31" s="35" t="s">
        <v>9</v>
      </c>
      <c r="F31" s="17">
        <f t="shared" si="1"/>
        <v>16000</v>
      </c>
      <c r="G31" s="16">
        <f t="shared" si="0"/>
        <v>24000</v>
      </c>
    </row>
    <row r="32" spans="1:7" x14ac:dyDescent="0.25">
      <c r="A32" s="33" t="s">
        <v>290</v>
      </c>
      <c r="B32" s="33" t="s">
        <v>330</v>
      </c>
      <c r="C32" s="7">
        <v>13</v>
      </c>
      <c r="D32" s="28">
        <v>6</v>
      </c>
      <c r="E32" s="35" t="s">
        <v>21</v>
      </c>
      <c r="F32" s="17">
        <f t="shared" si="1"/>
        <v>4000</v>
      </c>
      <c r="G32" s="16">
        <f t="shared" si="0"/>
        <v>24000</v>
      </c>
    </row>
    <row r="33" spans="1:7" x14ac:dyDescent="0.25">
      <c r="A33" s="33" t="s">
        <v>290</v>
      </c>
      <c r="B33" s="33" t="s">
        <v>330</v>
      </c>
      <c r="C33" s="7">
        <v>14</v>
      </c>
      <c r="D33" s="28">
        <v>0.5</v>
      </c>
      <c r="E33" s="35" t="s">
        <v>9</v>
      </c>
      <c r="F33" s="17">
        <f t="shared" si="1"/>
        <v>16000</v>
      </c>
      <c r="G33" s="16">
        <f t="shared" si="0"/>
        <v>8000</v>
      </c>
    </row>
    <row r="34" spans="1:7" x14ac:dyDescent="0.25">
      <c r="A34" s="33" t="s">
        <v>290</v>
      </c>
      <c r="B34" s="33" t="s">
        <v>330</v>
      </c>
      <c r="C34" s="7">
        <v>15</v>
      </c>
      <c r="D34" s="28">
        <v>2</v>
      </c>
      <c r="E34" s="35" t="s">
        <v>59</v>
      </c>
      <c r="F34" s="17">
        <f t="shared" si="1"/>
        <v>2000</v>
      </c>
      <c r="G34" s="16">
        <f t="shared" si="0"/>
        <v>4000</v>
      </c>
    </row>
    <row r="35" spans="1:7" x14ac:dyDescent="0.25">
      <c r="A35" s="33" t="s">
        <v>290</v>
      </c>
      <c r="B35" s="33" t="s">
        <v>330</v>
      </c>
      <c r="C35" s="7">
        <v>16</v>
      </c>
      <c r="D35" s="28">
        <v>3</v>
      </c>
      <c r="E35" s="35" t="s">
        <v>8</v>
      </c>
      <c r="F35" s="17">
        <f t="shared" si="1"/>
        <v>1000</v>
      </c>
      <c r="G35" s="16">
        <f t="shared" si="0"/>
        <v>3000</v>
      </c>
    </row>
    <row r="36" spans="1:7" x14ac:dyDescent="0.25">
      <c r="A36" s="33" t="s">
        <v>290</v>
      </c>
      <c r="B36" s="33" t="s">
        <v>330</v>
      </c>
      <c r="C36" s="7">
        <v>17</v>
      </c>
      <c r="D36" s="28">
        <v>1</v>
      </c>
      <c r="E36" s="35" t="s">
        <v>59</v>
      </c>
      <c r="F36" s="17">
        <f t="shared" si="1"/>
        <v>2000</v>
      </c>
      <c r="G36" s="16">
        <f t="shared" si="0"/>
        <v>2000</v>
      </c>
    </row>
    <row r="37" spans="1:7" x14ac:dyDescent="0.25">
      <c r="A37" s="33" t="s">
        <v>290</v>
      </c>
      <c r="B37" s="33" t="s">
        <v>330</v>
      </c>
      <c r="C37" s="7">
        <v>18</v>
      </c>
      <c r="D37" s="28">
        <v>2</v>
      </c>
      <c r="E37" s="35" t="s">
        <v>59</v>
      </c>
      <c r="F37" s="17">
        <f t="shared" si="1"/>
        <v>2000</v>
      </c>
      <c r="G37" s="16">
        <f t="shared" si="0"/>
        <v>4000</v>
      </c>
    </row>
    <row r="38" spans="1:7" x14ac:dyDescent="0.25">
      <c r="A38" s="33" t="s">
        <v>290</v>
      </c>
      <c r="B38" s="33" t="s">
        <v>330</v>
      </c>
      <c r="C38" s="7">
        <v>19</v>
      </c>
      <c r="D38" s="28">
        <v>0.5</v>
      </c>
      <c r="E38" s="35" t="s">
        <v>75</v>
      </c>
      <c r="F38" s="17">
        <f t="shared" si="1"/>
        <v>20000</v>
      </c>
      <c r="G38" s="16">
        <f t="shared" si="0"/>
        <v>10000</v>
      </c>
    </row>
    <row r="39" spans="1:7" x14ac:dyDescent="0.25">
      <c r="A39" s="33" t="s">
        <v>290</v>
      </c>
      <c r="B39" s="33" t="s">
        <v>330</v>
      </c>
      <c r="C39" s="7">
        <v>20</v>
      </c>
      <c r="D39" s="28">
        <v>1.5</v>
      </c>
      <c r="E39" s="35" t="s">
        <v>59</v>
      </c>
      <c r="F39" s="17">
        <f t="shared" si="1"/>
        <v>2000</v>
      </c>
      <c r="G39" s="16">
        <f t="shared" si="0"/>
        <v>3000</v>
      </c>
    </row>
    <row r="40" spans="1:7" x14ac:dyDescent="0.25">
      <c r="A40" s="33" t="s">
        <v>290</v>
      </c>
      <c r="B40" s="33" t="s">
        <v>330</v>
      </c>
      <c r="C40" s="7">
        <v>21</v>
      </c>
      <c r="D40" s="28">
        <v>1</v>
      </c>
      <c r="E40" s="35" t="s">
        <v>21</v>
      </c>
      <c r="F40" s="4">
        <v>4000</v>
      </c>
      <c r="G40" s="16">
        <f t="shared" si="0"/>
        <v>4000</v>
      </c>
    </row>
    <row r="41" spans="1:7" x14ac:dyDescent="0.25">
      <c r="A41" s="33" t="s">
        <v>290</v>
      </c>
      <c r="B41" s="33" t="s">
        <v>330</v>
      </c>
      <c r="C41" s="7">
        <v>22</v>
      </c>
      <c r="D41" s="28">
        <v>2</v>
      </c>
      <c r="E41" s="35" t="s">
        <v>21</v>
      </c>
      <c r="F41" s="4">
        <v>4000</v>
      </c>
      <c r="G41" s="16">
        <f t="shared" si="0"/>
        <v>8000</v>
      </c>
    </row>
    <row r="42" spans="1:7" x14ac:dyDescent="0.25">
      <c r="A42" s="33" t="s">
        <v>290</v>
      </c>
      <c r="B42" s="33" t="s">
        <v>330</v>
      </c>
      <c r="C42" s="7">
        <v>23</v>
      </c>
      <c r="D42" s="28">
        <v>0.5</v>
      </c>
      <c r="E42" s="35" t="s">
        <v>58</v>
      </c>
      <c r="F42" s="4">
        <v>30000</v>
      </c>
      <c r="G42" s="16">
        <f t="shared" si="0"/>
        <v>15000</v>
      </c>
    </row>
    <row r="43" spans="1:7" x14ac:dyDescent="0.25">
      <c r="A43" s="33" t="s">
        <v>290</v>
      </c>
      <c r="B43" s="33" t="s">
        <v>330</v>
      </c>
      <c r="C43" s="7">
        <v>24</v>
      </c>
      <c r="D43" s="28">
        <v>0.5</v>
      </c>
      <c r="E43" s="35" t="s">
        <v>44</v>
      </c>
      <c r="F43" s="19">
        <v>25000</v>
      </c>
      <c r="G43" s="16">
        <f t="shared" si="0"/>
        <v>12500</v>
      </c>
    </row>
    <row r="44" spans="1:7" x14ac:dyDescent="0.25">
      <c r="A44" s="33" t="s">
        <v>290</v>
      </c>
      <c r="B44" s="33" t="s">
        <v>330</v>
      </c>
      <c r="C44" s="7">
        <v>25</v>
      </c>
      <c r="D44" s="28">
        <v>0.5</v>
      </c>
      <c r="E44" s="35" t="s">
        <v>75</v>
      </c>
      <c r="F44" s="10">
        <f>IF($E:$E="MATOOKE KGS", 1500, IF($E:$E="SAUSAGES", 30000, IF($E:$E="MARINATED CHICKEN", 25000, IF($E:$E="MARINATED GOAT LEG", 28000, IF($E:$E="TOMATOES", 3000,  IF($E:$E="CHICKEN", 30000, IF($E:$E="LOCAL EGGS", 25000,  IF($E:$E="IRISH", 3000, IF($E:$E="MILK", 2000, IF($E:$E="ONIONS", 6000, IF($E:$E="YELLOW YOLK EGGS", 20000, IF($E:$E="AVOCADO", 1000, IF($E:$E="BEEF", 16000, IF($E:$E="PLAIN YOGHURT", 4000, IF($E:$E="DOG MEAT", 4000, IF($E:$E="GOAT", 19000, ""))))))))))))))))</f>
        <v>20000</v>
      </c>
      <c r="G44" s="16">
        <f t="shared" si="0"/>
        <v>10000</v>
      </c>
    </row>
    <row r="45" spans="1:7" x14ac:dyDescent="0.25">
      <c r="A45" s="33" t="s">
        <v>290</v>
      </c>
      <c r="B45" s="33" t="s">
        <v>330</v>
      </c>
      <c r="C45" s="7">
        <v>26</v>
      </c>
      <c r="D45" s="28">
        <v>1</v>
      </c>
      <c r="E45" s="35" t="s">
        <v>9</v>
      </c>
      <c r="F45" s="17">
        <f>IF($E:$E="MATOOKE KGS", 1500, IF($E:$E="MINCED BEEF", 22000, IF($E:$E="DOG BONES", 4000, IF($E:$E="DOG MINCE", 5000,IF($E:$E="ZIP LOCKS",30000, IF($E:$E="BONELESS BEEF", 22000, IF($E:$E="SAUSAGES", 30000, IF($E:$E="MARINATED CHICKEN", 25000, IF($E:$E="MARINATED GOAT LEG", 28000, IF($E:$E="TOMATOES", 3000,  IF($E:$E="CHICKEN", 30000, IF($E:$E="LOCAL EGGS", 25000,  IF($E:$E="IRISH", 3000, IF($E:$E="MILK", 2000, IF($E:$E="ONIONS", 6000, IF($E:$E="YELLOW YOLK EGGS", 20000, IF($E:$E="AVOCADO", 1000, IF($E:$E="BEEF", 16000,IF($E:$E="BEEF FILLET", 30000, IF($E:$E="PLAIN YOGHURT", 4000, IF($E:$E="DOG MEAT", 4000, IF($E:$E="BEEF SAUSAGES", 30000,IF($E:$E="GOAT", 19000, "")))))))))))))))))))))))</f>
        <v>16000</v>
      </c>
      <c r="G45" s="16">
        <f t="shared" si="0"/>
        <v>16000</v>
      </c>
    </row>
    <row r="46" spans="1:7" x14ac:dyDescent="0.25">
      <c r="A46" s="33" t="s">
        <v>290</v>
      </c>
      <c r="B46" s="33" t="s">
        <v>330</v>
      </c>
      <c r="C46" s="7">
        <v>27</v>
      </c>
      <c r="D46" s="28">
        <v>3</v>
      </c>
      <c r="E46" s="35" t="s">
        <v>8</v>
      </c>
      <c r="F46" s="4">
        <v>1000</v>
      </c>
      <c r="G46" s="16">
        <f t="shared" si="0"/>
        <v>3000</v>
      </c>
    </row>
    <row r="47" spans="1:7" x14ac:dyDescent="0.25">
      <c r="A47" s="33" t="s">
        <v>290</v>
      </c>
      <c r="B47" s="33" t="s">
        <v>330</v>
      </c>
      <c r="C47" s="7">
        <v>28</v>
      </c>
      <c r="D47" s="28">
        <v>2</v>
      </c>
      <c r="E47" s="35" t="s">
        <v>69</v>
      </c>
      <c r="F47" s="10">
        <v>4000</v>
      </c>
      <c r="G47" s="16">
        <f t="shared" si="0"/>
        <v>8000</v>
      </c>
    </row>
    <row r="48" spans="1:7" x14ac:dyDescent="0.25">
      <c r="A48" s="33" t="s">
        <v>290</v>
      </c>
      <c r="B48" s="33" t="s">
        <v>330</v>
      </c>
      <c r="C48" s="7">
        <v>29</v>
      </c>
      <c r="D48" s="28">
        <v>1</v>
      </c>
      <c r="E48" s="35" t="s">
        <v>32</v>
      </c>
      <c r="F48" s="10">
        <v>22000</v>
      </c>
      <c r="G48" s="16">
        <f t="shared" si="0"/>
        <v>22000</v>
      </c>
    </row>
    <row r="49" spans="1:7" x14ac:dyDescent="0.25">
      <c r="A49" s="33" t="s">
        <v>290</v>
      </c>
      <c r="B49" s="33" t="s">
        <v>330</v>
      </c>
      <c r="C49" s="7">
        <v>1</v>
      </c>
      <c r="D49" s="28">
        <v>4</v>
      </c>
      <c r="E49" s="35" t="s">
        <v>52</v>
      </c>
      <c r="F49" s="10">
        <v>10000</v>
      </c>
      <c r="G49" s="16">
        <f t="shared" si="0"/>
        <v>40000</v>
      </c>
    </row>
    <row r="50" spans="1:7" x14ac:dyDescent="0.25">
      <c r="A50" s="33" t="s">
        <v>291</v>
      </c>
      <c r="B50" s="33" t="s">
        <v>331</v>
      </c>
      <c r="C50" s="7">
        <v>2</v>
      </c>
      <c r="D50" s="28">
        <v>2</v>
      </c>
      <c r="E50" s="35" t="s">
        <v>8</v>
      </c>
      <c r="F50" s="10">
        <v>1000</v>
      </c>
      <c r="G50" s="16">
        <f t="shared" si="0"/>
        <v>2000</v>
      </c>
    </row>
    <row r="51" spans="1:7" x14ac:dyDescent="0.25">
      <c r="A51" s="33" t="s">
        <v>291</v>
      </c>
      <c r="B51" s="33" t="s">
        <v>331</v>
      </c>
      <c r="C51" s="7">
        <v>3</v>
      </c>
      <c r="D51" s="28">
        <v>1</v>
      </c>
      <c r="E51" s="35" t="s">
        <v>52</v>
      </c>
      <c r="F51" s="10">
        <v>10000</v>
      </c>
      <c r="G51" s="16">
        <f t="shared" si="0"/>
        <v>10000</v>
      </c>
    </row>
    <row r="52" spans="1:7" x14ac:dyDescent="0.25">
      <c r="A52" s="33" t="s">
        <v>291</v>
      </c>
      <c r="B52" s="33" t="s">
        <v>331</v>
      </c>
      <c r="C52" s="7">
        <v>4</v>
      </c>
      <c r="D52" s="28">
        <v>2</v>
      </c>
      <c r="E52" s="35" t="s">
        <v>52</v>
      </c>
      <c r="F52" s="10">
        <v>10000</v>
      </c>
      <c r="G52" s="16">
        <f t="shared" si="0"/>
        <v>20000</v>
      </c>
    </row>
    <row r="53" spans="1:7" x14ac:dyDescent="0.25">
      <c r="A53" s="33" t="s">
        <v>291</v>
      </c>
      <c r="B53" s="33" t="s">
        <v>331</v>
      </c>
      <c r="C53" s="7">
        <v>5</v>
      </c>
      <c r="D53" s="28">
        <v>2</v>
      </c>
      <c r="E53" s="35" t="s">
        <v>56</v>
      </c>
      <c r="F53" s="10">
        <v>1500</v>
      </c>
      <c r="G53" s="16">
        <f t="shared" si="0"/>
        <v>3000</v>
      </c>
    </row>
    <row r="54" spans="1:7" x14ac:dyDescent="0.25">
      <c r="A54" s="33" t="s">
        <v>291</v>
      </c>
      <c r="B54" s="33" t="s">
        <v>331</v>
      </c>
      <c r="C54" s="7">
        <v>6</v>
      </c>
      <c r="D54" s="28">
        <v>2</v>
      </c>
      <c r="E54" s="35" t="s">
        <v>52</v>
      </c>
      <c r="F54" s="10">
        <v>10000</v>
      </c>
      <c r="G54" s="16">
        <f t="shared" si="0"/>
        <v>20000</v>
      </c>
    </row>
    <row r="55" spans="1:7" x14ac:dyDescent="0.25">
      <c r="A55" s="33" t="s">
        <v>291</v>
      </c>
      <c r="B55" s="33" t="s">
        <v>331</v>
      </c>
      <c r="C55" s="7">
        <v>7</v>
      </c>
      <c r="D55" s="28">
        <v>1</v>
      </c>
      <c r="E55" s="35" t="s">
        <v>9</v>
      </c>
      <c r="F55" s="17">
        <f>IF($E:$E="MATOOKE KGS", 1500, IF($E:$E="MINCED BEEF", 22000, IF($E:$E="DOG BONES", 4000, IF($E:$E="DOG MINCE", 5000,IF($E:$E="ZIP LOCKS",30000, IF($E:$E="BONELESS BEEF", 22000, IF($E:$E="SAUSAGES", 30000, IF($E:$E="MARINATED CHICKEN", 25000, IF($E:$E="MARINATED GOAT LEG", 28000, IF($E:$E="TOMATOES", 3000,  IF($E:$E="CHICKEN", 30000, IF($E:$E="LOCAL EGGS", 25000,  IF($E:$E="IRISH", 3000, IF($E:$E="MILK", 2000, IF($E:$E="ONIONS", 6000, IF($E:$E="YELLOW YOLK EGGS", 20000, IF($E:$E="AVOCADO", 1000, IF($E:$E="BEEF", 16000,IF($E:$E="BEEF FILLET", 30000, IF($E:$E="PLAIN YOGHURT", 4000, IF($E:$E="DOG MEAT", 4000, IF($E:$E="BEEF SAUSAGES", 30000,IF($E:$E="GOAT", 19000, "")))))))))))))))))))))))</f>
        <v>16000</v>
      </c>
      <c r="G55" s="16">
        <f t="shared" si="0"/>
        <v>16000</v>
      </c>
    </row>
    <row r="56" spans="1:7" x14ac:dyDescent="0.25">
      <c r="A56" s="33" t="s">
        <v>291</v>
      </c>
      <c r="B56" s="33" t="s">
        <v>331</v>
      </c>
      <c r="C56" s="7">
        <v>10</v>
      </c>
      <c r="D56" s="28">
        <v>2</v>
      </c>
      <c r="E56" s="35" t="s">
        <v>56</v>
      </c>
      <c r="F56" s="10">
        <v>1500</v>
      </c>
      <c r="G56" s="16">
        <f t="shared" si="0"/>
        <v>3000</v>
      </c>
    </row>
    <row r="57" spans="1:7" x14ac:dyDescent="0.25">
      <c r="A57" s="33" t="s">
        <v>291</v>
      </c>
      <c r="B57" s="33" t="s">
        <v>331</v>
      </c>
      <c r="C57" s="7">
        <v>11</v>
      </c>
      <c r="D57" s="28">
        <v>0.5</v>
      </c>
      <c r="E57" s="35" t="s">
        <v>59</v>
      </c>
      <c r="F57" s="10">
        <f>IF($E:$E="MATOOKE KGS", 1500, IF($E:$E="MINCED BEEF", 22000, IF($E:$E="DOG BONES", 4000, IF($E:$E="DOG MINCE", 5000,IF($E:$E="ZIP LOCKS",30000, IF($E:$E="BONELESS BEEF", 22000, IF($E:$E="SAUSAGES", 30000, IF($E:$E="MARINATED CHICKEN", 25000, IF($E:$E="MARINATED GOAT LEG", 28000, IF($E:$E="TOMATOES", 3000,  IF($E:$E="CHICKEN", 30000, IF($E:$E="LOCAL EGGS", 25000,  IF($E:$E="IRISH", 3000, IF($E:$E="MILK", 2000, IF($E:$E="ONIONS", 6000, IF($E:$E="YELLOW YOLK EGGS", 20000, IF($E:$E="AVOCADO", 1000, IF($E:$E="BEEF", 16000,IF($E:$E="BEEF FILLET", 30000, IF($E:$E="PLAIN YOGHURT", 4000, IF($E:$E="DOG MEAT", 4000, IF($E:$E="BEEF SAUSAGES", 30000,IF($E:$E="GOAT", 19000, "")))))))))))))))))))))))</f>
        <v>2000</v>
      </c>
      <c r="G57" s="16">
        <f t="shared" si="0"/>
        <v>1000</v>
      </c>
    </row>
    <row r="58" spans="1:7" x14ac:dyDescent="0.25">
      <c r="A58" s="33" t="s">
        <v>291</v>
      </c>
      <c r="B58" s="33" t="s">
        <v>331</v>
      </c>
      <c r="C58" s="7">
        <v>12</v>
      </c>
      <c r="D58" s="28">
        <v>1.5</v>
      </c>
      <c r="E58" s="35" t="s">
        <v>59</v>
      </c>
      <c r="F58" s="10">
        <f>IF($E:$E="MATOOKE KGS", 1500, IF($E:$E="MINCED BEEF", 22000, IF($E:$E="DOG BONES", 4000, IF($E:$E="DOG MINCE", 5000,IF($E:$E="ZIP LOCKS",30000, IF($E:$E="BONELESS BEEF", 22000, IF($E:$E="SAUSAGES", 30000, IF($E:$E="MARINATED CHICKEN", 25000, IF($E:$E="MARINATED GOAT LEG", 28000, IF($E:$E="TOMATOES", 3000,  IF($E:$E="CHICKEN", 30000, IF($E:$E="LOCAL EGGS", 25000,  IF($E:$E="IRISH", 3000, IF($E:$E="MILK", 2000, IF($E:$E="ONIONS", 6000, IF($E:$E="YELLOW YOLK EGGS", 20000, IF($E:$E="AVOCADO", 1000, IF($E:$E="BEEF", 16000,IF($E:$E="BEEF FILLET", 30000, IF($E:$E="PLAIN YOGHURT", 4000, IF($E:$E="DOG MEAT", 4000, IF($E:$E="BEEF SAUSAGES", 30000,IF($E:$E="GOAT", 19000, "")))))))))))))))))))))))</f>
        <v>2000</v>
      </c>
      <c r="G58" s="16">
        <f t="shared" si="0"/>
        <v>3000</v>
      </c>
    </row>
    <row r="59" spans="1:7" x14ac:dyDescent="0.25">
      <c r="A59" s="33" t="s">
        <v>291</v>
      </c>
      <c r="B59" s="33" t="s">
        <v>331</v>
      </c>
      <c r="C59" s="7">
        <v>13</v>
      </c>
      <c r="D59" s="28">
        <v>6</v>
      </c>
      <c r="E59" s="35" t="s">
        <v>56</v>
      </c>
      <c r="F59" s="10">
        <v>1500</v>
      </c>
      <c r="G59" s="16">
        <f t="shared" si="0"/>
        <v>9000</v>
      </c>
    </row>
    <row r="60" spans="1:7" x14ac:dyDescent="0.25">
      <c r="A60" s="33" t="s">
        <v>291</v>
      </c>
      <c r="B60" s="33" t="s">
        <v>331</v>
      </c>
      <c r="C60" s="7">
        <v>14</v>
      </c>
      <c r="D60" s="28">
        <v>4</v>
      </c>
      <c r="E60" s="35" t="s">
        <v>56</v>
      </c>
      <c r="F60" s="10">
        <v>1500</v>
      </c>
      <c r="G60" s="16">
        <f t="shared" si="0"/>
        <v>6000</v>
      </c>
    </row>
    <row r="61" spans="1:7" x14ac:dyDescent="0.25">
      <c r="A61" s="33" t="s">
        <v>291</v>
      </c>
      <c r="B61" s="33" t="s">
        <v>331</v>
      </c>
      <c r="C61" s="7">
        <v>15</v>
      </c>
      <c r="D61" s="28">
        <v>1</v>
      </c>
      <c r="E61" s="35" t="s">
        <v>52</v>
      </c>
      <c r="F61" s="10">
        <v>10000</v>
      </c>
      <c r="G61" s="16">
        <f t="shared" si="0"/>
        <v>10000</v>
      </c>
    </row>
    <row r="62" spans="1:7" x14ac:dyDescent="0.25">
      <c r="A62" s="33" t="s">
        <v>291</v>
      </c>
      <c r="B62" s="33" t="s">
        <v>331</v>
      </c>
      <c r="C62" s="7">
        <v>16</v>
      </c>
      <c r="D62" s="28">
        <v>1</v>
      </c>
      <c r="E62" s="35" t="s">
        <v>52</v>
      </c>
      <c r="F62" s="10">
        <v>15000</v>
      </c>
      <c r="G62" s="16">
        <f t="shared" si="0"/>
        <v>15000</v>
      </c>
    </row>
    <row r="63" spans="1:7" x14ac:dyDescent="0.25">
      <c r="A63" s="33" t="s">
        <v>291</v>
      </c>
      <c r="B63" s="33" t="s">
        <v>331</v>
      </c>
      <c r="C63" s="7">
        <v>17</v>
      </c>
      <c r="D63" s="28">
        <v>2</v>
      </c>
      <c r="E63" s="35" t="s">
        <v>75</v>
      </c>
      <c r="F63" s="10">
        <f>IF($E:$E="MATOOKE KGS", 1500, IF($E:$E="SAUSAGES", 30000, IF($E:$E="MARINATED CHICKEN", 25000, IF($E:$E="MARINATED GOAT LEG", 28000, IF($E:$E="TOMATOES", 3000,  IF($E:$E="CHICKEN", 30000, IF($E:$E="LOCAL EGGS", 25000,  IF($E:$E="IRISH", 3000, IF($E:$E="MILK", 2000, IF($E:$E="ONIONS", 6000, IF($E:$E="YELLOW YOLK EGGS", 20000, IF($E:$E="AVOCADO", 1000, IF($E:$E="BEEF", 16000, IF($E:$E="PLAIN YOGHURT", 4000, IF($E:$E="DOG MEAT", 4000, IF($E:$E="GOAT", 19000, ""))))))))))))))))</f>
        <v>20000</v>
      </c>
      <c r="G63" s="16">
        <f t="shared" si="0"/>
        <v>40000</v>
      </c>
    </row>
    <row r="64" spans="1:7" x14ac:dyDescent="0.25">
      <c r="A64" s="33" t="s">
        <v>291</v>
      </c>
      <c r="B64" s="33" t="s">
        <v>331</v>
      </c>
      <c r="C64" s="7">
        <v>18</v>
      </c>
      <c r="D64" s="28">
        <v>2</v>
      </c>
      <c r="E64" s="35" t="s">
        <v>75</v>
      </c>
      <c r="F64" s="10">
        <f>IF($E:$E="MATOOKE KGS", 1500, IF($E:$E="SAUSAGES", 30000, IF($E:$E="MARINATED CHICKEN", 25000, IF($E:$E="MARINATED GOAT LEG", 28000, IF($E:$E="TOMATOES", 3000,  IF($E:$E="CHICKEN", 30000, IF($E:$E="LOCAL EGGS", 25000,  IF($E:$E="IRISH", 3000, IF($E:$E="MILK", 2000, IF($E:$E="ONIONS", 6000, IF($E:$E="YELLOW YOLK EGGS", 20000, IF($E:$E="AVOCADO", 1000, IF($E:$E="BEEF", 16000, IF($E:$E="PLAIN YOGHURT", 4000, IF($E:$E="DOG MEAT", 4000, IF($E:$E="GOAT", 19000, ""))))))))))))))))</f>
        <v>20000</v>
      </c>
      <c r="G64" s="16">
        <f t="shared" si="0"/>
        <v>40000</v>
      </c>
    </row>
    <row r="65" spans="1:7" x14ac:dyDescent="0.25">
      <c r="A65" s="33" t="s">
        <v>291</v>
      </c>
      <c r="B65" s="33" t="s">
        <v>331</v>
      </c>
      <c r="C65" s="7">
        <v>19</v>
      </c>
      <c r="D65" s="28">
        <v>3</v>
      </c>
      <c r="E65" s="35" t="s">
        <v>56</v>
      </c>
      <c r="F65" s="10">
        <v>1500</v>
      </c>
      <c r="G65" s="16">
        <f t="shared" si="0"/>
        <v>4500</v>
      </c>
    </row>
    <row r="66" spans="1:7" x14ac:dyDescent="0.25">
      <c r="A66" s="33" t="s">
        <v>291</v>
      </c>
      <c r="B66" s="33" t="s">
        <v>331</v>
      </c>
      <c r="C66" s="7">
        <v>20</v>
      </c>
      <c r="D66" s="28">
        <v>2</v>
      </c>
      <c r="E66" s="35" t="s">
        <v>21</v>
      </c>
      <c r="F66" s="10">
        <v>4000</v>
      </c>
      <c r="G66" s="16">
        <f t="shared" ref="G66:G129" si="2">(F66*D66)</f>
        <v>8000</v>
      </c>
    </row>
    <row r="67" spans="1:7" x14ac:dyDescent="0.25">
      <c r="A67" s="33" t="s">
        <v>291</v>
      </c>
      <c r="B67" s="33" t="s">
        <v>331</v>
      </c>
      <c r="C67" s="7">
        <v>22</v>
      </c>
      <c r="D67" s="28">
        <v>2</v>
      </c>
      <c r="E67" s="35" t="s">
        <v>56</v>
      </c>
      <c r="F67" s="10">
        <v>1500</v>
      </c>
      <c r="G67" s="16">
        <f t="shared" si="2"/>
        <v>3000</v>
      </c>
    </row>
    <row r="68" spans="1:7" x14ac:dyDescent="0.25">
      <c r="A68" s="33" t="s">
        <v>291</v>
      </c>
      <c r="B68" s="33" t="s">
        <v>331</v>
      </c>
      <c r="C68" s="7">
        <v>23</v>
      </c>
      <c r="D68" s="28">
        <v>14</v>
      </c>
      <c r="E68" s="35" t="s">
        <v>21</v>
      </c>
      <c r="F68" s="10">
        <v>4000</v>
      </c>
      <c r="G68" s="16">
        <f t="shared" si="2"/>
        <v>56000</v>
      </c>
    </row>
    <row r="69" spans="1:7" x14ac:dyDescent="0.25">
      <c r="A69" s="33" t="s">
        <v>291</v>
      </c>
      <c r="B69" s="33" t="s">
        <v>331</v>
      </c>
      <c r="C69" s="7">
        <v>24</v>
      </c>
      <c r="D69" s="28">
        <v>2.6</v>
      </c>
      <c r="E69" s="35" t="s">
        <v>56</v>
      </c>
      <c r="F69" s="10">
        <v>1500</v>
      </c>
      <c r="G69" s="16">
        <f t="shared" si="2"/>
        <v>3900</v>
      </c>
    </row>
    <row r="70" spans="1:7" x14ac:dyDescent="0.25">
      <c r="A70" s="33" t="s">
        <v>291</v>
      </c>
      <c r="B70" s="33" t="s">
        <v>331</v>
      </c>
      <c r="C70" s="7">
        <v>25</v>
      </c>
      <c r="D70" s="28">
        <v>1</v>
      </c>
      <c r="E70" s="35" t="s">
        <v>8</v>
      </c>
      <c r="F70" s="10">
        <v>1000</v>
      </c>
      <c r="G70" s="16">
        <f t="shared" si="2"/>
        <v>1000</v>
      </c>
    </row>
    <row r="71" spans="1:7" x14ac:dyDescent="0.25">
      <c r="A71" s="33" t="s">
        <v>291</v>
      </c>
      <c r="B71" s="33" t="s">
        <v>331</v>
      </c>
      <c r="C71" s="7">
        <v>26</v>
      </c>
      <c r="D71" s="28">
        <v>1</v>
      </c>
      <c r="E71" s="35" t="s">
        <v>52</v>
      </c>
      <c r="F71" s="10">
        <v>9000</v>
      </c>
      <c r="G71" s="16">
        <f t="shared" si="2"/>
        <v>9000</v>
      </c>
    </row>
    <row r="72" spans="1:7" x14ac:dyDescent="0.25">
      <c r="A72" s="33" t="s">
        <v>291</v>
      </c>
      <c r="B72" s="33" t="s">
        <v>331</v>
      </c>
      <c r="C72" s="7">
        <v>27</v>
      </c>
      <c r="D72" s="28">
        <v>2</v>
      </c>
      <c r="E72" s="35" t="s">
        <v>8</v>
      </c>
      <c r="F72" s="10">
        <v>1000</v>
      </c>
      <c r="G72" s="16">
        <f t="shared" si="2"/>
        <v>2000</v>
      </c>
    </row>
    <row r="73" spans="1:7" x14ac:dyDescent="0.25">
      <c r="A73" s="33" t="s">
        <v>291</v>
      </c>
      <c r="B73" s="33" t="s">
        <v>331</v>
      </c>
      <c r="C73" s="7">
        <v>28</v>
      </c>
      <c r="D73" s="28">
        <v>1</v>
      </c>
      <c r="E73" s="35" t="s">
        <v>9</v>
      </c>
      <c r="F73" s="17">
        <f>IF($E:$E="MATOOKE KGS", 1500, IF($E:$E="MINCED BEEF", 22000, IF($E:$E="DOG BONES", 4000, IF($E:$E="DOG MINCE", 5000,IF($E:$E="ZIP LOCKS",30000, IF($E:$E="BONELESS BEEF", 22000, IF($E:$E="SAUSAGES", 30000, IF($E:$E="MARINATED CHICKEN", 25000, IF($E:$E="MARINATED GOAT LEG", 28000, IF($E:$E="TOMATOES", 3000,  IF($E:$E="CHICKEN", 30000, IF($E:$E="LOCAL EGGS", 25000,  IF($E:$E="IRISH", 3000, IF($E:$E="MILK", 2000, IF($E:$E="ONIONS", 6000, IF($E:$E="YELLOW YOLK EGGS", 20000, IF($E:$E="AVOCADO", 1000, IF($E:$E="BEEF", 16000,IF($E:$E="BEEF FILLET", 30000, IF($E:$E="PLAIN YOGHURT", 4000, IF($E:$E="DOG MEAT", 4000, IF($E:$E="BEEF SAUSAGES", 30000,IF($E:$E="GOAT", 19000, "")))))))))))))))))))))))</f>
        <v>16000</v>
      </c>
      <c r="G73" s="16">
        <f t="shared" si="2"/>
        <v>16000</v>
      </c>
    </row>
    <row r="74" spans="1:7" x14ac:dyDescent="0.25">
      <c r="A74" s="33" t="s">
        <v>291</v>
      </c>
      <c r="B74" s="33" t="s">
        <v>331</v>
      </c>
      <c r="C74" s="7">
        <v>29</v>
      </c>
      <c r="D74" s="28">
        <v>2</v>
      </c>
      <c r="E74" s="35" t="s">
        <v>44</v>
      </c>
      <c r="F74" s="17">
        <v>25000</v>
      </c>
      <c r="G74" s="16">
        <f t="shared" si="2"/>
        <v>50000</v>
      </c>
    </row>
    <row r="75" spans="1:7" x14ac:dyDescent="0.25">
      <c r="A75" s="33" t="s">
        <v>291</v>
      </c>
      <c r="B75" s="33" t="s">
        <v>331</v>
      </c>
      <c r="C75" s="7">
        <v>30</v>
      </c>
      <c r="D75" s="28">
        <v>3</v>
      </c>
      <c r="E75" s="35" t="s">
        <v>56</v>
      </c>
      <c r="F75" s="10">
        <f>IF($E:$E="MATOOKE KGS", 1500, "")</f>
        <v>1500</v>
      </c>
      <c r="G75" s="16">
        <f t="shared" si="2"/>
        <v>4500</v>
      </c>
    </row>
    <row r="76" spans="1:7" x14ac:dyDescent="0.25">
      <c r="A76" s="33" t="s">
        <v>291</v>
      </c>
      <c r="B76" s="33" t="s">
        <v>331</v>
      </c>
      <c r="C76" s="7">
        <v>31</v>
      </c>
      <c r="D76" s="28">
        <v>8</v>
      </c>
      <c r="E76" s="35" t="s">
        <v>8</v>
      </c>
      <c r="F76" s="10">
        <v>1000</v>
      </c>
      <c r="G76" s="16">
        <f t="shared" si="2"/>
        <v>8000</v>
      </c>
    </row>
    <row r="77" spans="1:7" x14ac:dyDescent="0.25">
      <c r="A77" s="33" t="s">
        <v>291</v>
      </c>
      <c r="B77" s="33" t="s">
        <v>331</v>
      </c>
      <c r="C77" s="7">
        <v>32</v>
      </c>
      <c r="D77" s="28">
        <v>1</v>
      </c>
      <c r="E77" s="35" t="s">
        <v>52</v>
      </c>
      <c r="F77" s="10">
        <v>7000</v>
      </c>
      <c r="G77" s="16">
        <f t="shared" si="2"/>
        <v>7000</v>
      </c>
    </row>
    <row r="78" spans="1:7" x14ac:dyDescent="0.25">
      <c r="A78" s="33" t="s">
        <v>291</v>
      </c>
      <c r="B78" s="33" t="s">
        <v>331</v>
      </c>
      <c r="C78" s="7">
        <v>33</v>
      </c>
      <c r="D78" s="28">
        <v>1</v>
      </c>
      <c r="E78" s="35" t="s">
        <v>75</v>
      </c>
      <c r="F78" s="10">
        <f>IF($E:$E="MATOOKE KGS", 1500, IF($E:$E="SAUSAGES", 30000, IF($E:$E="MARINATED CHICKEN", 25000, IF($E:$E="MARINATED GOAT LEG", 28000, IF($E:$E="TOMATOES", 3000,  IF($E:$E="CHICKEN", 30000, IF($E:$E="LOCAL EGGS", 25000,  IF($E:$E="IRISH", 3000, IF($E:$E="MILK", 2000, IF($E:$E="ONIONS", 6000, IF($E:$E="YELLOW YOLK EGGS", 20000, IF($E:$E="AVOCADO", 1000, IF($E:$E="BEEF", 16000, IF($E:$E="PLAIN YOGHURT", 4000, IF($E:$E="DOG MEAT", 4000, IF($E:$E="GOAT", 19000, ""))))))))))))))))</f>
        <v>20000</v>
      </c>
      <c r="G78" s="16">
        <f t="shared" si="2"/>
        <v>20000</v>
      </c>
    </row>
    <row r="79" spans="1:7" x14ac:dyDescent="0.25">
      <c r="A79" s="33" t="s">
        <v>291</v>
      </c>
      <c r="B79" s="33" t="s">
        <v>331</v>
      </c>
      <c r="C79" s="7">
        <v>34</v>
      </c>
      <c r="D79" s="28">
        <v>2</v>
      </c>
      <c r="E79" s="35" t="s">
        <v>56</v>
      </c>
      <c r="F79" s="10">
        <f>IF($E:$E="MATOOKE KGS", 1500, "")</f>
        <v>1500</v>
      </c>
      <c r="G79" s="16">
        <f t="shared" si="2"/>
        <v>3000</v>
      </c>
    </row>
    <row r="80" spans="1:7" x14ac:dyDescent="0.25">
      <c r="A80" s="33" t="s">
        <v>291</v>
      </c>
      <c r="B80" s="33" t="s">
        <v>331</v>
      </c>
      <c r="C80" s="7">
        <v>35</v>
      </c>
      <c r="D80" s="28">
        <v>2</v>
      </c>
      <c r="E80" s="35" t="s">
        <v>56</v>
      </c>
      <c r="F80" s="10">
        <f>IF($E:$E="MATOOKE KGS", 1500, "")</f>
        <v>1500</v>
      </c>
      <c r="G80" s="16">
        <f t="shared" si="2"/>
        <v>3000</v>
      </c>
    </row>
    <row r="81" spans="1:7" x14ac:dyDescent="0.25">
      <c r="A81" s="33" t="s">
        <v>291</v>
      </c>
      <c r="B81" s="33" t="s">
        <v>331</v>
      </c>
      <c r="C81" s="7">
        <v>36</v>
      </c>
      <c r="D81" s="28">
        <v>6.7</v>
      </c>
      <c r="E81" s="35" t="s">
        <v>56</v>
      </c>
      <c r="F81" s="10">
        <f>IF($E:$E="MATOOKE KGS", 1500, "")</f>
        <v>1500</v>
      </c>
      <c r="G81" s="16">
        <f t="shared" si="2"/>
        <v>10050</v>
      </c>
    </row>
    <row r="82" spans="1:7" x14ac:dyDescent="0.25">
      <c r="A82" s="33" t="s">
        <v>291</v>
      </c>
      <c r="B82" s="33" t="s">
        <v>331</v>
      </c>
      <c r="C82" s="7">
        <v>37</v>
      </c>
      <c r="D82" s="28">
        <v>0.5</v>
      </c>
      <c r="E82" s="35" t="s">
        <v>44</v>
      </c>
      <c r="F82" s="17">
        <v>25000</v>
      </c>
      <c r="G82" s="16">
        <f t="shared" si="2"/>
        <v>12500</v>
      </c>
    </row>
    <row r="83" spans="1:7" x14ac:dyDescent="0.25">
      <c r="A83" s="33" t="s">
        <v>291</v>
      </c>
      <c r="B83" s="33" t="s">
        <v>331</v>
      </c>
      <c r="C83" s="7">
        <v>38</v>
      </c>
      <c r="D83" s="28">
        <v>3</v>
      </c>
      <c r="E83" s="35" t="s">
        <v>59</v>
      </c>
      <c r="F83" s="10">
        <f>IF($E:$E="MATOOKE KGS", 1500, IF($E:$E="MINCED BEEF", 22000, IF($E:$E="DOG BONES", 4000, IF($E:$E="DOG MINCE", 5000,IF($E:$E="ZIP LOCKS",30000, IF($E:$E="BONELESS BEEF", 22000, IF($E:$E="SAUSAGES", 30000, IF($E:$E="MARINATED CHICKEN", 25000, IF($E:$E="MARINATED GOAT LEG", 28000, IF($E:$E="TOMATOES", 3000,  IF($E:$E="CHICKEN", 30000, IF($E:$E="LOCAL EGGS", 25000,  IF($E:$E="IRISH", 3000, IF($E:$E="MILK", 2000, IF($E:$E="ONIONS", 6000, IF($E:$E="YELLOW YOLK EGGS", 20000, IF($E:$E="AVOCADO", 1000, IF($E:$E="BEEF", 16000,IF($E:$E="BEEF FILLET", 30000, IF($E:$E="PLAIN YOGHURT", 4000, IF($E:$E="DOG MEAT", 4000, IF($E:$E="BEEF SAUSAGES", 30000,IF($E:$E="GOAT", 19000, "")))))))))))))))))))))))</f>
        <v>2000</v>
      </c>
      <c r="G83" s="16">
        <f t="shared" si="2"/>
        <v>6000</v>
      </c>
    </row>
    <row r="84" spans="1:7" x14ac:dyDescent="0.25">
      <c r="A84" s="33" t="s">
        <v>291</v>
      </c>
      <c r="B84" s="33" t="s">
        <v>331</v>
      </c>
      <c r="C84" s="7">
        <v>39</v>
      </c>
      <c r="D84" s="28">
        <v>1</v>
      </c>
      <c r="E84" s="35" t="s">
        <v>52</v>
      </c>
      <c r="F84" s="10">
        <v>24000</v>
      </c>
      <c r="G84" s="16">
        <f t="shared" si="2"/>
        <v>24000</v>
      </c>
    </row>
    <row r="85" spans="1:7" x14ac:dyDescent="0.25">
      <c r="A85" s="33" t="s">
        <v>291</v>
      </c>
      <c r="B85" s="33" t="s">
        <v>331</v>
      </c>
      <c r="C85" s="7">
        <v>40</v>
      </c>
      <c r="D85" s="28">
        <v>0.5</v>
      </c>
      <c r="E85" s="35" t="s">
        <v>59</v>
      </c>
      <c r="F85" s="10">
        <f>IF($E:$E="MATOOKE KGS", 1500, IF($E:$E="MINCED BEEF", 22000, IF($E:$E="DOG BONES", 4000, IF($E:$E="DOG MINCE", 5000,IF($E:$E="ZIP LOCKS",30000, IF($E:$E="BONELESS BEEF", 22000, IF($E:$E="SAUSAGES", 30000, IF($E:$E="MARINATED CHICKEN", 25000, IF($E:$E="MARINATED GOAT LEG", 28000, IF($E:$E="TOMATOES", 3000,  IF($E:$E="CHICKEN", 30000, IF($E:$E="LOCAL EGGS", 25000,  IF($E:$E="IRISH", 3000, IF($E:$E="MILK", 2000, IF($E:$E="ONIONS", 6000, IF($E:$E="YELLOW YOLK EGGS", 20000, IF($E:$E="AVOCADO", 1000, IF($E:$E="BEEF", 16000,IF($E:$E="BEEF FILLET", 30000, IF($E:$E="PLAIN YOGHURT", 4000, IF($E:$E="DOG MEAT", 4000, IF($E:$E="BEEF SAUSAGES", 30000,IF($E:$E="GOAT", 19000, "")))))))))))))))))))))))</f>
        <v>2000</v>
      </c>
      <c r="G85" s="16">
        <f t="shared" si="2"/>
        <v>1000</v>
      </c>
    </row>
    <row r="86" spans="1:7" x14ac:dyDescent="0.25">
      <c r="A86" s="33" t="s">
        <v>291</v>
      </c>
      <c r="B86" s="33" t="s">
        <v>331</v>
      </c>
      <c r="C86" s="7">
        <v>41</v>
      </c>
      <c r="D86" s="28">
        <v>1</v>
      </c>
      <c r="E86" s="35" t="s">
        <v>52</v>
      </c>
      <c r="F86" s="10">
        <v>15000</v>
      </c>
      <c r="G86" s="16">
        <f t="shared" si="2"/>
        <v>15000</v>
      </c>
    </row>
    <row r="87" spans="1:7" x14ac:dyDescent="0.25">
      <c r="A87" s="33" t="s">
        <v>291</v>
      </c>
      <c r="B87" s="33" t="s">
        <v>331</v>
      </c>
      <c r="C87" s="7">
        <v>42</v>
      </c>
      <c r="D87" s="28">
        <v>1</v>
      </c>
      <c r="E87" s="35" t="s">
        <v>21</v>
      </c>
      <c r="F87" s="10">
        <v>4000</v>
      </c>
      <c r="G87" s="16">
        <f t="shared" si="2"/>
        <v>4000</v>
      </c>
    </row>
    <row r="88" spans="1:7" x14ac:dyDescent="0.25">
      <c r="A88" s="33" t="s">
        <v>291</v>
      </c>
      <c r="B88" s="33" t="s">
        <v>331</v>
      </c>
      <c r="C88" s="7">
        <v>43</v>
      </c>
      <c r="D88" s="28">
        <v>4</v>
      </c>
      <c r="E88" s="35" t="s">
        <v>56</v>
      </c>
      <c r="F88" s="10">
        <f>IF($E:$E="MATOOKE KGS", 1500, "")</f>
        <v>1500</v>
      </c>
      <c r="G88" s="16">
        <f t="shared" si="2"/>
        <v>6000</v>
      </c>
    </row>
    <row r="89" spans="1:7" x14ac:dyDescent="0.25">
      <c r="A89" s="33" t="s">
        <v>291</v>
      </c>
      <c r="B89" s="33" t="s">
        <v>331</v>
      </c>
      <c r="C89" s="7">
        <v>46</v>
      </c>
      <c r="D89" s="28">
        <v>1</v>
      </c>
      <c r="E89" s="35" t="s">
        <v>59</v>
      </c>
      <c r="F89" s="10">
        <f>IF($E:$E="MATOOKE KGS", 1500, IF($E:$E="MINCED BEEF", 22000, IF($E:$E="DOG BONES", 4000, IF($E:$E="DOG MINCE", 5000,IF($E:$E="ZIP LOCKS",30000, IF($E:$E="BONELESS BEEF", 22000, IF($E:$E="SAUSAGES", 30000, IF($E:$E="MARINATED CHICKEN", 25000, IF($E:$E="MARINATED GOAT LEG", 28000, IF($E:$E="TOMATOES", 3000,  IF($E:$E="CHICKEN", 30000, IF($E:$E="LOCAL EGGS", 25000,  IF($E:$E="IRISH", 3000, IF($E:$E="MILK", 2000, IF($E:$E="ONIONS", 6000, IF($E:$E="YELLOW YOLK EGGS", 20000, IF($E:$E="AVOCADO", 1000, IF($E:$E="BEEF", 16000,IF($E:$E="BEEF FILLET", 30000, IF($E:$E="PLAIN YOGHURT", 4000, IF($E:$E="DOG MEAT", 4000, IF($E:$E="BEEF SAUSAGES", 30000,IF($E:$E="GOAT", 19000, "")))))))))))))))))))))))</f>
        <v>2000</v>
      </c>
      <c r="G89" s="16">
        <f t="shared" si="2"/>
        <v>2000</v>
      </c>
    </row>
    <row r="90" spans="1:7" x14ac:dyDescent="0.25">
      <c r="A90" s="33" t="s">
        <v>291</v>
      </c>
      <c r="B90" s="33" t="s">
        <v>331</v>
      </c>
      <c r="C90" s="7">
        <v>47</v>
      </c>
      <c r="D90" s="28">
        <v>3.4</v>
      </c>
      <c r="E90" s="35" t="s">
        <v>56</v>
      </c>
      <c r="F90" s="10">
        <f>IF($E:$E="MATOOKE KGS", 1500, "")</f>
        <v>1500</v>
      </c>
      <c r="G90" s="16">
        <f t="shared" si="2"/>
        <v>5100</v>
      </c>
    </row>
    <row r="91" spans="1:7" x14ac:dyDescent="0.25">
      <c r="A91" s="33" t="s">
        <v>291</v>
      </c>
      <c r="B91" s="33" t="s">
        <v>331</v>
      </c>
      <c r="C91" s="7">
        <v>48</v>
      </c>
      <c r="D91" s="28">
        <v>1</v>
      </c>
      <c r="E91" s="35" t="s">
        <v>70</v>
      </c>
      <c r="F91" s="10">
        <v>30000</v>
      </c>
      <c r="G91" s="16">
        <f t="shared" si="2"/>
        <v>30000</v>
      </c>
    </row>
    <row r="92" spans="1:7" x14ac:dyDescent="0.25">
      <c r="A92" s="33" t="s">
        <v>291</v>
      </c>
      <c r="B92" s="33" t="s">
        <v>331</v>
      </c>
      <c r="C92" s="7">
        <v>49</v>
      </c>
      <c r="D92" s="28">
        <v>1</v>
      </c>
      <c r="E92" s="35" t="s">
        <v>29</v>
      </c>
      <c r="F92" s="10">
        <v>20000</v>
      </c>
      <c r="G92" s="16">
        <f t="shared" si="2"/>
        <v>20000</v>
      </c>
    </row>
    <row r="93" spans="1:7" x14ac:dyDescent="0.25">
      <c r="A93" s="33" t="s">
        <v>291</v>
      </c>
      <c r="B93" s="33" t="s">
        <v>331</v>
      </c>
      <c r="C93" s="7">
        <v>50</v>
      </c>
      <c r="D93" s="28">
        <v>1</v>
      </c>
      <c r="E93" s="35" t="s">
        <v>14</v>
      </c>
      <c r="F93" s="10">
        <v>22000</v>
      </c>
      <c r="G93" s="16">
        <f t="shared" si="2"/>
        <v>22000</v>
      </c>
    </row>
    <row r="94" spans="1:7" x14ac:dyDescent="0.25">
      <c r="A94" s="33" t="s">
        <v>291</v>
      </c>
      <c r="B94" s="33" t="s">
        <v>331</v>
      </c>
      <c r="C94" s="7">
        <v>51</v>
      </c>
      <c r="D94" s="28">
        <v>1</v>
      </c>
      <c r="E94" s="35" t="s">
        <v>9</v>
      </c>
      <c r="F94" s="17">
        <f>IF($E:$E="MATOOKE KGS", 1500, IF($E:$E="MINCED BEEF", 22000, IF($E:$E="DOG BONES", 4000, IF($E:$E="DOG MINCE", 5000,IF($E:$E="ZIP LOCKS",30000, IF($E:$E="BONELESS BEEF", 22000, IF($E:$E="SAUSAGES", 30000, IF($E:$E="MARINATED CHICKEN", 25000, IF($E:$E="MARINATED GOAT LEG", 28000, IF($E:$E="TOMATOES", 3000,  IF($E:$E="CHICKEN", 30000, IF($E:$E="LOCAL EGGS", 25000,  IF($E:$E="IRISH", 3000, IF($E:$E="MILK", 2000, IF($E:$E="ONIONS", 6000, IF($E:$E="YELLOW YOLK EGGS", 20000, IF($E:$E="AVOCADO", 1000, IF($E:$E="BEEF", 16000,IF($E:$E="BEEF FILLET", 30000, IF($E:$E="PLAIN YOGHURT", 4000, IF($E:$E="DOG MEAT", 4000, IF($E:$E="BEEF SAUSAGES", 30000,IF($E:$E="GOAT", 19000, "")))))))))))))))))))))))</f>
        <v>16000</v>
      </c>
      <c r="G94" s="16">
        <f t="shared" si="2"/>
        <v>16000</v>
      </c>
    </row>
    <row r="95" spans="1:7" x14ac:dyDescent="0.25">
      <c r="A95" s="33" t="s">
        <v>291</v>
      </c>
      <c r="B95" s="33" t="s">
        <v>331</v>
      </c>
      <c r="C95" s="7">
        <v>52</v>
      </c>
      <c r="D95" s="28">
        <v>0.5</v>
      </c>
      <c r="E95" s="35" t="s">
        <v>75</v>
      </c>
      <c r="F95" s="10">
        <f>IF($E:$E="MATOOKE KGS", 1500, IF($E:$E="SAUSAGES", 30000, IF($E:$E="MARINATED CHICKEN", 25000, IF($E:$E="MARINATED GOAT LEG", 28000, IF($E:$E="TOMATOES", 3000,  IF($E:$E="CHICKEN", 30000, IF($E:$E="LOCAL EGGS", 25000,  IF($E:$E="IRISH", 3000, IF($E:$E="MILK", 2000, IF($E:$E="ONIONS", 6000, IF($E:$E="YELLOW YOLK EGGS", 20000, IF($E:$E="AVOCADO", 1000, IF($E:$E="BEEF", 16000, IF($E:$E="PLAIN YOGHURT", 4000, IF($E:$E="DOG MEAT", 4000, IF($E:$E="GOAT", 19000, ""))))))))))))))))</f>
        <v>20000</v>
      </c>
      <c r="G95" s="16">
        <f t="shared" si="2"/>
        <v>10000</v>
      </c>
    </row>
    <row r="96" spans="1:7" x14ac:dyDescent="0.25">
      <c r="A96" s="33" t="s">
        <v>291</v>
      </c>
      <c r="B96" s="33" t="s">
        <v>331</v>
      </c>
      <c r="C96" s="7">
        <v>54</v>
      </c>
      <c r="D96" s="28">
        <v>4</v>
      </c>
      <c r="E96" s="35" t="s">
        <v>52</v>
      </c>
      <c r="F96" s="10">
        <v>7000</v>
      </c>
      <c r="G96" s="16">
        <f t="shared" si="2"/>
        <v>28000</v>
      </c>
    </row>
    <row r="97" spans="1:7" x14ac:dyDescent="0.25">
      <c r="A97" s="33" t="s">
        <v>291</v>
      </c>
      <c r="B97" s="33" t="s">
        <v>331</v>
      </c>
      <c r="C97" s="7">
        <v>55</v>
      </c>
      <c r="D97" s="28">
        <v>1</v>
      </c>
      <c r="E97" s="35" t="s">
        <v>52</v>
      </c>
      <c r="F97" s="10">
        <v>12000</v>
      </c>
      <c r="G97" s="16">
        <f t="shared" si="2"/>
        <v>12000</v>
      </c>
    </row>
    <row r="98" spans="1:7" x14ac:dyDescent="0.25">
      <c r="A98" s="33" t="s">
        <v>291</v>
      </c>
      <c r="B98" s="33" t="s">
        <v>331</v>
      </c>
      <c r="C98" s="7">
        <v>56</v>
      </c>
      <c r="D98" s="28">
        <v>2</v>
      </c>
      <c r="E98" s="35" t="s">
        <v>52</v>
      </c>
      <c r="F98" s="10">
        <v>15000</v>
      </c>
      <c r="G98" s="16">
        <f t="shared" si="2"/>
        <v>30000</v>
      </c>
    </row>
    <row r="99" spans="1:7" x14ac:dyDescent="0.25">
      <c r="A99" s="33" t="s">
        <v>291</v>
      </c>
      <c r="B99" s="33" t="s">
        <v>331</v>
      </c>
      <c r="C99" s="7">
        <v>57</v>
      </c>
      <c r="D99" s="28">
        <v>2</v>
      </c>
      <c r="E99" s="35" t="s">
        <v>52</v>
      </c>
      <c r="F99" s="10">
        <v>15000</v>
      </c>
      <c r="G99" s="16">
        <f t="shared" si="2"/>
        <v>30000</v>
      </c>
    </row>
    <row r="100" spans="1:7" x14ac:dyDescent="0.25">
      <c r="A100" s="33" t="s">
        <v>291</v>
      </c>
      <c r="B100" s="33" t="s">
        <v>331</v>
      </c>
      <c r="C100" s="7">
        <v>1</v>
      </c>
      <c r="D100" s="28">
        <v>2</v>
      </c>
      <c r="E100" s="35" t="s">
        <v>52</v>
      </c>
      <c r="F100" s="10">
        <v>10000</v>
      </c>
      <c r="G100" s="16">
        <f t="shared" si="2"/>
        <v>20000</v>
      </c>
    </row>
    <row r="101" spans="1:7" x14ac:dyDescent="0.25">
      <c r="A101" s="33" t="s">
        <v>292</v>
      </c>
      <c r="B101" s="45" t="s">
        <v>332</v>
      </c>
      <c r="C101" s="7">
        <v>2</v>
      </c>
      <c r="D101" s="28">
        <v>3.3</v>
      </c>
      <c r="E101" s="35" t="s">
        <v>56</v>
      </c>
      <c r="F101" s="10">
        <f>IF($E:$E="MATOOKE KGS", 1500, IF($E:$E="SAUSAGES", 30000, ""))</f>
        <v>1500</v>
      </c>
      <c r="G101" s="16">
        <f t="shared" si="2"/>
        <v>4950</v>
      </c>
    </row>
    <row r="102" spans="1:7" x14ac:dyDescent="0.25">
      <c r="A102" s="33" t="s">
        <v>292</v>
      </c>
      <c r="B102" s="45" t="s">
        <v>332</v>
      </c>
      <c r="C102" s="7">
        <v>3</v>
      </c>
      <c r="D102" s="28">
        <v>3</v>
      </c>
      <c r="E102" s="35" t="s">
        <v>56</v>
      </c>
      <c r="F102" s="10">
        <f>IF($E:$E="MATOOKE KGS", 1500, IF($E:$E="SAUSAGES", 30000, ""))</f>
        <v>1500</v>
      </c>
      <c r="G102" s="16">
        <f t="shared" si="2"/>
        <v>4500</v>
      </c>
    </row>
    <row r="103" spans="1:7" x14ac:dyDescent="0.25">
      <c r="A103" s="33" t="s">
        <v>292</v>
      </c>
      <c r="B103" s="45" t="s">
        <v>332</v>
      </c>
      <c r="C103" s="7">
        <v>4</v>
      </c>
      <c r="D103" s="28">
        <v>1</v>
      </c>
      <c r="E103" s="35" t="s">
        <v>59</v>
      </c>
      <c r="F103" s="10">
        <f>IF($E:$E="MATOOKE KGS", 1500, IF($E:$E="MINCED BEEF", 22000, IF($E:$E="DOG BONES", 4000, IF($E:$E="DOG MINCE", 5000,IF($E:$E="ZIP LOCKS",30000, IF($E:$E="BONELESS BEEF", 22000, IF($E:$E="SAUSAGES", 30000, IF($E:$E="MARINATED CHICKEN", 25000, IF($E:$E="MARINATED GOAT LEG", 28000, IF($E:$E="TOMATOES", 3000,  IF($E:$E="CHICKEN", 30000, IF($E:$E="LOCAL EGGS", 25000,  IF($E:$E="IRISH", 3000, IF($E:$E="MILK", 2000, IF($E:$E="ONIONS", 6000, IF($E:$E="YELLOW YOLK EGGS", 20000, IF($E:$E="AVOCADO", 1000, IF($E:$E="BEEF", 16000,IF($E:$E="BEEF FILLET", 30000, IF($E:$E="PLAIN YOGHURT", 4000, IF($E:$E="DOG MEAT", 4000, IF($E:$E="BEEF SAUSAGES", 30000,IF($E:$E="GOAT", 19000, "")))))))))))))))))))))))</f>
        <v>2000</v>
      </c>
      <c r="G103" s="16">
        <f t="shared" si="2"/>
        <v>2000</v>
      </c>
    </row>
    <row r="104" spans="1:7" x14ac:dyDescent="0.25">
      <c r="A104" s="33" t="s">
        <v>292</v>
      </c>
      <c r="B104" s="45" t="s">
        <v>332</v>
      </c>
      <c r="C104" s="7">
        <v>5</v>
      </c>
      <c r="D104" s="28">
        <v>1</v>
      </c>
      <c r="E104" s="35" t="s">
        <v>56</v>
      </c>
      <c r="F104" s="10">
        <f>IF($E:$E="MATOOKE KGS", 1500, IF($E:$E="SAUSAGES", 30000, IF($E:$E="MILK", 2000, "")))</f>
        <v>1500</v>
      </c>
      <c r="G104" s="16">
        <f t="shared" si="2"/>
        <v>1500</v>
      </c>
    </row>
    <row r="105" spans="1:7" x14ac:dyDescent="0.25">
      <c r="A105" s="33" t="s">
        <v>292</v>
      </c>
      <c r="B105" s="45" t="s">
        <v>332</v>
      </c>
      <c r="C105" s="7">
        <v>6</v>
      </c>
      <c r="D105" s="28">
        <v>1</v>
      </c>
      <c r="E105" s="35" t="s">
        <v>59</v>
      </c>
      <c r="F105" s="10">
        <f>IF($E:$E="MATOOKE KGS", 1500, IF($E:$E="MINCED BEEF", 22000, IF($E:$E="DOG BONES", 4000, IF($E:$E="DOG MINCE", 5000,IF($E:$E="ZIP LOCKS",30000, IF($E:$E="BONELESS BEEF", 22000, IF($E:$E="SAUSAGES", 30000, IF($E:$E="MARINATED CHICKEN", 25000, IF($E:$E="MARINATED GOAT LEG", 28000, IF($E:$E="TOMATOES", 3000,  IF($E:$E="CHICKEN", 30000, IF($E:$E="LOCAL EGGS", 25000,  IF($E:$E="IRISH", 3000, IF($E:$E="MILK", 2000, IF($E:$E="ONIONS", 6000, IF($E:$E="YELLOW YOLK EGGS", 20000, IF($E:$E="AVOCADO", 1000, IF($E:$E="BEEF", 16000,IF($E:$E="BEEF FILLET", 30000, IF($E:$E="PLAIN YOGHURT", 4000, IF($E:$E="DOG MEAT", 4000, IF($E:$E="BEEF SAUSAGES", 30000,IF($E:$E="GOAT", 19000, "")))))))))))))))))))))))</f>
        <v>2000</v>
      </c>
      <c r="G105" s="16">
        <f t="shared" si="2"/>
        <v>2000</v>
      </c>
    </row>
    <row r="106" spans="1:7" x14ac:dyDescent="0.25">
      <c r="A106" s="33" t="s">
        <v>292</v>
      </c>
      <c r="B106" s="45" t="s">
        <v>332</v>
      </c>
      <c r="C106" s="7">
        <v>7</v>
      </c>
      <c r="D106" s="28">
        <v>1.3</v>
      </c>
      <c r="E106" s="35" t="s">
        <v>56</v>
      </c>
      <c r="F106" s="10">
        <f>IF($E:$E="MATOOKE KGS", 1500, IF($E:$E="SAUSAGES", 30000, IF($E:$E="MILK", 2000, "")))</f>
        <v>1500</v>
      </c>
      <c r="G106" s="16">
        <f t="shared" si="2"/>
        <v>1950</v>
      </c>
    </row>
    <row r="107" spans="1:7" x14ac:dyDescent="0.25">
      <c r="A107" s="33" t="s">
        <v>292</v>
      </c>
      <c r="B107" s="45" t="s">
        <v>332</v>
      </c>
      <c r="C107" s="7">
        <v>8</v>
      </c>
      <c r="D107" s="28">
        <v>2</v>
      </c>
      <c r="E107" s="35" t="s">
        <v>56</v>
      </c>
      <c r="F107" s="10">
        <f>IF($E:$E="MATOOKE KGS", 1500, IF($E:$E="SAUSAGES", 30000, IF($E:$E="MILK", 2000, "")))</f>
        <v>1500</v>
      </c>
      <c r="G107" s="16">
        <f t="shared" si="2"/>
        <v>3000</v>
      </c>
    </row>
    <row r="108" spans="1:7" x14ac:dyDescent="0.25">
      <c r="A108" s="33" t="s">
        <v>292</v>
      </c>
      <c r="B108" s="45" t="s">
        <v>332</v>
      </c>
      <c r="C108" s="7">
        <v>9</v>
      </c>
      <c r="D108" s="28">
        <v>1</v>
      </c>
      <c r="E108" s="35" t="s">
        <v>52</v>
      </c>
      <c r="F108" s="10">
        <v>10000</v>
      </c>
      <c r="G108" s="16">
        <f t="shared" si="2"/>
        <v>10000</v>
      </c>
    </row>
    <row r="109" spans="1:7" x14ac:dyDescent="0.25">
      <c r="A109" s="33" t="s">
        <v>292</v>
      </c>
      <c r="B109" s="45" t="s">
        <v>332</v>
      </c>
      <c r="C109" s="7">
        <v>10</v>
      </c>
      <c r="D109" s="28">
        <v>4</v>
      </c>
      <c r="E109" s="35" t="s">
        <v>56</v>
      </c>
      <c r="F109" s="10">
        <f>IF($E:$E="MATOOKE KGS", 1500, IF($E:$E="SAUSAGES", 30000, IF($E:$E="MILK", 2000, "")))</f>
        <v>1500</v>
      </c>
      <c r="G109" s="16">
        <f t="shared" si="2"/>
        <v>6000</v>
      </c>
    </row>
    <row r="110" spans="1:7" x14ac:dyDescent="0.25">
      <c r="A110" s="33" t="s">
        <v>292</v>
      </c>
      <c r="B110" s="45" t="s">
        <v>332</v>
      </c>
      <c r="C110" s="7">
        <v>11</v>
      </c>
      <c r="D110" s="28">
        <v>6.7</v>
      </c>
      <c r="E110" s="35" t="s">
        <v>56</v>
      </c>
      <c r="F110" s="10">
        <f>IF($E:$E="MATOOKE KGS", 1500, IF($E:$E="SAUSAGES", 30000, IF($E:$E="MILK", 2000, "")))</f>
        <v>1500</v>
      </c>
      <c r="G110" s="16">
        <f t="shared" si="2"/>
        <v>10050</v>
      </c>
    </row>
    <row r="111" spans="1:7" x14ac:dyDescent="0.25">
      <c r="A111" s="33" t="s">
        <v>292</v>
      </c>
      <c r="B111" s="45" t="s">
        <v>332</v>
      </c>
      <c r="C111" s="7">
        <v>12</v>
      </c>
      <c r="D111" s="28">
        <v>1</v>
      </c>
      <c r="E111" s="35" t="s">
        <v>75</v>
      </c>
      <c r="F111" s="10">
        <f>IF($E:$E="MATOOKE KGS", 1500, IF($E:$E="SAUSAGES", 30000, IF($E:$E="MARINATED CHICKEN", 25000, IF($E:$E="MARINATED GOAT LEG", 28000, IF($E:$E="TOMATOES", 3000,  IF($E:$E="CHICKEN", 30000, IF($E:$E="LOCAL EGGS", 25000,  IF($E:$E="IRISH", 3000, IF($E:$E="MILK", 2000, IF($E:$E="ONIONS", 6000, IF($E:$E="YELLOW YOLK EGGS", 20000, IF($E:$E="AVOCADO", 1000, IF($E:$E="BEEF", 16000, IF($E:$E="PLAIN YOGHURT", 4000, IF($E:$E="DOG MEAT", 4000, IF($E:$E="GOAT", 19000, ""))))))))))))))))</f>
        <v>20000</v>
      </c>
      <c r="G111" s="16">
        <f t="shared" si="2"/>
        <v>20000</v>
      </c>
    </row>
    <row r="112" spans="1:7" x14ac:dyDescent="0.25">
      <c r="A112" s="33" t="s">
        <v>292</v>
      </c>
      <c r="B112" s="45" t="s">
        <v>332</v>
      </c>
      <c r="C112" s="7">
        <v>13</v>
      </c>
      <c r="D112" s="28">
        <v>1</v>
      </c>
      <c r="E112" s="35" t="s">
        <v>52</v>
      </c>
      <c r="F112" s="10">
        <v>15000</v>
      </c>
      <c r="G112" s="16">
        <f t="shared" si="2"/>
        <v>15000</v>
      </c>
    </row>
    <row r="113" spans="1:7" x14ac:dyDescent="0.25">
      <c r="A113" s="33" t="s">
        <v>292</v>
      </c>
      <c r="B113" s="45" t="s">
        <v>332</v>
      </c>
      <c r="C113" s="7">
        <v>14</v>
      </c>
      <c r="D113" s="28">
        <v>1</v>
      </c>
      <c r="E113" s="35" t="s">
        <v>52</v>
      </c>
      <c r="F113" s="10">
        <v>10000</v>
      </c>
      <c r="G113" s="16">
        <f t="shared" si="2"/>
        <v>10000</v>
      </c>
    </row>
    <row r="114" spans="1:7" x14ac:dyDescent="0.25">
      <c r="A114" s="33" t="s">
        <v>292</v>
      </c>
      <c r="B114" s="45" t="s">
        <v>332</v>
      </c>
      <c r="C114" s="7">
        <v>15</v>
      </c>
      <c r="D114" s="28">
        <v>2</v>
      </c>
      <c r="E114" s="35" t="s">
        <v>52</v>
      </c>
      <c r="F114" s="10">
        <v>11000</v>
      </c>
      <c r="G114" s="16">
        <f t="shared" si="2"/>
        <v>22000</v>
      </c>
    </row>
    <row r="115" spans="1:7" x14ac:dyDescent="0.25">
      <c r="A115" s="33" t="s">
        <v>292</v>
      </c>
      <c r="B115" s="45" t="s">
        <v>332</v>
      </c>
      <c r="C115" s="7">
        <v>16</v>
      </c>
      <c r="D115" s="28">
        <v>1</v>
      </c>
      <c r="E115" s="35" t="s">
        <v>8</v>
      </c>
      <c r="F115" s="10">
        <f>IF($E:$E="MATOOKE KGS", 1500, IF($E:$E="SAUSAGES", 30000, IF($E:$E="MILK", 2000, IF($E:$E="YELLOW YOLK EGGS", 20000, IF($E:$E="AVOCADO", 1000, "")))))</f>
        <v>1000</v>
      </c>
      <c r="G115" s="16">
        <f t="shared" si="2"/>
        <v>1000</v>
      </c>
    </row>
    <row r="116" spans="1:7" x14ac:dyDescent="0.25">
      <c r="A116" s="33" t="s">
        <v>292</v>
      </c>
      <c r="B116" s="45" t="s">
        <v>332</v>
      </c>
      <c r="C116" s="7">
        <v>17</v>
      </c>
      <c r="D116" s="28">
        <v>2</v>
      </c>
      <c r="E116" s="35" t="s">
        <v>52</v>
      </c>
      <c r="F116" s="10">
        <v>9000</v>
      </c>
      <c r="G116" s="16">
        <f t="shared" si="2"/>
        <v>18000</v>
      </c>
    </row>
    <row r="117" spans="1:7" x14ac:dyDescent="0.25">
      <c r="A117" s="33" t="s">
        <v>292</v>
      </c>
      <c r="B117" s="45" t="s">
        <v>332</v>
      </c>
      <c r="C117" s="7">
        <v>18</v>
      </c>
      <c r="D117" s="28">
        <v>2</v>
      </c>
      <c r="E117" s="35" t="s">
        <v>52</v>
      </c>
      <c r="F117" s="10">
        <v>12000</v>
      </c>
      <c r="G117" s="16">
        <f t="shared" si="2"/>
        <v>24000</v>
      </c>
    </row>
    <row r="118" spans="1:7" x14ac:dyDescent="0.25">
      <c r="A118" s="33" t="s">
        <v>292</v>
      </c>
      <c r="B118" s="45" t="s">
        <v>332</v>
      </c>
      <c r="C118" s="7">
        <v>19</v>
      </c>
      <c r="D118" s="28">
        <v>1</v>
      </c>
      <c r="E118" s="35" t="s">
        <v>52</v>
      </c>
      <c r="F118" s="10">
        <v>10000</v>
      </c>
      <c r="G118" s="16">
        <f t="shared" si="2"/>
        <v>10000</v>
      </c>
    </row>
    <row r="119" spans="1:7" x14ac:dyDescent="0.25">
      <c r="A119" s="33" t="s">
        <v>292</v>
      </c>
      <c r="B119" s="45" t="s">
        <v>332</v>
      </c>
      <c r="C119" s="7">
        <v>20</v>
      </c>
      <c r="D119" s="28">
        <v>1</v>
      </c>
      <c r="E119" s="35" t="s">
        <v>75</v>
      </c>
      <c r="F119" s="10">
        <f>IF($E:$E="MATOOKE KGS", 1500, IF($E:$E="SAUSAGES", 30000, IF($E:$E="MARINATED CHICKEN", 25000, IF($E:$E="MARINATED GOAT LEG", 28000, IF($E:$E="TOMATOES", 3000,  IF($E:$E="CHICKEN", 30000, IF($E:$E="LOCAL EGGS", 25000,  IF($E:$E="IRISH", 3000, IF($E:$E="MILK", 2000, IF($E:$E="ONIONS", 6000, IF($E:$E="YELLOW YOLK EGGS", 20000, IF($E:$E="AVOCADO", 1000, IF($E:$E="BEEF", 16000, IF($E:$E="PLAIN YOGHURT", 4000, IF($E:$E="DOG MEAT", 4000, IF($E:$E="GOAT", 19000, ""))))))))))))))))</f>
        <v>20000</v>
      </c>
      <c r="G119" s="16">
        <f t="shared" si="2"/>
        <v>20000</v>
      </c>
    </row>
    <row r="120" spans="1:7" x14ac:dyDescent="0.25">
      <c r="A120" s="33" t="s">
        <v>292</v>
      </c>
      <c r="B120" s="45" t="s">
        <v>332</v>
      </c>
      <c r="C120" s="7">
        <v>22</v>
      </c>
      <c r="D120" s="28">
        <v>1</v>
      </c>
      <c r="E120" s="35" t="s">
        <v>69</v>
      </c>
      <c r="F120" s="10">
        <f>IF($E:$E="MATOOKE KGS", 1500, IF($E:$E="SAUSAGES", 30000, IF($E:$E="MILK", 2000, IF($E:$E="YELLOW YOLK EGGS", 20000, IF($E:$E="AVOCADO", 1000, IF($E:$E="BEEF", 16000, IF($E:$E="PLAIN YOGHURT", 4000, "")))))))</f>
        <v>4000</v>
      </c>
      <c r="G120" s="16">
        <f t="shared" si="2"/>
        <v>4000</v>
      </c>
    </row>
    <row r="121" spans="1:7" x14ac:dyDescent="0.25">
      <c r="A121" s="33" t="s">
        <v>292</v>
      </c>
      <c r="B121" s="45" t="s">
        <v>332</v>
      </c>
      <c r="C121" s="7">
        <v>23</v>
      </c>
      <c r="D121" s="28">
        <v>1</v>
      </c>
      <c r="E121" s="35" t="s">
        <v>8</v>
      </c>
      <c r="F121" s="10">
        <f>IF($E:$E="MATOOKE KGS", 1500, IF($E:$E="SAUSAGES", 30000, IF($E:$E="MILK", 2000, IF($E:$E="YELLOW YOLK EGGS", 20000, IF($E:$E="AVOCADO", 1000, IF($E:$E="BEEF", 16000, IF($E:$E="PLAIN YOGHURT", 4000, "")))))))</f>
        <v>1000</v>
      </c>
      <c r="G121" s="16">
        <f t="shared" si="2"/>
        <v>1000</v>
      </c>
    </row>
    <row r="122" spans="1:7" x14ac:dyDescent="0.25">
      <c r="A122" s="33" t="s">
        <v>292</v>
      </c>
      <c r="B122" s="45" t="s">
        <v>332</v>
      </c>
      <c r="C122" s="7">
        <v>24</v>
      </c>
      <c r="D122" s="28">
        <v>2.2999999999999998</v>
      </c>
      <c r="E122" s="35" t="s">
        <v>56</v>
      </c>
      <c r="F122" s="10">
        <f>IF($E:$E="MATOOKE KGS", 1500, IF($E:$E="SAUSAGES", 30000, IF($E:$E="MILK", 2000, IF($E:$E="YELLOW YOLK EGGS", 20000, IF($E:$E="AVOCADO", 1000, IF($E:$E="BEEF", 16000, IF($E:$E="PLAIN YOGHURT", 4000, "")))))))</f>
        <v>1500</v>
      </c>
      <c r="G122" s="16">
        <f t="shared" si="2"/>
        <v>3449.9999999999995</v>
      </c>
    </row>
    <row r="123" spans="1:7" x14ac:dyDescent="0.25">
      <c r="A123" s="33" t="s">
        <v>292</v>
      </c>
      <c r="B123" s="45" t="s">
        <v>332</v>
      </c>
      <c r="C123" s="7">
        <v>25</v>
      </c>
      <c r="D123" s="28">
        <v>1</v>
      </c>
      <c r="E123" s="35" t="s">
        <v>8</v>
      </c>
      <c r="F123" s="10">
        <f>IF($E:$E="MATOOKE KGS", 1500, IF($E:$E="SAUSAGES", 30000, IF($E:$E="MILK", 2000, IF($E:$E="YELLOW YOLK EGGS", 20000, IF($E:$E="AVOCADO", 1000, IF($E:$E="BEEF", 16000, IF($E:$E="PLAIN YOGHURT", 4000, "")))))))</f>
        <v>1000</v>
      </c>
      <c r="G123" s="16">
        <f t="shared" si="2"/>
        <v>1000</v>
      </c>
    </row>
    <row r="124" spans="1:7" x14ac:dyDescent="0.25">
      <c r="A124" s="33" t="s">
        <v>292</v>
      </c>
      <c r="B124" s="45" t="s">
        <v>332</v>
      </c>
      <c r="C124" s="7">
        <v>26</v>
      </c>
      <c r="D124" s="28">
        <v>4</v>
      </c>
      <c r="E124" s="35" t="s">
        <v>59</v>
      </c>
      <c r="F124" s="10">
        <f>IF($E:$E="MATOOKE KGS", 1500, IF($E:$E="MINCED BEEF", 22000, IF($E:$E="DOG BONES", 4000, IF($E:$E="DOG MINCE", 5000,IF($E:$E="ZIP LOCKS",30000, IF($E:$E="BONELESS BEEF", 22000, IF($E:$E="SAUSAGES", 30000, IF($E:$E="MARINATED CHICKEN", 25000, IF($E:$E="MARINATED GOAT LEG", 28000, IF($E:$E="TOMATOES", 3000,  IF($E:$E="CHICKEN", 30000, IF($E:$E="LOCAL EGGS", 25000,  IF($E:$E="IRISH", 3000, IF($E:$E="MILK", 2000, IF($E:$E="ONIONS", 6000, IF($E:$E="YELLOW YOLK EGGS", 20000, IF($E:$E="AVOCADO", 1000, IF($E:$E="BEEF", 16000,IF($E:$E="BEEF FILLET", 30000, IF($E:$E="PLAIN YOGHURT", 4000, IF($E:$E="DOG MEAT", 4000, IF($E:$E="BEEF SAUSAGES", 30000,IF($E:$E="GOAT", 19000, "")))))))))))))))))))))))</f>
        <v>2000</v>
      </c>
      <c r="G124" s="16">
        <f t="shared" si="2"/>
        <v>8000</v>
      </c>
    </row>
    <row r="125" spans="1:7" x14ac:dyDescent="0.25">
      <c r="A125" s="33" t="s">
        <v>292</v>
      </c>
      <c r="B125" s="45" t="s">
        <v>332</v>
      </c>
      <c r="C125" s="7">
        <v>27</v>
      </c>
      <c r="D125" s="28">
        <v>1</v>
      </c>
      <c r="E125" s="35" t="s">
        <v>52</v>
      </c>
      <c r="F125" s="10">
        <v>15000</v>
      </c>
      <c r="G125" s="16">
        <f t="shared" si="2"/>
        <v>15000</v>
      </c>
    </row>
    <row r="126" spans="1:7" x14ac:dyDescent="0.25">
      <c r="A126" s="33" t="s">
        <v>292</v>
      </c>
      <c r="B126" s="45" t="s">
        <v>332</v>
      </c>
      <c r="C126" s="7">
        <v>28</v>
      </c>
      <c r="D126" s="28">
        <v>0.5</v>
      </c>
      <c r="E126" s="35" t="s">
        <v>69</v>
      </c>
      <c r="F126" s="10">
        <f>IF($E:$E="MATOOKE KGS", 1500, IF($E:$E="SAUSAGES", 30000, IF($E:$E="MILK", 2000, IF($E:$E="YELLOW YOLK EGGS", 20000, IF($E:$E="AVOCADO", 1000, IF($E:$E="BEEF", 16000, IF($E:$E="PLAIN YOGHURT", 4000, "")))))))</f>
        <v>4000</v>
      </c>
      <c r="G126" s="16">
        <f t="shared" si="2"/>
        <v>2000</v>
      </c>
    </row>
    <row r="127" spans="1:7" x14ac:dyDescent="0.25">
      <c r="A127" s="33" t="s">
        <v>292</v>
      </c>
      <c r="B127" s="45" t="s">
        <v>332</v>
      </c>
      <c r="C127" s="7">
        <v>29</v>
      </c>
      <c r="D127" s="28">
        <v>2</v>
      </c>
      <c r="E127" s="35" t="s">
        <v>36</v>
      </c>
      <c r="F127" s="10">
        <v>5000</v>
      </c>
      <c r="G127" s="16">
        <f t="shared" si="2"/>
        <v>10000</v>
      </c>
    </row>
    <row r="128" spans="1:7" x14ac:dyDescent="0.25">
      <c r="A128" s="33" t="s">
        <v>292</v>
      </c>
      <c r="B128" s="45" t="s">
        <v>332</v>
      </c>
      <c r="C128" s="7">
        <v>30</v>
      </c>
      <c r="D128" s="28">
        <v>8</v>
      </c>
      <c r="E128" s="35" t="s">
        <v>25</v>
      </c>
      <c r="F128" s="10">
        <v>5000</v>
      </c>
      <c r="G128" s="16">
        <f t="shared" si="2"/>
        <v>40000</v>
      </c>
    </row>
    <row r="129" spans="1:7" x14ac:dyDescent="0.25">
      <c r="A129" s="33" t="s">
        <v>292</v>
      </c>
      <c r="B129" s="45" t="s">
        <v>332</v>
      </c>
      <c r="C129" s="7">
        <v>31</v>
      </c>
      <c r="D129" s="28">
        <v>12</v>
      </c>
      <c r="E129" s="35" t="s">
        <v>21</v>
      </c>
      <c r="F129" s="10">
        <v>4000</v>
      </c>
      <c r="G129" s="16">
        <f t="shared" si="2"/>
        <v>48000</v>
      </c>
    </row>
    <row r="130" spans="1:7" x14ac:dyDescent="0.25">
      <c r="A130" s="33" t="s">
        <v>292</v>
      </c>
      <c r="B130" s="45" t="s">
        <v>332</v>
      </c>
      <c r="C130" s="7">
        <v>32</v>
      </c>
      <c r="D130" s="28">
        <v>1</v>
      </c>
      <c r="E130" s="35" t="s">
        <v>20</v>
      </c>
      <c r="F130" s="10">
        <v>30000</v>
      </c>
      <c r="G130" s="16">
        <f t="shared" ref="G130:G193" si="3">(F130*D130)</f>
        <v>30000</v>
      </c>
    </row>
    <row r="131" spans="1:7" x14ac:dyDescent="0.25">
      <c r="A131" s="33" t="s">
        <v>292</v>
      </c>
      <c r="B131" s="45" t="s">
        <v>332</v>
      </c>
      <c r="C131" s="7">
        <v>33</v>
      </c>
      <c r="D131" s="28">
        <v>2</v>
      </c>
      <c r="E131" s="35" t="s">
        <v>56</v>
      </c>
      <c r="F131" s="10">
        <f>IF($E:$E="MATOOKE KGS", 1500, IF($E:$E="SAUSAGES", 30000, IF($E:$E="MILK", 2000, IF($E:$E="YELLOW YOLK EGGS", 20000, IF($E:$E="AVOCADO", 1000, IF($E:$E="BEEF", 16000, IF($E:$E="PLAIN YOGHURT", 4000, "")))))))</f>
        <v>1500</v>
      </c>
      <c r="G131" s="16">
        <f t="shared" si="3"/>
        <v>3000</v>
      </c>
    </row>
    <row r="132" spans="1:7" x14ac:dyDescent="0.25">
      <c r="A132" s="33" t="s">
        <v>292</v>
      </c>
      <c r="B132" s="45" t="s">
        <v>332</v>
      </c>
      <c r="C132" s="7">
        <v>34</v>
      </c>
      <c r="D132" s="28">
        <v>1</v>
      </c>
      <c r="E132" s="35" t="s">
        <v>52</v>
      </c>
      <c r="F132" s="10">
        <v>20000</v>
      </c>
      <c r="G132" s="16">
        <f t="shared" si="3"/>
        <v>20000</v>
      </c>
    </row>
    <row r="133" spans="1:7" x14ac:dyDescent="0.25">
      <c r="A133" s="33" t="s">
        <v>292</v>
      </c>
      <c r="B133" s="45" t="s">
        <v>332</v>
      </c>
      <c r="C133" s="7">
        <v>35</v>
      </c>
      <c r="D133" s="28">
        <v>2</v>
      </c>
      <c r="E133" s="35" t="s">
        <v>9</v>
      </c>
      <c r="F133" s="17">
        <f>IF($E:$E="MATOOKE KGS", 1500, IF($E:$E="MINCED BEEF", 22000, IF($E:$E="DOG BONES", 4000, IF($E:$E="DOG MINCE", 5000,IF($E:$E="ZIP LOCKS",30000, IF($E:$E="BONELESS BEEF", 22000, IF($E:$E="SAUSAGES", 30000, IF($E:$E="MARINATED CHICKEN", 25000, IF($E:$E="MARINATED GOAT LEG", 28000, IF($E:$E="TOMATOES", 3000,  IF($E:$E="CHICKEN", 30000, IF($E:$E="LOCAL EGGS", 25000,  IF($E:$E="IRISH", 3000, IF($E:$E="MILK", 2000, IF($E:$E="ONIONS", 6000, IF($E:$E="YELLOW YOLK EGGS", 20000, IF($E:$E="AVOCADO", 1000, IF($E:$E="BEEF", 16000,IF($E:$E="BEEF FILLET", 30000, IF($E:$E="PLAIN YOGHURT", 4000, IF($E:$E="DOG MEAT", 4000, IF($E:$E="BEEF SAUSAGES", 30000,IF($E:$E="GOAT", 19000, "")))))))))))))))))))))))</f>
        <v>16000</v>
      </c>
      <c r="G133" s="16">
        <f t="shared" si="3"/>
        <v>32000</v>
      </c>
    </row>
    <row r="134" spans="1:7" x14ac:dyDescent="0.25">
      <c r="A134" s="33" t="s">
        <v>292</v>
      </c>
      <c r="B134" s="45" t="s">
        <v>332</v>
      </c>
      <c r="C134" s="7">
        <v>36</v>
      </c>
      <c r="D134" s="28">
        <v>1.5</v>
      </c>
      <c r="E134" s="35" t="s">
        <v>9</v>
      </c>
      <c r="F134" s="17">
        <f>IF($E:$E="MATOOKE KGS", 1500, IF($E:$E="MINCED BEEF", 22000, IF($E:$E="DOG BONES", 4000, IF($E:$E="DOG MINCE", 5000,IF($E:$E="ZIP LOCKS",30000, IF($E:$E="BONELESS BEEF", 22000, IF($E:$E="SAUSAGES", 30000, IF($E:$E="MARINATED CHICKEN", 25000, IF($E:$E="MARINATED GOAT LEG", 28000, IF($E:$E="TOMATOES", 3000,  IF($E:$E="CHICKEN", 30000, IF($E:$E="LOCAL EGGS", 25000,  IF($E:$E="IRISH", 3000, IF($E:$E="MILK", 2000, IF($E:$E="ONIONS", 6000, IF($E:$E="YELLOW YOLK EGGS", 20000, IF($E:$E="AVOCADO", 1000, IF($E:$E="BEEF", 16000,IF($E:$E="BEEF FILLET", 30000, IF($E:$E="PLAIN YOGHURT", 4000, IF($E:$E="DOG MEAT", 4000, IF($E:$E="BEEF SAUSAGES", 30000,IF($E:$E="GOAT", 19000, "")))))))))))))))))))))))</f>
        <v>16000</v>
      </c>
      <c r="G134" s="16">
        <f t="shared" si="3"/>
        <v>24000</v>
      </c>
    </row>
    <row r="135" spans="1:7" x14ac:dyDescent="0.25">
      <c r="A135" s="33" t="s">
        <v>292</v>
      </c>
      <c r="B135" s="45" t="s">
        <v>332</v>
      </c>
      <c r="C135" s="7">
        <v>37</v>
      </c>
      <c r="D135" s="28">
        <v>1</v>
      </c>
      <c r="E135" s="35" t="s">
        <v>21</v>
      </c>
      <c r="F135" s="10">
        <v>4000</v>
      </c>
      <c r="G135" s="16">
        <f t="shared" si="3"/>
        <v>4000</v>
      </c>
    </row>
    <row r="136" spans="1:7" x14ac:dyDescent="0.25">
      <c r="A136" s="33" t="s">
        <v>292</v>
      </c>
      <c r="B136" s="45" t="s">
        <v>332</v>
      </c>
      <c r="C136" s="7">
        <v>38</v>
      </c>
      <c r="D136" s="28">
        <v>1</v>
      </c>
      <c r="E136" s="35" t="s">
        <v>52</v>
      </c>
      <c r="F136" s="10">
        <v>20000</v>
      </c>
      <c r="G136" s="16">
        <f t="shared" si="3"/>
        <v>20000</v>
      </c>
    </row>
    <row r="137" spans="1:7" x14ac:dyDescent="0.25">
      <c r="A137" s="33" t="s">
        <v>292</v>
      </c>
      <c r="B137" s="45" t="s">
        <v>332</v>
      </c>
      <c r="C137" s="7">
        <v>39</v>
      </c>
      <c r="D137" s="28">
        <v>1</v>
      </c>
      <c r="E137" s="35" t="s">
        <v>25</v>
      </c>
      <c r="F137" s="10">
        <v>5000</v>
      </c>
      <c r="G137" s="16">
        <f t="shared" si="3"/>
        <v>5000</v>
      </c>
    </row>
    <row r="138" spans="1:7" x14ac:dyDescent="0.25">
      <c r="A138" s="33" t="s">
        <v>292</v>
      </c>
      <c r="B138" s="45" t="s">
        <v>332</v>
      </c>
      <c r="C138" s="7">
        <v>40</v>
      </c>
      <c r="D138" s="28">
        <v>3</v>
      </c>
      <c r="E138" s="35" t="s">
        <v>8</v>
      </c>
      <c r="F138" s="10">
        <f>IF($E:$E="MATOOKE KGS", 1500, IF($E:$E="SAUSAGES", 30000, IF($E:$E="MILK", 2000, IF($E:$E="YELLOW YOLK EGGS", 20000, IF($E:$E="AVOCADO", 1000, IF($E:$E="BEEF", 16000, IF($E:$E="PLAIN YOGHURT", 4000, "")))))))</f>
        <v>1000</v>
      </c>
      <c r="G138" s="16">
        <f t="shared" si="3"/>
        <v>3000</v>
      </c>
    </row>
    <row r="139" spans="1:7" x14ac:dyDescent="0.25">
      <c r="A139" s="33" t="s">
        <v>292</v>
      </c>
      <c r="B139" s="45" t="s">
        <v>332</v>
      </c>
      <c r="C139" s="7">
        <v>41</v>
      </c>
      <c r="D139" s="28">
        <v>1</v>
      </c>
      <c r="E139" s="35" t="s">
        <v>75</v>
      </c>
      <c r="F139" s="10">
        <f>IF($E:$E="MATOOKE KGS", 1500, IF($E:$E="SAUSAGES", 30000, IF($E:$E="MARINATED CHICKEN", 25000, IF($E:$E="MARINATED GOAT LEG", 28000, IF($E:$E="TOMATOES", 3000,  IF($E:$E="CHICKEN", 30000, IF($E:$E="LOCAL EGGS", 25000,  IF($E:$E="IRISH", 3000, IF($E:$E="MILK", 2000, IF($E:$E="ONIONS", 6000, IF($E:$E="YELLOW YOLK EGGS", 20000, IF($E:$E="AVOCADO", 1000, IF($E:$E="BEEF", 16000, IF($E:$E="PLAIN YOGHURT", 4000, IF($E:$E="DOG MEAT", 4000, IF($E:$E="GOAT", 19000, ""))))))))))))))))</f>
        <v>20000</v>
      </c>
      <c r="G139" s="16">
        <f t="shared" si="3"/>
        <v>20000</v>
      </c>
    </row>
    <row r="140" spans="1:7" x14ac:dyDescent="0.25">
      <c r="A140" s="33" t="s">
        <v>292</v>
      </c>
      <c r="B140" s="45" t="s">
        <v>332</v>
      </c>
      <c r="C140" s="7">
        <v>42</v>
      </c>
      <c r="D140" s="28">
        <v>1</v>
      </c>
      <c r="E140" s="35" t="s">
        <v>52</v>
      </c>
      <c r="F140" s="10">
        <v>10000</v>
      </c>
      <c r="G140" s="16">
        <f t="shared" si="3"/>
        <v>10000</v>
      </c>
    </row>
    <row r="141" spans="1:7" x14ac:dyDescent="0.25">
      <c r="A141" s="33" t="s">
        <v>292</v>
      </c>
      <c r="B141" s="45" t="s">
        <v>332</v>
      </c>
      <c r="C141" s="7">
        <v>43</v>
      </c>
      <c r="D141" s="28">
        <v>1.3</v>
      </c>
      <c r="E141" s="35" t="s">
        <v>56</v>
      </c>
      <c r="F141" s="10">
        <f>IF($E:$E="MATOOKE KGS", 1500, IF($E:$E="SAUSAGES", 30000, IF($E:$E="MILK", 2000, IF($E:$E="YELLOW YOLK EGGS", 20000, IF($E:$E="AVOCADO", 1000, IF($E:$E="BEEF", 16000, IF($E:$E="PLAIN YOGHURT", 4000, "")))))))</f>
        <v>1500</v>
      </c>
      <c r="G141" s="16">
        <f t="shared" si="3"/>
        <v>1950</v>
      </c>
    </row>
    <row r="142" spans="1:7" x14ac:dyDescent="0.25">
      <c r="A142" s="33" t="s">
        <v>292</v>
      </c>
      <c r="B142" s="45" t="s">
        <v>332</v>
      </c>
      <c r="C142" s="7">
        <v>44</v>
      </c>
      <c r="D142" s="28">
        <v>0.5</v>
      </c>
      <c r="E142" s="35" t="s">
        <v>59</v>
      </c>
      <c r="F142" s="10">
        <f>IF($E:$E="MATOOKE KGS", 1500, IF($E:$E="MINCED BEEF", 22000, IF($E:$E="DOG BONES", 4000, IF($E:$E="DOG MINCE", 5000,IF($E:$E="ZIP LOCKS",30000, IF($E:$E="BONELESS BEEF", 22000, IF($E:$E="SAUSAGES", 30000, IF($E:$E="MARINATED CHICKEN", 25000, IF($E:$E="MARINATED GOAT LEG", 28000, IF($E:$E="TOMATOES", 3000,  IF($E:$E="CHICKEN", 30000, IF($E:$E="LOCAL EGGS", 25000,  IF($E:$E="IRISH", 3000, IF($E:$E="MILK", 2000, IF($E:$E="ONIONS", 6000, IF($E:$E="YELLOW YOLK EGGS", 20000, IF($E:$E="AVOCADO", 1000, IF($E:$E="BEEF", 16000,IF($E:$E="BEEF FILLET", 30000, IF($E:$E="PLAIN YOGHURT", 4000, IF($E:$E="DOG MEAT", 4000, IF($E:$E="BEEF SAUSAGES", 30000,IF($E:$E="GOAT", 19000, "")))))))))))))))))))))))</f>
        <v>2000</v>
      </c>
      <c r="G142" s="16">
        <f t="shared" si="3"/>
        <v>1000</v>
      </c>
    </row>
    <row r="143" spans="1:7" x14ac:dyDescent="0.25">
      <c r="A143" s="33" t="s">
        <v>292</v>
      </c>
      <c r="B143" s="45" t="s">
        <v>332</v>
      </c>
      <c r="C143" s="7">
        <v>45</v>
      </c>
      <c r="D143" s="28">
        <v>1</v>
      </c>
      <c r="E143" s="35" t="s">
        <v>32</v>
      </c>
      <c r="F143" s="10">
        <v>22000</v>
      </c>
      <c r="G143" s="16">
        <f t="shared" si="3"/>
        <v>22000</v>
      </c>
    </row>
    <row r="144" spans="1:7" x14ac:dyDescent="0.25">
      <c r="A144" s="33" t="s">
        <v>292</v>
      </c>
      <c r="B144" s="45" t="s">
        <v>332</v>
      </c>
      <c r="C144" s="7">
        <v>46</v>
      </c>
      <c r="D144" s="28">
        <v>2</v>
      </c>
      <c r="E144" s="35" t="s">
        <v>52</v>
      </c>
      <c r="F144" s="10">
        <v>10000</v>
      </c>
      <c r="G144" s="16">
        <f t="shared" si="3"/>
        <v>20000</v>
      </c>
    </row>
    <row r="145" spans="1:7" x14ac:dyDescent="0.25">
      <c r="A145" s="33" t="s">
        <v>292</v>
      </c>
      <c r="B145" s="45" t="s">
        <v>332</v>
      </c>
      <c r="C145" s="7">
        <v>47</v>
      </c>
      <c r="D145" s="28">
        <v>2</v>
      </c>
      <c r="E145" s="35" t="s">
        <v>8</v>
      </c>
      <c r="F145" s="10">
        <f>IF($E:$E="MATOOKE KGS", 1500, IF($E:$E="SAUSAGES", 30000, IF($E:$E="MILK", 2000, IF($E:$E="YELLOW YOLK EGGS", 20000, IF($E:$E="AVOCADO", 1000, IF($E:$E="BEEF", 16000, IF($E:$E="PLAIN YOGHURT", 4000, "")))))))</f>
        <v>1000</v>
      </c>
      <c r="G145" s="16">
        <f t="shared" si="3"/>
        <v>2000</v>
      </c>
    </row>
    <row r="146" spans="1:7" x14ac:dyDescent="0.25">
      <c r="A146" s="33" t="s">
        <v>292</v>
      </c>
      <c r="B146" s="45" t="s">
        <v>332</v>
      </c>
      <c r="C146" s="7">
        <v>48</v>
      </c>
      <c r="D146" s="28">
        <v>1.3</v>
      </c>
      <c r="E146" s="35" t="s">
        <v>56</v>
      </c>
      <c r="F146" s="10">
        <f>IF($E:$E="MATOOKE KGS", 1500, IF($E:$E="SAUSAGES", 30000, IF($E:$E="MILK", 2000, IF($E:$E="YELLOW YOLK EGGS", 20000, IF($E:$E="AVOCADO", 1000, IF($E:$E="BEEF", 16000, IF($E:$E="PLAIN YOGHURT", 4000, "")))))))</f>
        <v>1500</v>
      </c>
      <c r="G146" s="16">
        <f t="shared" si="3"/>
        <v>1950</v>
      </c>
    </row>
    <row r="147" spans="1:7" x14ac:dyDescent="0.25">
      <c r="A147" s="33" t="s">
        <v>292</v>
      </c>
      <c r="B147" s="45" t="s">
        <v>332</v>
      </c>
      <c r="C147" s="7">
        <v>49</v>
      </c>
      <c r="D147" s="28">
        <v>0.5</v>
      </c>
      <c r="E147" s="35" t="s">
        <v>29</v>
      </c>
      <c r="F147" s="10">
        <v>20000</v>
      </c>
      <c r="G147" s="16">
        <f t="shared" si="3"/>
        <v>10000</v>
      </c>
    </row>
    <row r="148" spans="1:7" x14ac:dyDescent="0.25">
      <c r="A148" s="33" t="s">
        <v>292</v>
      </c>
      <c r="B148" s="45" t="s">
        <v>332</v>
      </c>
      <c r="C148" s="7">
        <v>50</v>
      </c>
      <c r="D148" s="28">
        <v>1</v>
      </c>
      <c r="E148" s="35" t="s">
        <v>59</v>
      </c>
      <c r="F148" s="10">
        <f>IF($E:$E="MATOOKE KGS", 1500, IF($E:$E="MINCED BEEF", 22000, IF($E:$E="DOG BONES", 4000, IF($E:$E="DOG MINCE", 5000,IF($E:$E="ZIP LOCKS",30000, IF($E:$E="BONELESS BEEF", 22000, IF($E:$E="SAUSAGES", 30000, IF($E:$E="MARINATED CHICKEN", 25000, IF($E:$E="MARINATED GOAT LEG", 28000, IF($E:$E="TOMATOES", 3000,  IF($E:$E="CHICKEN", 30000, IF($E:$E="LOCAL EGGS", 25000,  IF($E:$E="IRISH", 3000, IF($E:$E="MILK", 2000, IF($E:$E="ONIONS", 6000, IF($E:$E="YELLOW YOLK EGGS", 20000, IF($E:$E="AVOCADO", 1000, IF($E:$E="BEEF", 16000,IF($E:$E="BEEF FILLET", 30000, IF($E:$E="PLAIN YOGHURT", 4000, IF($E:$E="DOG MEAT", 4000, IF($E:$E="BEEF SAUSAGES", 30000,IF($E:$E="GOAT", 19000, "")))))))))))))))))))))))</f>
        <v>2000</v>
      </c>
      <c r="G148" s="16">
        <f t="shared" si="3"/>
        <v>2000</v>
      </c>
    </row>
    <row r="149" spans="1:7" x14ac:dyDescent="0.25">
      <c r="A149" s="33" t="s">
        <v>292</v>
      </c>
      <c r="B149" s="45" t="s">
        <v>332</v>
      </c>
      <c r="C149" s="7">
        <v>51</v>
      </c>
      <c r="D149" s="28">
        <v>1</v>
      </c>
      <c r="E149" s="35" t="s">
        <v>59</v>
      </c>
      <c r="F149" s="10">
        <f>IF($E:$E="MATOOKE KGS", 1500, IF($E:$E="MINCED BEEF", 22000, IF($E:$E="DOG BONES", 4000, IF($E:$E="DOG MINCE", 5000,IF($E:$E="ZIP LOCKS",30000, IF($E:$E="BONELESS BEEF", 22000, IF($E:$E="SAUSAGES", 30000, IF($E:$E="MARINATED CHICKEN", 25000, IF($E:$E="MARINATED GOAT LEG", 28000, IF($E:$E="TOMATOES", 3000,  IF($E:$E="CHICKEN", 30000, IF($E:$E="LOCAL EGGS", 25000,  IF($E:$E="IRISH", 3000, IF($E:$E="MILK", 2000, IF($E:$E="ONIONS", 6000, IF($E:$E="YELLOW YOLK EGGS", 20000, IF($E:$E="AVOCADO", 1000, IF($E:$E="BEEF", 16000,IF($E:$E="BEEF FILLET", 30000, IF($E:$E="PLAIN YOGHURT", 4000, IF($E:$E="DOG MEAT", 4000, IF($E:$E="BEEF SAUSAGES", 30000,IF($E:$E="GOAT", 19000, "")))))))))))))))))))))))</f>
        <v>2000</v>
      </c>
      <c r="G149" s="16">
        <f t="shared" si="3"/>
        <v>2000</v>
      </c>
    </row>
    <row r="150" spans="1:7" x14ac:dyDescent="0.25">
      <c r="A150" s="33" t="s">
        <v>292</v>
      </c>
      <c r="B150" s="45" t="s">
        <v>332</v>
      </c>
      <c r="C150" s="7">
        <v>1</v>
      </c>
      <c r="D150" s="28">
        <v>4</v>
      </c>
      <c r="E150" s="35" t="s">
        <v>56</v>
      </c>
      <c r="F150" s="10">
        <f>IF($E:$E="MATOOKE KGS", 1500, IF($E:$E="SAUSAGES", 30000, IF($E:$E="MILK", 2000, IF($E:$E="YELLOW YOLK EGGS", 20000, IF($E:$E="AVOCADO", 1000, IF($E:$E="BEEF", 16000, IF($E:$E="PLAIN YOGHURT", 4000, "")))))))</f>
        <v>1500</v>
      </c>
      <c r="G150" s="16">
        <f t="shared" si="3"/>
        <v>6000</v>
      </c>
    </row>
    <row r="151" spans="1:7" x14ac:dyDescent="0.25">
      <c r="A151" s="33" t="s">
        <v>293</v>
      </c>
      <c r="B151" s="45" t="s">
        <v>333</v>
      </c>
      <c r="C151" s="7">
        <v>2</v>
      </c>
      <c r="D151" s="28">
        <v>6.7</v>
      </c>
      <c r="E151" s="35" t="s">
        <v>56</v>
      </c>
      <c r="F151" s="10">
        <f>IF($E:$E="MATOOKE KGS", 1500, IF($E:$E="SAUSAGES", 30000, IF($E:$E="MILK", 2000, IF($E:$E="YELLOW YOLK EGGS", 20000, IF($E:$E="AVOCADO", 1000, IF($E:$E="BEEF", 16000, IF($E:$E="PLAIN YOGHURT", 4000, "")))))))</f>
        <v>1500</v>
      </c>
      <c r="G151" s="16">
        <f t="shared" si="3"/>
        <v>10050</v>
      </c>
    </row>
    <row r="152" spans="1:7" x14ac:dyDescent="0.25">
      <c r="A152" s="33" t="s">
        <v>293</v>
      </c>
      <c r="B152" s="45" t="s">
        <v>333</v>
      </c>
      <c r="C152" s="7">
        <v>3</v>
      </c>
      <c r="D152" s="28">
        <v>1.3</v>
      </c>
      <c r="E152" s="35" t="s">
        <v>56</v>
      </c>
      <c r="F152" s="10">
        <f>IF($E:$E="MATOOKE KGS", 1500, IF($E:$E="SAUSAGES", 30000, IF($E:$E="MILK", 2000, IF($E:$E="YELLOW YOLK EGGS", 20000, IF($E:$E="AVOCADO", 1000, IF($E:$E="BEEF", 16000, IF($E:$E="PLAIN YOGHURT", 4000, "")))))))</f>
        <v>1500</v>
      </c>
      <c r="G152" s="16">
        <f t="shared" si="3"/>
        <v>1950</v>
      </c>
    </row>
    <row r="153" spans="1:7" x14ac:dyDescent="0.25">
      <c r="A153" s="33" t="s">
        <v>293</v>
      </c>
      <c r="B153" s="45" t="s">
        <v>333</v>
      </c>
      <c r="C153" s="7">
        <v>4</v>
      </c>
      <c r="D153" s="28">
        <v>2</v>
      </c>
      <c r="E153" s="35" t="s">
        <v>56</v>
      </c>
      <c r="F153" s="10">
        <f>IF($E:$E="MATOOKE KGS", 1500, IF($E:$E="SAUSAGES", 30000, IF($E:$E="MILK", 2000, IF($E:$E="YELLOW YOLK EGGS", 20000, IF($E:$E="AVOCADO", 1000, IF($E:$E="BEEF", 16000, IF($E:$E="PLAIN YOGHURT", 4000, "")))))))</f>
        <v>1500</v>
      </c>
      <c r="G153" s="16">
        <f t="shared" si="3"/>
        <v>3000</v>
      </c>
    </row>
    <row r="154" spans="1:7" x14ac:dyDescent="0.25">
      <c r="A154" s="33" t="s">
        <v>293</v>
      </c>
      <c r="B154" s="45" t="s">
        <v>333</v>
      </c>
      <c r="C154" s="7">
        <v>5</v>
      </c>
      <c r="D154" s="28">
        <v>1</v>
      </c>
      <c r="E154" s="35" t="s">
        <v>52</v>
      </c>
      <c r="F154" s="10">
        <v>20000</v>
      </c>
      <c r="G154" s="16">
        <f t="shared" si="3"/>
        <v>20000</v>
      </c>
    </row>
    <row r="155" spans="1:7" x14ac:dyDescent="0.25">
      <c r="A155" s="33" t="s">
        <v>293</v>
      </c>
      <c r="B155" s="45" t="s">
        <v>333</v>
      </c>
      <c r="C155" s="7">
        <v>6</v>
      </c>
      <c r="D155" s="28">
        <v>1</v>
      </c>
      <c r="E155" s="35" t="s">
        <v>52</v>
      </c>
      <c r="F155" s="10">
        <v>15000</v>
      </c>
      <c r="G155" s="16">
        <f t="shared" si="3"/>
        <v>15000</v>
      </c>
    </row>
    <row r="156" spans="1:7" x14ac:dyDescent="0.25">
      <c r="A156" s="33" t="s">
        <v>293</v>
      </c>
      <c r="B156" s="45" t="s">
        <v>333</v>
      </c>
      <c r="C156" s="7">
        <v>7</v>
      </c>
      <c r="D156" s="28">
        <v>2.7</v>
      </c>
      <c r="E156" s="35" t="s">
        <v>56</v>
      </c>
      <c r="F156" s="10">
        <f>IF($E:$E="MATOOKE KGS", 1500, IF($E:$E="SAUSAGES", 30000, IF($E:$E="MILK", 2000, IF($E:$E="YELLOW YOLK EGGS", 20000, IF($E:$E="AVOCADO", 1000, IF($E:$E="BEEF", 16000, IF($E:$E="PLAIN YOGHURT", 4000, "")))))))</f>
        <v>1500</v>
      </c>
      <c r="G156" s="16">
        <f t="shared" si="3"/>
        <v>4050.0000000000005</v>
      </c>
    </row>
    <row r="157" spans="1:7" x14ac:dyDescent="0.25">
      <c r="A157" s="33" t="s">
        <v>293</v>
      </c>
      <c r="B157" s="45" t="s">
        <v>333</v>
      </c>
      <c r="C157" s="7">
        <v>8</v>
      </c>
      <c r="D157" s="28">
        <v>2.7</v>
      </c>
      <c r="E157" s="35" t="s">
        <v>56</v>
      </c>
      <c r="F157" s="10">
        <f>IF($E:$E="MATOOKE KGS", 1500, IF($E:$E="SAUSAGES", 30000, IF($E:$E="MILK", 2000, IF($E:$E="YELLOW YOLK EGGS", 20000, IF($E:$E="AVOCADO", 1000, IF($E:$E="BEEF", 16000, IF($E:$E="PLAIN YOGHURT", 4000, "")))))))</f>
        <v>1500</v>
      </c>
      <c r="G157" s="16">
        <f t="shared" si="3"/>
        <v>4050.0000000000005</v>
      </c>
    </row>
    <row r="158" spans="1:7" x14ac:dyDescent="0.25">
      <c r="A158" s="33" t="s">
        <v>293</v>
      </c>
      <c r="B158" s="45" t="s">
        <v>333</v>
      </c>
      <c r="C158" s="7">
        <v>9</v>
      </c>
      <c r="D158" s="28">
        <v>2.7</v>
      </c>
      <c r="E158" s="35" t="s">
        <v>56</v>
      </c>
      <c r="F158" s="10">
        <f>IF($E:$E="MATOOKE KGS", 1500, IF($E:$E="SAUSAGES", 30000, IF($E:$E="MILK", 2000, IF($E:$E="YELLOW YOLK EGGS", 20000, IF($E:$E="AVOCADO", 1000, IF($E:$E="BEEF", 16000, IF($E:$E="PLAIN YOGHURT", 4000, "")))))))</f>
        <v>1500</v>
      </c>
      <c r="G158" s="16">
        <f t="shared" si="3"/>
        <v>4050.0000000000005</v>
      </c>
    </row>
    <row r="159" spans="1:7" x14ac:dyDescent="0.25">
      <c r="A159" s="33" t="s">
        <v>293</v>
      </c>
      <c r="B159" s="45" t="s">
        <v>333</v>
      </c>
      <c r="C159" s="7">
        <v>10</v>
      </c>
      <c r="D159" s="28">
        <v>2</v>
      </c>
      <c r="E159" s="35" t="s">
        <v>9</v>
      </c>
      <c r="F159" s="17">
        <f>IF($E:$E="MATOOKE KGS", 1500, IF($E:$E="MINCED BEEF", 22000, IF($E:$E="DOG BONES", 4000, IF($E:$E="DOG MINCE", 5000,IF($E:$E="ZIP LOCKS",30000, IF($E:$E="BONELESS BEEF", 22000, IF($E:$E="SAUSAGES", 30000, IF($E:$E="MARINATED CHICKEN", 25000, IF($E:$E="MARINATED GOAT LEG", 28000, IF($E:$E="TOMATOES", 3000,  IF($E:$E="CHICKEN", 30000, IF($E:$E="LOCAL EGGS", 25000,  IF($E:$E="IRISH", 3000, IF($E:$E="MILK", 2000, IF($E:$E="ONIONS", 6000, IF($E:$E="YELLOW YOLK EGGS", 20000, IF($E:$E="AVOCADO", 1000, IF($E:$E="BEEF", 16000,IF($E:$E="BEEF FILLET", 30000, IF($E:$E="PLAIN YOGHURT", 4000, IF($E:$E="DOG MEAT", 4000, IF($E:$E="BEEF SAUSAGES", 30000,IF($E:$E="GOAT", 19000, "")))))))))))))))))))))))</f>
        <v>16000</v>
      </c>
      <c r="G159" s="16">
        <f t="shared" si="3"/>
        <v>32000</v>
      </c>
    </row>
    <row r="160" spans="1:7" x14ac:dyDescent="0.25">
      <c r="A160" s="33" t="s">
        <v>293</v>
      </c>
      <c r="B160" s="45" t="s">
        <v>333</v>
      </c>
      <c r="C160" s="7">
        <v>11</v>
      </c>
      <c r="D160" s="28">
        <v>1</v>
      </c>
      <c r="E160" s="35" t="s">
        <v>73</v>
      </c>
      <c r="F160" s="10">
        <f>IF($E:$E="MATOOKE KGS", 1500, IF($E:$E="SAUSAGES", 30000, IF($E:$E="MILK", 2000, IF($E:$E="SOUP BONES", 5000,  IF($E:$E="YELLOW YOLK EGGS", 20000, IF($E:$E="AVOCADO", 1000, IF($E:$E="BEEF", 16000, IF($E:$E="PLAIN YOGHURT", 4000,IF($E:$E="OFFALS", 12000,IF($E:$E="GOAT", 20000,""))))))))))</f>
        <v>5000</v>
      </c>
      <c r="G160" s="16">
        <f t="shared" si="3"/>
        <v>5000</v>
      </c>
    </row>
    <row r="161" spans="1:7" x14ac:dyDescent="0.25">
      <c r="A161" s="33" t="s">
        <v>293</v>
      </c>
      <c r="B161" s="45" t="s">
        <v>333</v>
      </c>
      <c r="C161" s="7">
        <v>12</v>
      </c>
      <c r="D161" s="28">
        <v>3.4</v>
      </c>
      <c r="E161" s="35" t="s">
        <v>56</v>
      </c>
      <c r="F161" s="10">
        <f>IF($E:$E="MATOOKE KGS", 1500, IF($E:$E="SAUSAGES", 30000, IF($E:$E="MILK", 2000, IF($E:$E="SOUP BONES", 5000,  IF($E:$E="YELLOW YOLK EGGS", 20000, IF($E:$E="AVOCADO", 1000, IF($E:$E="BEEF", 16000, IF($E:$E="PLAIN YOGHURT", 4000,IF($E:$E="OFFALS", 12000,IF($E:$E="GOAT", 20000,""))))))))))</f>
        <v>1500</v>
      </c>
      <c r="G161" s="16">
        <f t="shared" si="3"/>
        <v>5100</v>
      </c>
    </row>
    <row r="162" spans="1:7" x14ac:dyDescent="0.25">
      <c r="A162" s="33" t="s">
        <v>293</v>
      </c>
      <c r="B162" s="45" t="s">
        <v>333</v>
      </c>
      <c r="C162" s="7">
        <v>13</v>
      </c>
      <c r="D162" s="28">
        <v>2</v>
      </c>
      <c r="E162" s="35" t="s">
        <v>56</v>
      </c>
      <c r="F162" s="10">
        <f>IF($E:$E="MATOOKE KGS", 1500, IF($E:$E="SAUSAGES", 30000, IF($E:$E="MILK", 2000, IF($E:$E="SOUP BONES", 5000,  IF($E:$E="YELLOW YOLK EGGS", 20000, IF($E:$E="AVOCADO", 1000, IF($E:$E="BEEF", 16000, IF($E:$E="PLAIN YOGHURT", 4000,IF($E:$E="OFFALS", 12000,IF($E:$E="GOAT", 20000,""))))))))))</f>
        <v>1500</v>
      </c>
      <c r="G162" s="16">
        <f t="shared" si="3"/>
        <v>3000</v>
      </c>
    </row>
    <row r="163" spans="1:7" x14ac:dyDescent="0.25">
      <c r="A163" s="33" t="s">
        <v>293</v>
      </c>
      <c r="B163" s="45" t="s">
        <v>333</v>
      </c>
      <c r="C163" s="7">
        <v>14</v>
      </c>
      <c r="D163" s="28">
        <v>1</v>
      </c>
      <c r="E163" s="35" t="s">
        <v>52</v>
      </c>
      <c r="F163" s="10">
        <v>10000</v>
      </c>
      <c r="G163" s="16">
        <f t="shared" si="3"/>
        <v>10000</v>
      </c>
    </row>
    <row r="164" spans="1:7" x14ac:dyDescent="0.25">
      <c r="A164" s="33" t="s">
        <v>293</v>
      </c>
      <c r="B164" s="45" t="s">
        <v>333</v>
      </c>
      <c r="C164" s="7">
        <v>15</v>
      </c>
      <c r="D164" s="28">
        <v>4.7</v>
      </c>
      <c r="E164" s="35" t="s">
        <v>56</v>
      </c>
      <c r="F164" s="10">
        <f>IF($E:$E="MATOOKE KGS", 1500, IF($E:$E="SAUSAGES", 30000, IF($E:$E="MILK", 2000, IF($E:$E="SOUP BONES", 5000,  IF($E:$E="YELLOW YOLK EGGS", 20000, IF($E:$E="AVOCADO", 1000, IF($E:$E="BEEF", 16000, IF($E:$E="PLAIN YOGHURT", 4000,IF($E:$E="OFFALS", 12000,IF($E:$E="GOAT", 20000,""))))))))))</f>
        <v>1500</v>
      </c>
      <c r="G164" s="16">
        <f t="shared" si="3"/>
        <v>7050</v>
      </c>
    </row>
    <row r="165" spans="1:7" x14ac:dyDescent="0.25">
      <c r="A165" s="33" t="s">
        <v>293</v>
      </c>
      <c r="B165" s="45" t="s">
        <v>333</v>
      </c>
      <c r="C165" s="7">
        <v>17</v>
      </c>
      <c r="D165" s="28">
        <v>2</v>
      </c>
      <c r="E165" s="35" t="s">
        <v>52</v>
      </c>
      <c r="F165" s="10">
        <v>17500</v>
      </c>
      <c r="G165" s="16">
        <f t="shared" si="3"/>
        <v>35000</v>
      </c>
    </row>
    <row r="166" spans="1:7" x14ac:dyDescent="0.25">
      <c r="A166" s="33" t="s">
        <v>293</v>
      </c>
      <c r="B166" s="45" t="s">
        <v>333</v>
      </c>
      <c r="C166" s="7">
        <v>18</v>
      </c>
      <c r="D166" s="28">
        <v>1</v>
      </c>
      <c r="E166" s="35" t="s">
        <v>52</v>
      </c>
      <c r="F166" s="10">
        <v>10000</v>
      </c>
      <c r="G166" s="16">
        <f t="shared" si="3"/>
        <v>10000</v>
      </c>
    </row>
    <row r="167" spans="1:7" x14ac:dyDescent="0.25">
      <c r="A167" s="33" t="s">
        <v>293</v>
      </c>
      <c r="B167" s="45" t="s">
        <v>333</v>
      </c>
      <c r="C167" s="7">
        <v>19</v>
      </c>
      <c r="D167" s="28">
        <v>4</v>
      </c>
      <c r="E167" s="35" t="s">
        <v>59</v>
      </c>
      <c r="F167" s="10">
        <f>IF($E:$E="MATOOKE KGS", 1500, IF($E:$E="MINCED BEEF", 22000, IF($E:$E="DOG BONES", 4000, IF($E:$E="DOG MINCE", 5000,IF($E:$E="ZIP LOCKS",30000, IF($E:$E="BONELESS BEEF", 22000, IF($E:$E="SAUSAGES", 30000, IF($E:$E="MARINATED CHICKEN", 25000, IF($E:$E="MARINATED GOAT LEG", 28000, IF($E:$E="TOMATOES", 3000,  IF($E:$E="CHICKEN", 30000, IF($E:$E="LOCAL EGGS", 25000,  IF($E:$E="IRISH", 3000, IF($E:$E="MILK", 2000, IF($E:$E="ONIONS", 6000, IF($E:$E="YELLOW YOLK EGGS", 20000, IF($E:$E="AVOCADO", 1000, IF($E:$E="BEEF", 16000,IF($E:$E="BEEF FILLET", 30000, IF($E:$E="PLAIN YOGHURT", 4000, IF($E:$E="DOG MEAT", 4000, IF($E:$E="BEEF SAUSAGES", 30000,IF($E:$E="GOAT", 19000, "")))))))))))))))))))))))</f>
        <v>2000</v>
      </c>
      <c r="G167" s="16">
        <f t="shared" si="3"/>
        <v>8000</v>
      </c>
    </row>
    <row r="168" spans="1:7" x14ac:dyDescent="0.25">
      <c r="A168" s="33" t="s">
        <v>293</v>
      </c>
      <c r="B168" s="45" t="s">
        <v>333</v>
      </c>
      <c r="C168" s="7">
        <v>20</v>
      </c>
      <c r="D168" s="28">
        <v>5</v>
      </c>
      <c r="E168" s="35" t="s">
        <v>59</v>
      </c>
      <c r="F168" s="10">
        <f>IF($E:$E="MATOOKE KGS", 1500, IF($E:$E="MINCED BEEF", 22000, IF($E:$E="DOG BONES", 4000, IF($E:$E="DOG MINCE", 5000,IF($E:$E="ZIP LOCKS",30000, IF($E:$E="BONELESS BEEF", 22000, IF($E:$E="SAUSAGES", 30000, IF($E:$E="MARINATED CHICKEN", 25000, IF($E:$E="MARINATED GOAT LEG", 28000, IF($E:$E="TOMATOES", 3000,  IF($E:$E="CHICKEN", 30000, IF($E:$E="LOCAL EGGS", 25000,  IF($E:$E="IRISH", 3000, IF($E:$E="MILK", 2000, IF($E:$E="ONIONS", 6000, IF($E:$E="YELLOW YOLK EGGS", 20000, IF($E:$E="AVOCADO", 1000, IF($E:$E="BEEF", 16000,IF($E:$E="BEEF FILLET", 30000, IF($E:$E="PLAIN YOGHURT", 4000, IF($E:$E="DOG MEAT", 4000, IF($E:$E="BEEF SAUSAGES", 30000,IF($E:$E="GOAT", 19000, "")))))))))))))))))))))))</f>
        <v>2000</v>
      </c>
      <c r="G168" s="16">
        <f t="shared" si="3"/>
        <v>10000</v>
      </c>
    </row>
    <row r="169" spans="1:7" x14ac:dyDescent="0.25">
      <c r="A169" s="33" t="s">
        <v>293</v>
      </c>
      <c r="B169" s="45" t="s">
        <v>333</v>
      </c>
      <c r="C169" s="7">
        <v>21</v>
      </c>
      <c r="D169" s="28">
        <v>1</v>
      </c>
      <c r="E169" s="35" t="s">
        <v>63</v>
      </c>
      <c r="F169" s="10">
        <f>IF($E:$E="MATOOKE KGS", 1500, IF($E:$E="SAUSAGES", 30000, IF($E:$E="MILK", 2000, IF($E:$E="SOUP BONES", 5000, IF($E:$E="YELLOW YOLK EGGS", 20000, IF($E:$E="AVOCADO", 1000, IF($E:$E="BEEF", 16000, IF($E:$E="PLAIN YOGHURT", 4000,IF($E:$E="OFFALS", 12000,IF($E:$E="GOAT", 20000,""))))))))))</f>
        <v>12000</v>
      </c>
      <c r="G169" s="16">
        <f t="shared" si="3"/>
        <v>12000</v>
      </c>
    </row>
    <row r="170" spans="1:7" x14ac:dyDescent="0.25">
      <c r="A170" s="33" t="s">
        <v>293</v>
      </c>
      <c r="B170" s="45" t="s">
        <v>333</v>
      </c>
      <c r="C170" s="7">
        <v>22</v>
      </c>
      <c r="D170" s="28">
        <v>15.6</v>
      </c>
      <c r="E170" s="35" t="s">
        <v>29</v>
      </c>
      <c r="F170" s="10">
        <f>IF($E:$E="MATOOKE KGS", 1500, IF($E:$E="SAUSAGES", 30000, IF($E:$E="MILK", 2000, IF($E:$E="SOUP BONES", 5000, IF($E:$E="YELLOW YOLK EGGS", 20000, IF($E:$E="AVOCADO", 1000, IF($E:$E="BEEF", 16000, IF($E:$E="PLAIN YOGHURT", 4000,IF($E:$E="OFFALS", 12000,IF($E:$E="GOAT", 20000,""))))))))))</f>
        <v>20000</v>
      </c>
      <c r="G170" s="16">
        <f t="shared" si="3"/>
        <v>312000</v>
      </c>
    </row>
    <row r="171" spans="1:7" x14ac:dyDescent="0.25">
      <c r="A171" s="33" t="s">
        <v>293</v>
      </c>
      <c r="B171" s="45" t="s">
        <v>333</v>
      </c>
      <c r="C171" s="7">
        <v>23</v>
      </c>
      <c r="D171" s="28">
        <v>3.3</v>
      </c>
      <c r="E171" s="35" t="s">
        <v>56</v>
      </c>
      <c r="F171" s="10">
        <f>IF($E:$E="MATOOKE KGS", 1500, IF($E:$E="SAUSAGES", 30000, IF($E:$E="MILK", 2000, IF($E:$E="SOUP BONES", 5000, IF($E:$E="YELLOW YOLK EGGS", 20000, IF($E:$E="AVOCADO", 1000, IF($E:$E="BEEF", 16000, IF($E:$E="PLAIN YOGHURT", 4000,IF($E:$E="OFFALS", 12000,IF($E:$E="GOAT", 20000,""))))))))))</f>
        <v>1500</v>
      </c>
      <c r="G171" s="16">
        <f t="shared" si="3"/>
        <v>4950</v>
      </c>
    </row>
    <row r="172" spans="1:7" x14ac:dyDescent="0.25">
      <c r="A172" s="33" t="s">
        <v>293</v>
      </c>
      <c r="B172" s="45" t="s">
        <v>333</v>
      </c>
      <c r="C172" s="7">
        <v>24</v>
      </c>
      <c r="D172" s="28">
        <v>1</v>
      </c>
      <c r="E172" s="35" t="s">
        <v>9</v>
      </c>
      <c r="F172" s="17">
        <f>IF($E:$E="MATOOKE KGS", 1500, IF($E:$E="MINCED BEEF", 22000, IF($E:$E="DOG BONES", 4000, IF($E:$E="DOG MINCE", 5000,IF($E:$E="ZIP LOCKS",30000, IF($E:$E="BONELESS BEEF", 22000, IF($E:$E="SAUSAGES", 30000, IF($E:$E="MARINATED CHICKEN", 25000, IF($E:$E="MARINATED GOAT LEG", 28000, IF($E:$E="TOMATOES", 3000,  IF($E:$E="CHICKEN", 30000, IF($E:$E="LOCAL EGGS", 25000,  IF($E:$E="IRISH", 3000, IF($E:$E="MILK", 2000, IF($E:$E="ONIONS", 6000, IF($E:$E="YELLOW YOLK EGGS", 20000, IF($E:$E="AVOCADO", 1000, IF($E:$E="BEEF", 16000,IF($E:$E="BEEF FILLET", 30000, IF($E:$E="PLAIN YOGHURT", 4000, IF($E:$E="DOG MEAT", 4000, IF($E:$E="BEEF SAUSAGES", 30000,IF($E:$E="GOAT", 19000, "")))))))))))))))))))))))</f>
        <v>16000</v>
      </c>
      <c r="G172" s="16">
        <f t="shared" si="3"/>
        <v>16000</v>
      </c>
    </row>
    <row r="173" spans="1:7" x14ac:dyDescent="0.25">
      <c r="A173" s="33" t="s">
        <v>293</v>
      </c>
      <c r="B173" s="45" t="s">
        <v>333</v>
      </c>
      <c r="C173" s="7">
        <v>25</v>
      </c>
      <c r="D173" s="28">
        <v>2</v>
      </c>
      <c r="E173" s="35" t="s">
        <v>61</v>
      </c>
      <c r="F173" s="10">
        <f>IF($E:$E="MATOOKE KGS", 1500, IF($E:$E="SAUSAGES", 30000, IF($E:$E="MILK", 2000, IF($E:$E="SOUP BONES", 5000,  IF($E:$E="YELLOW YOLK EGGS", 20000, IF($E:$E="AVOCADO", 1000, IF($E:$E="BEEF", 16000, IF($E:$E="PLAIN YOGHURT", 4000,IF($E:$E="OFFALS", 12000,IF($E:$E="GOAT", 20000, IF($E:$E="MINCED BEEF", 22000,"")))))))))))</f>
        <v>22000</v>
      </c>
      <c r="G173" s="16">
        <f t="shared" si="3"/>
        <v>44000</v>
      </c>
    </row>
    <row r="174" spans="1:7" x14ac:dyDescent="0.25">
      <c r="A174" s="33" t="s">
        <v>293</v>
      </c>
      <c r="B174" s="45" t="s">
        <v>333</v>
      </c>
      <c r="C174" s="7">
        <v>26</v>
      </c>
      <c r="D174" s="28">
        <v>2</v>
      </c>
      <c r="E174" s="35" t="s">
        <v>71</v>
      </c>
      <c r="F174" s="10">
        <f>IF($E:$E="MATOOKE KGS", 1500, IF($E:$E="SHREDDED BEEF", 24000, IF($E:$E="GOAT LEG", 22000, IF($E:$E="SAUSAGES", 30000, IF($E:$E="MILK", 2000, IF($E:$E="SOUP BONES", 5000,  IF($E:$E="YELLOW YOLK EGGS", 20000, IF($E:$E="AVOCADO", 1000, IF($E:$E="BEEF", 16000, IF($E:$E="PLAIN YOGHURT", 4000,IF($E:$E="OFFALS", 12000,IF($E:$E="GOAT", 20000,""))))))))))))</f>
        <v>24000</v>
      </c>
      <c r="G174" s="16">
        <f t="shared" si="3"/>
        <v>48000</v>
      </c>
    </row>
    <row r="175" spans="1:7" x14ac:dyDescent="0.25">
      <c r="A175" s="33" t="s">
        <v>293</v>
      </c>
      <c r="B175" s="45" t="s">
        <v>333</v>
      </c>
      <c r="C175" s="7">
        <v>27</v>
      </c>
      <c r="D175" s="28">
        <v>2</v>
      </c>
      <c r="E175" s="35" t="s">
        <v>59</v>
      </c>
      <c r="F175" s="10">
        <f>IF($E:$E="MATOOKE KGS", 1500, IF($E:$E="MINCED BEEF", 22000, IF($E:$E="DOG BONES", 4000, IF($E:$E="DOG MINCE", 5000,IF($E:$E="ZIP LOCKS",30000, IF($E:$E="BONELESS BEEF", 22000, IF($E:$E="SAUSAGES", 30000, IF($E:$E="MARINATED CHICKEN", 25000, IF($E:$E="MARINATED GOAT LEG", 28000, IF($E:$E="TOMATOES", 3000,  IF($E:$E="CHICKEN", 30000, IF($E:$E="LOCAL EGGS", 25000,  IF($E:$E="IRISH", 3000, IF($E:$E="MILK", 2000, IF($E:$E="ONIONS", 6000, IF($E:$E="YELLOW YOLK EGGS", 20000, IF($E:$E="AVOCADO", 1000, IF($E:$E="BEEF", 16000,IF($E:$E="BEEF FILLET", 30000, IF($E:$E="PLAIN YOGHURT", 4000, IF($E:$E="DOG MEAT", 4000, IF($E:$E="BEEF SAUSAGES", 30000,IF($E:$E="GOAT", 19000, "")))))))))))))))))))))))</f>
        <v>2000</v>
      </c>
      <c r="G175" s="16">
        <f t="shared" si="3"/>
        <v>4000</v>
      </c>
    </row>
    <row r="176" spans="1:7" x14ac:dyDescent="0.25">
      <c r="A176" s="33" t="s">
        <v>293</v>
      </c>
      <c r="B176" s="45" t="s">
        <v>333</v>
      </c>
      <c r="C176" s="7">
        <v>28</v>
      </c>
      <c r="D176" s="28">
        <v>1</v>
      </c>
      <c r="E176" s="35" t="s">
        <v>32</v>
      </c>
      <c r="F176" s="10">
        <f>IF($E:$E="MATOOKE KGS", 1500, IF($E:$E="SHREDDED BEEF", 24000, IF($E:$E="GOAT LEG", 22000, IF($E:$E="SAUSAGES", 30000, IF($E:$E="MILK", 2000, IF($E:$E="SOUP BONES", 5000,  IF($E:$E="YELLOW YOLK EGGS", 20000, IF($E:$E="AVOCADO", 1000, IF($E:$E="BEEF", 16000, IF($E:$E="PLAIN YOGHURT", 4000,IF($E:$E="OFFALS", 12000,IF($E:$E="GOAT", 20000,""))))))))))))</f>
        <v>22000</v>
      </c>
      <c r="G176" s="16">
        <f t="shared" si="3"/>
        <v>22000</v>
      </c>
    </row>
    <row r="177" spans="1:7" x14ac:dyDescent="0.25">
      <c r="A177" s="33" t="s">
        <v>293</v>
      </c>
      <c r="B177" s="45" t="s">
        <v>333</v>
      </c>
      <c r="C177" s="7">
        <v>29</v>
      </c>
      <c r="D177" s="28">
        <v>3.4</v>
      </c>
      <c r="E177" s="35" t="s">
        <v>56</v>
      </c>
      <c r="F177" s="10">
        <f>IF($E:$E="MATOOKE KGS", 1500, IF($E:$E="SHREDDED BEEF", 24000, IF($E:$E="GOAT LEG", 22000, IF($E:$E="SAUSAGES", 30000, IF($E:$E="MILK", 2000, IF($E:$E="SOUP BONES", 5000,  IF($E:$E="YELLOW YOLK EGGS", 20000, IF($E:$E="AVOCADO", 1000, IF($E:$E="BEEF", 16000, IF($E:$E="PLAIN YOGHURT", 4000,IF($E:$E="OFFALS", 12000,IF($E:$E="GOAT", 20000,""))))))))))))</f>
        <v>1500</v>
      </c>
      <c r="G177" s="16">
        <f t="shared" si="3"/>
        <v>5100</v>
      </c>
    </row>
    <row r="178" spans="1:7" x14ac:dyDescent="0.25">
      <c r="A178" s="33" t="s">
        <v>293</v>
      </c>
      <c r="B178" s="45" t="s">
        <v>333</v>
      </c>
      <c r="C178" s="7">
        <v>30</v>
      </c>
      <c r="D178" s="28">
        <v>2</v>
      </c>
      <c r="E178" s="35" t="s">
        <v>56</v>
      </c>
      <c r="F178" s="10">
        <f>IF($E:$E="MATOOKE KGS", 1500, IF($E:$E="SHREDDED BEEF", 24000, IF($E:$E="GOAT LEG", 22000, IF($E:$E="SAUSAGES", 30000, IF($E:$E="MILK", 2000, IF($E:$E="SOUP BONES", 5000,  IF($E:$E="YELLOW YOLK EGGS", 20000, IF($E:$E="AVOCADO", 1000, IF($E:$E="BEEF", 16000, IF($E:$E="PLAIN YOGHURT", 4000,IF($E:$E="OFFALS", 12000,IF($E:$E="GOAT", 20000,""))))))))))))</f>
        <v>1500</v>
      </c>
      <c r="G178" s="16">
        <f t="shared" si="3"/>
        <v>3000</v>
      </c>
    </row>
    <row r="179" spans="1:7" x14ac:dyDescent="0.25">
      <c r="A179" s="33" t="s">
        <v>293</v>
      </c>
      <c r="B179" s="45" t="s">
        <v>333</v>
      </c>
      <c r="C179" s="7">
        <v>31</v>
      </c>
      <c r="D179" s="28">
        <v>1</v>
      </c>
      <c r="E179" s="35" t="s">
        <v>36</v>
      </c>
      <c r="F179" s="10">
        <v>5000</v>
      </c>
      <c r="G179" s="16">
        <f t="shared" si="3"/>
        <v>5000</v>
      </c>
    </row>
    <row r="180" spans="1:7" x14ac:dyDescent="0.25">
      <c r="A180" s="33" t="s">
        <v>293</v>
      </c>
      <c r="B180" s="45" t="s">
        <v>333</v>
      </c>
      <c r="C180" s="7">
        <v>33</v>
      </c>
      <c r="D180" s="28">
        <v>1</v>
      </c>
      <c r="E180" s="35" t="s">
        <v>52</v>
      </c>
      <c r="F180" s="10">
        <v>10000</v>
      </c>
      <c r="G180" s="16">
        <f t="shared" si="3"/>
        <v>10000</v>
      </c>
    </row>
    <row r="181" spans="1:7" x14ac:dyDescent="0.25">
      <c r="A181" s="33" t="s">
        <v>293</v>
      </c>
      <c r="B181" s="45" t="s">
        <v>333</v>
      </c>
      <c r="C181" s="7">
        <v>35</v>
      </c>
      <c r="D181" s="28">
        <v>0.5</v>
      </c>
      <c r="E181" s="35" t="s">
        <v>14</v>
      </c>
      <c r="F181" s="10">
        <v>22000</v>
      </c>
      <c r="G181" s="16">
        <f t="shared" si="3"/>
        <v>11000</v>
      </c>
    </row>
    <row r="182" spans="1:7" x14ac:dyDescent="0.25">
      <c r="A182" s="33" t="s">
        <v>293</v>
      </c>
      <c r="B182" s="45" t="s">
        <v>333</v>
      </c>
      <c r="C182" s="7">
        <v>36</v>
      </c>
      <c r="D182" s="28">
        <v>1</v>
      </c>
      <c r="E182" s="35" t="s">
        <v>75</v>
      </c>
      <c r="F182" s="10">
        <f>IF($E:$E="MATOOKE KGS", 1500, IF($E:$E="SAUSAGES", 30000, IF($E:$E="MARINATED CHICKEN", 25000, IF($E:$E="MARINATED GOAT LEG", 28000, IF($E:$E="TOMATOES", 3000,  IF($E:$E="CHICKEN", 30000, IF($E:$E="LOCAL EGGS", 25000,  IF($E:$E="IRISH", 3000, IF($E:$E="MILK", 2000, IF($E:$E="ONIONS", 6000, IF($E:$E="YELLOW YOLK EGGS", 20000, IF($E:$E="AVOCADO", 1000, IF($E:$E="BEEF", 16000, IF($E:$E="PLAIN YOGHURT", 4000, IF($E:$E="DOG MEAT", 4000, IF($E:$E="GOAT", 19000, ""))))))))))))))))</f>
        <v>20000</v>
      </c>
      <c r="G182" s="16">
        <f t="shared" si="3"/>
        <v>20000</v>
      </c>
    </row>
    <row r="183" spans="1:7" x14ac:dyDescent="0.25">
      <c r="A183" s="33" t="s">
        <v>293</v>
      </c>
      <c r="B183" s="45" t="s">
        <v>333</v>
      </c>
      <c r="C183" s="7">
        <v>37</v>
      </c>
      <c r="D183" s="28">
        <v>1</v>
      </c>
      <c r="E183" s="35" t="s">
        <v>69</v>
      </c>
      <c r="F183" s="10">
        <f>IF($E:$E="MATOOKE KGS", 1500, IF($E:$E="SHREDDED BEEF", 24000, IF($E:$E="GOAT LEG", 22000, IF($E:$E="SAUSAGES", 30000, IF($E:$E="MILK", 2000, IF($E:$E="SOUP BONES", 5000,  IF($E:$E="YELLOW YOLK EGGS", 20000, IF($E:$E="AVOCADO", 1000, IF($E:$E="BEEF", 16000, IF($E:$E="PLAIN YOGHURT", 4000,IF($E:$E="OFFALS", 12000,IF($E:$E="GOAT", 20000,""))))))))))))</f>
        <v>4000</v>
      </c>
      <c r="G183" s="16">
        <f t="shared" si="3"/>
        <v>4000</v>
      </c>
    </row>
    <row r="184" spans="1:7" x14ac:dyDescent="0.25">
      <c r="A184" s="33" t="s">
        <v>293</v>
      </c>
      <c r="B184" s="45" t="s">
        <v>333</v>
      </c>
      <c r="C184" s="7">
        <v>38</v>
      </c>
      <c r="D184" s="28">
        <v>2</v>
      </c>
      <c r="E184" s="35" t="s">
        <v>69</v>
      </c>
      <c r="F184" s="10">
        <f>IF($E:$E="MATOOKE KGS", 1500, IF($E:$E="SHREDDED BEEF", 24000, IF($E:$E="GOAT LEG", 22000, IF($E:$E="SAUSAGES", 30000, IF($E:$E="MILK", 2000, IF($E:$E="SOUP BONES", 5000,  IF($E:$E="YELLOW YOLK EGGS", 20000, IF($E:$E="AVOCADO", 1000, IF($E:$E="BEEF", 16000, IF($E:$E="PLAIN YOGHURT", 4000,IF($E:$E="OFFALS", 12000,IF($E:$E="GOAT", 20000,""))))))))))))</f>
        <v>4000</v>
      </c>
      <c r="G184" s="16">
        <f t="shared" si="3"/>
        <v>8000</v>
      </c>
    </row>
    <row r="185" spans="1:7" x14ac:dyDescent="0.25">
      <c r="A185" s="33" t="s">
        <v>293</v>
      </c>
      <c r="B185" s="45" t="s">
        <v>333</v>
      </c>
      <c r="C185" s="7">
        <v>39</v>
      </c>
      <c r="D185" s="28">
        <v>0.5</v>
      </c>
      <c r="E185" s="35" t="s">
        <v>59</v>
      </c>
      <c r="F185" s="10">
        <f>IF($E:$E="MATOOKE KGS", 1500, IF($E:$E="MINCED BEEF", 22000, IF($E:$E="DOG BONES", 4000, IF($E:$E="DOG MINCE", 5000,IF($E:$E="ZIP LOCKS",30000, IF($E:$E="BONELESS BEEF", 22000, IF($E:$E="SAUSAGES", 30000, IF($E:$E="MARINATED CHICKEN", 25000, IF($E:$E="MARINATED GOAT LEG", 28000, IF($E:$E="TOMATOES", 3000,  IF($E:$E="CHICKEN", 30000, IF($E:$E="LOCAL EGGS", 25000,  IF($E:$E="IRISH", 3000, IF($E:$E="MILK", 2000, IF($E:$E="ONIONS", 6000, IF($E:$E="YELLOW YOLK EGGS", 20000, IF($E:$E="AVOCADO", 1000, IF($E:$E="BEEF", 16000,IF($E:$E="BEEF FILLET", 30000, IF($E:$E="PLAIN YOGHURT", 4000, IF($E:$E="DOG MEAT", 4000, IF($E:$E="BEEF SAUSAGES", 30000,IF($E:$E="GOAT", 19000, "")))))))))))))))))))))))</f>
        <v>2000</v>
      </c>
      <c r="G185" s="16">
        <f t="shared" si="3"/>
        <v>1000</v>
      </c>
    </row>
    <row r="186" spans="1:7" x14ac:dyDescent="0.25">
      <c r="A186" s="33" t="s">
        <v>293</v>
      </c>
      <c r="B186" s="45" t="s">
        <v>333</v>
      </c>
      <c r="C186" s="7">
        <v>40</v>
      </c>
      <c r="D186" s="28">
        <v>1</v>
      </c>
      <c r="E186" s="35" t="s">
        <v>52</v>
      </c>
      <c r="F186" s="10">
        <v>10000</v>
      </c>
      <c r="G186" s="16">
        <f t="shared" si="3"/>
        <v>10000</v>
      </c>
    </row>
    <row r="187" spans="1:7" x14ac:dyDescent="0.25">
      <c r="A187" s="33" t="s">
        <v>293</v>
      </c>
      <c r="B187" s="45" t="s">
        <v>333</v>
      </c>
      <c r="C187" s="7">
        <v>41</v>
      </c>
      <c r="D187" s="28">
        <v>2</v>
      </c>
      <c r="E187" s="35" t="s">
        <v>52</v>
      </c>
      <c r="F187" s="10">
        <v>17500</v>
      </c>
      <c r="G187" s="16">
        <f t="shared" si="3"/>
        <v>35000</v>
      </c>
    </row>
    <row r="188" spans="1:7" x14ac:dyDescent="0.25">
      <c r="A188" s="33" t="s">
        <v>293</v>
      </c>
      <c r="B188" s="45" t="s">
        <v>333</v>
      </c>
      <c r="C188" s="7">
        <v>42</v>
      </c>
      <c r="D188" s="28">
        <v>1</v>
      </c>
      <c r="E188" s="35" t="s">
        <v>52</v>
      </c>
      <c r="F188" s="10">
        <v>15000</v>
      </c>
      <c r="G188" s="16">
        <f t="shared" si="3"/>
        <v>15000</v>
      </c>
    </row>
    <row r="189" spans="1:7" x14ac:dyDescent="0.25">
      <c r="A189" s="33" t="s">
        <v>293</v>
      </c>
      <c r="B189" s="45" t="s">
        <v>333</v>
      </c>
      <c r="C189" s="7">
        <v>43</v>
      </c>
      <c r="D189" s="28">
        <v>1</v>
      </c>
      <c r="E189" s="35" t="s">
        <v>75</v>
      </c>
      <c r="F189" s="10">
        <f>IF($E:$E="MATOOKE KGS", 1500, IF($E:$E="SAUSAGES", 30000, IF($E:$E="MARINATED CHICKEN", 25000, IF($E:$E="MARINATED GOAT LEG", 28000, IF($E:$E="TOMATOES", 3000,  IF($E:$E="CHICKEN", 30000, IF($E:$E="LOCAL EGGS", 25000,  IF($E:$E="IRISH", 3000, IF($E:$E="MILK", 2000, IF($E:$E="ONIONS", 6000, IF($E:$E="YELLOW YOLK EGGS", 20000, IF($E:$E="AVOCADO", 1000, IF($E:$E="BEEF", 16000, IF($E:$E="PLAIN YOGHURT", 4000, IF($E:$E="DOG MEAT", 4000, IF($E:$E="GOAT", 19000, ""))))))))))))))))</f>
        <v>20000</v>
      </c>
      <c r="G189" s="16">
        <f t="shared" si="3"/>
        <v>20000</v>
      </c>
    </row>
    <row r="190" spans="1:7" x14ac:dyDescent="0.25">
      <c r="A190" s="33" t="s">
        <v>293</v>
      </c>
      <c r="B190" s="45" t="s">
        <v>333</v>
      </c>
      <c r="C190" s="7">
        <v>44</v>
      </c>
      <c r="D190" s="28">
        <v>0.5</v>
      </c>
      <c r="E190" s="35" t="s">
        <v>32</v>
      </c>
      <c r="F190" s="10">
        <f>IF($E:$E="MATOOKE KGS", 1500, IF($E:$E="SHREDDED BEEF", 24000, IF($E:$E="GOAT LEG", 22000, IF($E:$E="SAUSAGES", 30000, IF($E:$E="MILK", 2000, IF($E:$E="SOUP BONES", 5000,  IF($E:$E="YELLOW YOLK EGGS", 20000, IF($E:$E="AVOCADO", 1000, IF($E:$E="BEEF", 16000, IF($E:$E="PLAIN YOGHURT", 4000,IF($E:$E="OFFALS", 12000,IF($E:$E="GOAT", 20000,""))))))))))))</f>
        <v>22000</v>
      </c>
      <c r="G190" s="16">
        <f t="shared" si="3"/>
        <v>11000</v>
      </c>
    </row>
    <row r="191" spans="1:7" x14ac:dyDescent="0.25">
      <c r="A191" s="33" t="s">
        <v>293</v>
      </c>
      <c r="B191" s="45" t="s">
        <v>333</v>
      </c>
      <c r="C191" s="7">
        <v>1</v>
      </c>
      <c r="D191" s="28">
        <v>1</v>
      </c>
      <c r="E191" s="35" t="s">
        <v>75</v>
      </c>
      <c r="F191" s="10">
        <f>IF($E:$E="MATOOKE KGS", 1500, IF($E:$E="SAUSAGES", 30000, IF($E:$E="MARINATED CHICKEN", 25000, IF($E:$E="MARINATED GOAT LEG", 28000, IF($E:$E="TOMATOES", 3000,  IF($E:$E="CHICKEN", 30000, IF($E:$E="LOCAL EGGS", 25000,  IF($E:$E="IRISH", 3000, IF($E:$E="MILK", 2000, IF($E:$E="ONIONS", 6000, IF($E:$E="YELLOW YOLK EGGS", 20000, IF($E:$E="AVOCADO", 1000, IF($E:$E="BEEF", 16000, IF($E:$E="PLAIN YOGHURT", 4000, IF($E:$E="DOG MEAT", 4000, IF($E:$E="GOAT", 19000, ""))))))))))))))))</f>
        <v>20000</v>
      </c>
      <c r="G191" s="16">
        <f t="shared" si="3"/>
        <v>20000</v>
      </c>
    </row>
    <row r="192" spans="1:7" x14ac:dyDescent="0.25">
      <c r="A192" s="33" t="s">
        <v>294</v>
      </c>
      <c r="B192" s="45" t="s">
        <v>334</v>
      </c>
      <c r="C192" s="7">
        <v>2</v>
      </c>
      <c r="D192" s="28">
        <v>1</v>
      </c>
      <c r="E192" s="35" t="s">
        <v>52</v>
      </c>
      <c r="F192" s="10">
        <v>25000</v>
      </c>
      <c r="G192" s="16">
        <f t="shared" si="3"/>
        <v>25000</v>
      </c>
    </row>
    <row r="193" spans="1:7" x14ac:dyDescent="0.25">
      <c r="A193" s="33" t="s">
        <v>294</v>
      </c>
      <c r="B193" s="45" t="s">
        <v>334</v>
      </c>
      <c r="C193" s="7">
        <v>3</v>
      </c>
      <c r="D193" s="28">
        <v>3.3</v>
      </c>
      <c r="E193" s="35" t="s">
        <v>56</v>
      </c>
      <c r="F193" s="10">
        <v>1500</v>
      </c>
      <c r="G193" s="16">
        <f t="shared" si="3"/>
        <v>4950</v>
      </c>
    </row>
    <row r="194" spans="1:7" x14ac:dyDescent="0.25">
      <c r="A194" s="33" t="s">
        <v>294</v>
      </c>
      <c r="B194" s="45" t="s">
        <v>334</v>
      </c>
      <c r="C194" s="7">
        <v>4</v>
      </c>
      <c r="D194" s="28">
        <v>1</v>
      </c>
      <c r="E194" s="35" t="s">
        <v>9</v>
      </c>
      <c r="F194" s="17">
        <f>IF($E:$E="MATOOKE KGS", 1500, IF($E:$E="MINCED BEEF", 22000, IF($E:$E="DOG BONES", 4000, IF($E:$E="DOG MINCE", 5000,IF($E:$E="ZIP LOCKS",30000, IF($E:$E="BONELESS BEEF", 22000, IF($E:$E="SAUSAGES", 30000, IF($E:$E="MARINATED CHICKEN", 25000, IF($E:$E="MARINATED GOAT LEG", 28000, IF($E:$E="TOMATOES", 3000,  IF($E:$E="CHICKEN", 30000, IF($E:$E="LOCAL EGGS", 25000,  IF($E:$E="IRISH", 3000, IF($E:$E="MILK", 2000, IF($E:$E="ONIONS", 6000, IF($E:$E="YELLOW YOLK EGGS", 20000, IF($E:$E="AVOCADO", 1000, IF($E:$E="BEEF", 16000,IF($E:$E="BEEF FILLET", 30000, IF($E:$E="PLAIN YOGHURT", 4000, IF($E:$E="DOG MEAT", 4000, IF($E:$E="BEEF SAUSAGES", 30000,IF($E:$E="GOAT", 19000, "")))))))))))))))))))))))</f>
        <v>16000</v>
      </c>
      <c r="G194" s="16">
        <f t="shared" ref="G194:G257" si="4">(F194*D194)</f>
        <v>16000</v>
      </c>
    </row>
    <row r="195" spans="1:7" x14ac:dyDescent="0.25">
      <c r="A195" s="33" t="s">
        <v>294</v>
      </c>
      <c r="B195" s="45" t="s">
        <v>334</v>
      </c>
      <c r="C195" s="7">
        <v>5</v>
      </c>
      <c r="D195" s="28">
        <v>5</v>
      </c>
      <c r="E195" s="35" t="s">
        <v>32</v>
      </c>
      <c r="F195" s="10">
        <v>22000</v>
      </c>
      <c r="G195" s="16">
        <f t="shared" si="4"/>
        <v>110000</v>
      </c>
    </row>
    <row r="196" spans="1:7" x14ac:dyDescent="0.25">
      <c r="A196" s="33" t="s">
        <v>294</v>
      </c>
      <c r="B196" s="45" t="s">
        <v>334</v>
      </c>
      <c r="C196" s="7">
        <v>6</v>
      </c>
      <c r="D196" s="28">
        <v>2</v>
      </c>
      <c r="E196" s="35" t="s">
        <v>56</v>
      </c>
      <c r="F196" s="10">
        <v>1500</v>
      </c>
      <c r="G196" s="16">
        <f t="shared" si="4"/>
        <v>3000</v>
      </c>
    </row>
    <row r="197" spans="1:7" x14ac:dyDescent="0.25">
      <c r="A197" s="33" t="s">
        <v>294</v>
      </c>
      <c r="B197" s="45" t="s">
        <v>334</v>
      </c>
      <c r="C197" s="7">
        <v>7</v>
      </c>
      <c r="D197" s="28">
        <v>4</v>
      </c>
      <c r="E197" s="35" t="s">
        <v>56</v>
      </c>
      <c r="F197" s="10">
        <v>1500</v>
      </c>
      <c r="G197" s="16">
        <f t="shared" si="4"/>
        <v>6000</v>
      </c>
    </row>
    <row r="198" spans="1:7" x14ac:dyDescent="0.25">
      <c r="A198" s="33" t="s">
        <v>295</v>
      </c>
      <c r="B198" s="45" t="s">
        <v>335</v>
      </c>
      <c r="C198" s="7">
        <v>9</v>
      </c>
      <c r="D198" s="28">
        <v>10</v>
      </c>
      <c r="E198" s="35" t="s">
        <v>44</v>
      </c>
      <c r="F198" s="17">
        <v>25000</v>
      </c>
      <c r="G198" s="16">
        <f t="shared" si="4"/>
        <v>250000</v>
      </c>
    </row>
    <row r="199" spans="1:7" x14ac:dyDescent="0.25">
      <c r="A199" s="33" t="s">
        <v>295</v>
      </c>
      <c r="B199" s="45" t="s">
        <v>335</v>
      </c>
      <c r="C199" s="7">
        <v>1</v>
      </c>
      <c r="D199" s="28">
        <v>1</v>
      </c>
      <c r="E199" s="36" t="s">
        <v>8</v>
      </c>
      <c r="F199" s="12">
        <v>1000</v>
      </c>
      <c r="G199" s="16">
        <f t="shared" si="4"/>
        <v>1000</v>
      </c>
    </row>
    <row r="200" spans="1:7" x14ac:dyDescent="0.25">
      <c r="A200" s="33" t="s">
        <v>295</v>
      </c>
      <c r="B200" s="45" t="s">
        <v>335</v>
      </c>
      <c r="C200" s="7">
        <v>2</v>
      </c>
      <c r="D200" s="28">
        <v>1</v>
      </c>
      <c r="E200" s="36" t="s">
        <v>59</v>
      </c>
      <c r="F200" s="10">
        <f>IF($E:$E="MATOOKE KGS", 1500, IF($E:$E="MINCED BEEF", 22000, IF($E:$E="DOG BONES", 4000, IF($E:$E="DOG MINCE", 5000,IF($E:$E="ZIP LOCKS",30000, IF($E:$E="BONELESS BEEF", 22000, IF($E:$E="SAUSAGES", 30000, IF($E:$E="MARINATED CHICKEN", 25000, IF($E:$E="MARINATED GOAT LEG", 28000, IF($E:$E="TOMATOES", 3000,  IF($E:$E="CHICKEN", 30000, IF($E:$E="LOCAL EGGS", 25000,  IF($E:$E="IRISH", 3000, IF($E:$E="MILK", 2000, IF($E:$E="ONIONS", 6000, IF($E:$E="YELLOW YOLK EGGS", 20000, IF($E:$E="AVOCADO", 1000, IF($E:$E="BEEF", 16000,IF($E:$E="BEEF FILLET", 30000, IF($E:$E="PLAIN YOGHURT", 4000, IF($E:$E="DOG MEAT", 4000, IF($E:$E="BEEF SAUSAGES", 30000,IF($E:$E="GOAT", 19000, "")))))))))))))))))))))))</f>
        <v>2000</v>
      </c>
      <c r="G200" s="16">
        <f t="shared" si="4"/>
        <v>2000</v>
      </c>
    </row>
    <row r="201" spans="1:7" x14ac:dyDescent="0.25">
      <c r="A201" s="33" t="s">
        <v>295</v>
      </c>
      <c r="B201" s="45" t="s">
        <v>335</v>
      </c>
      <c r="C201" s="7">
        <v>3</v>
      </c>
      <c r="D201" s="28">
        <v>3.4</v>
      </c>
      <c r="E201" s="36" t="s">
        <v>56</v>
      </c>
      <c r="F201" s="12">
        <v>1500</v>
      </c>
      <c r="G201" s="16">
        <f t="shared" si="4"/>
        <v>5100</v>
      </c>
    </row>
    <row r="202" spans="1:7" x14ac:dyDescent="0.25">
      <c r="A202" s="33" t="s">
        <v>295</v>
      </c>
      <c r="B202" s="45" t="s">
        <v>335</v>
      </c>
      <c r="C202" s="7">
        <v>4</v>
      </c>
      <c r="D202" s="28">
        <v>2.7</v>
      </c>
      <c r="E202" s="36" t="s">
        <v>56</v>
      </c>
      <c r="F202" s="12">
        <v>1500</v>
      </c>
      <c r="G202" s="16">
        <f t="shared" si="4"/>
        <v>4050.0000000000005</v>
      </c>
    </row>
    <row r="203" spans="1:7" x14ac:dyDescent="0.25">
      <c r="A203" s="33" t="s">
        <v>295</v>
      </c>
      <c r="B203" s="45" t="s">
        <v>335</v>
      </c>
      <c r="C203" s="7">
        <v>5</v>
      </c>
      <c r="D203" s="28">
        <v>2.7</v>
      </c>
      <c r="E203" s="36" t="s">
        <v>56</v>
      </c>
      <c r="F203" s="12">
        <v>1500</v>
      </c>
      <c r="G203" s="16">
        <f t="shared" si="4"/>
        <v>4050.0000000000005</v>
      </c>
    </row>
    <row r="204" spans="1:7" x14ac:dyDescent="0.25">
      <c r="A204" s="33" t="s">
        <v>295</v>
      </c>
      <c r="B204" s="45" t="s">
        <v>335</v>
      </c>
      <c r="C204" s="7">
        <v>6</v>
      </c>
      <c r="D204" s="28">
        <v>1</v>
      </c>
      <c r="E204" s="35" t="s">
        <v>52</v>
      </c>
      <c r="F204" s="12">
        <v>10000</v>
      </c>
      <c r="G204" s="16">
        <f t="shared" si="4"/>
        <v>10000</v>
      </c>
    </row>
    <row r="205" spans="1:7" x14ac:dyDescent="0.25">
      <c r="A205" s="33" t="s">
        <v>295</v>
      </c>
      <c r="B205" s="45" t="s">
        <v>335</v>
      </c>
      <c r="C205" s="7">
        <v>8</v>
      </c>
      <c r="D205" s="28">
        <v>3</v>
      </c>
      <c r="E205" s="36" t="s">
        <v>59</v>
      </c>
      <c r="F205" s="10">
        <f>IF($E:$E="MATOOKE KGS", 1500, IF($E:$E="MINCED BEEF", 22000, IF($E:$E="DOG BONES", 4000, IF($E:$E="DOG MINCE", 5000,IF($E:$E="ZIP LOCKS",30000, IF($E:$E="BONELESS BEEF", 22000, IF($E:$E="SAUSAGES", 30000, IF($E:$E="MARINATED CHICKEN", 25000, IF($E:$E="MARINATED GOAT LEG", 28000, IF($E:$E="TOMATOES", 3000,  IF($E:$E="CHICKEN", 30000, IF($E:$E="LOCAL EGGS", 25000,  IF($E:$E="IRISH", 3000, IF($E:$E="MILK", 2000, IF($E:$E="ONIONS", 6000, IF($E:$E="YELLOW YOLK EGGS", 20000, IF($E:$E="AVOCADO", 1000, IF($E:$E="BEEF", 16000,IF($E:$E="BEEF FILLET", 30000, IF($E:$E="PLAIN YOGHURT", 4000, IF($E:$E="DOG MEAT", 4000, IF($E:$E="BEEF SAUSAGES", 30000,IF($E:$E="GOAT", 19000, "")))))))))))))))))))))))</f>
        <v>2000</v>
      </c>
      <c r="G205" s="16">
        <f t="shared" si="4"/>
        <v>6000</v>
      </c>
    </row>
    <row r="206" spans="1:7" x14ac:dyDescent="0.25">
      <c r="A206" s="33" t="s">
        <v>295</v>
      </c>
      <c r="B206" s="45" t="s">
        <v>335</v>
      </c>
      <c r="C206" s="7">
        <v>9</v>
      </c>
      <c r="D206" s="28">
        <v>3.4</v>
      </c>
      <c r="E206" s="36" t="s">
        <v>56</v>
      </c>
      <c r="F206" s="12">
        <v>1500</v>
      </c>
      <c r="G206" s="16">
        <f t="shared" si="4"/>
        <v>5100</v>
      </c>
    </row>
    <row r="207" spans="1:7" x14ac:dyDescent="0.25">
      <c r="A207" s="33" t="s">
        <v>295</v>
      </c>
      <c r="B207" s="45" t="s">
        <v>335</v>
      </c>
      <c r="C207" s="7">
        <v>10</v>
      </c>
      <c r="D207" s="28">
        <v>1.4</v>
      </c>
      <c r="E207" s="36" t="s">
        <v>56</v>
      </c>
      <c r="F207" s="12">
        <v>1500</v>
      </c>
      <c r="G207" s="16">
        <f t="shared" si="4"/>
        <v>2100</v>
      </c>
    </row>
    <row r="208" spans="1:7" x14ac:dyDescent="0.25">
      <c r="A208" s="33" t="s">
        <v>295</v>
      </c>
      <c r="B208" s="45" t="s">
        <v>335</v>
      </c>
      <c r="C208" s="7">
        <v>11</v>
      </c>
      <c r="D208" s="28">
        <v>1</v>
      </c>
      <c r="E208" s="36" t="s">
        <v>59</v>
      </c>
      <c r="F208" s="10">
        <f>IF($E:$E="MATOOKE KGS", 1500, IF($E:$E="MINCED BEEF", 22000, IF($E:$E="DOG BONES", 4000, IF($E:$E="DOG MINCE", 5000,IF($E:$E="ZIP LOCKS",30000, IF($E:$E="BONELESS BEEF", 22000, IF($E:$E="SAUSAGES", 30000, IF($E:$E="MARINATED CHICKEN", 25000, IF($E:$E="MARINATED GOAT LEG", 28000, IF($E:$E="TOMATOES", 3000,  IF($E:$E="CHICKEN", 30000, IF($E:$E="LOCAL EGGS", 25000,  IF($E:$E="IRISH", 3000, IF($E:$E="MILK", 2000, IF($E:$E="ONIONS", 6000, IF($E:$E="YELLOW YOLK EGGS", 20000, IF($E:$E="AVOCADO", 1000, IF($E:$E="BEEF", 16000,IF($E:$E="BEEF FILLET", 30000, IF($E:$E="PLAIN YOGHURT", 4000, IF($E:$E="DOG MEAT", 4000, IF($E:$E="BEEF SAUSAGES", 30000,IF($E:$E="GOAT", 19000, "")))))))))))))))))))))))</f>
        <v>2000</v>
      </c>
      <c r="G208" s="16">
        <f t="shared" si="4"/>
        <v>2000</v>
      </c>
    </row>
    <row r="209" spans="1:7" x14ac:dyDescent="0.25">
      <c r="A209" s="33" t="s">
        <v>295</v>
      </c>
      <c r="B209" s="45" t="s">
        <v>335</v>
      </c>
      <c r="C209" s="7">
        <v>12</v>
      </c>
      <c r="D209" s="28">
        <v>0.5</v>
      </c>
      <c r="E209" s="35" t="s">
        <v>9</v>
      </c>
      <c r="F209" s="17">
        <f>IF($E:$E="MATOOKE KGS", 1500, IF($E:$E="MINCED BEEF", 22000, IF($E:$E="DOG BONES", 4000, IF($E:$E="DOG MINCE", 5000,IF($E:$E="ZIP LOCKS",30000, IF($E:$E="BONELESS BEEF", 22000, IF($E:$E="SAUSAGES", 30000, IF($E:$E="MARINATED CHICKEN", 25000, IF($E:$E="MARINATED GOAT LEG", 28000, IF($E:$E="TOMATOES", 3000,  IF($E:$E="CHICKEN", 30000, IF($E:$E="LOCAL EGGS", 25000,  IF($E:$E="IRISH", 3000, IF($E:$E="MILK", 2000, IF($E:$E="ONIONS", 6000, IF($E:$E="YELLOW YOLK EGGS", 20000, IF($E:$E="AVOCADO", 1000, IF($E:$E="BEEF", 16000,IF($E:$E="BEEF FILLET", 30000, IF($E:$E="PLAIN YOGHURT", 4000, IF($E:$E="DOG MEAT", 4000, IF($E:$E="BEEF SAUSAGES", 30000,IF($E:$E="GOAT", 19000, "")))))))))))))))))))))))</f>
        <v>16000</v>
      </c>
      <c r="G209" s="16">
        <f t="shared" si="4"/>
        <v>8000</v>
      </c>
    </row>
    <row r="210" spans="1:7" x14ac:dyDescent="0.25">
      <c r="A210" s="33" t="s">
        <v>295</v>
      </c>
      <c r="B210" s="45" t="s">
        <v>335</v>
      </c>
      <c r="C210" s="7">
        <v>13</v>
      </c>
      <c r="D210" s="28">
        <v>2</v>
      </c>
      <c r="E210" s="36" t="s">
        <v>56</v>
      </c>
      <c r="F210" s="12">
        <v>1500</v>
      </c>
      <c r="G210" s="16">
        <f t="shared" si="4"/>
        <v>3000</v>
      </c>
    </row>
    <row r="211" spans="1:7" x14ac:dyDescent="0.25">
      <c r="A211" s="33" t="s">
        <v>295</v>
      </c>
      <c r="B211" s="45" t="s">
        <v>335</v>
      </c>
      <c r="C211" s="7">
        <v>14</v>
      </c>
      <c r="D211" s="28">
        <v>1</v>
      </c>
      <c r="E211" s="35" t="s">
        <v>52</v>
      </c>
      <c r="F211" s="12">
        <v>10000</v>
      </c>
      <c r="G211" s="16">
        <f t="shared" si="4"/>
        <v>10000</v>
      </c>
    </row>
    <row r="212" spans="1:7" x14ac:dyDescent="0.25">
      <c r="A212" s="33" t="s">
        <v>295</v>
      </c>
      <c r="B212" s="45" t="s">
        <v>335</v>
      </c>
      <c r="C212" s="7">
        <v>15</v>
      </c>
      <c r="D212" s="28">
        <v>0.5</v>
      </c>
      <c r="E212" s="36" t="s">
        <v>59</v>
      </c>
      <c r="F212" s="10">
        <f>IF($E:$E="MATOOKE KGS", 1500, IF($E:$E="MINCED BEEF", 22000, IF($E:$E="DOG BONES", 4000, IF($E:$E="DOG MINCE", 5000,IF($E:$E="ZIP LOCKS",30000, IF($E:$E="BONELESS BEEF", 22000, IF($E:$E="SAUSAGES", 30000, IF($E:$E="MARINATED CHICKEN", 25000, IF($E:$E="MARINATED GOAT LEG", 28000, IF($E:$E="TOMATOES", 3000,  IF($E:$E="CHICKEN", 30000, IF($E:$E="LOCAL EGGS", 25000,  IF($E:$E="IRISH", 3000, IF($E:$E="MILK", 2000, IF($E:$E="ONIONS", 6000, IF($E:$E="YELLOW YOLK EGGS", 20000, IF($E:$E="AVOCADO", 1000, IF($E:$E="BEEF", 16000,IF($E:$E="BEEF FILLET", 30000, IF($E:$E="PLAIN YOGHURT", 4000, IF($E:$E="DOG MEAT", 4000, IF($E:$E="BEEF SAUSAGES", 30000,IF($E:$E="GOAT", 19000, "")))))))))))))))))))))))</f>
        <v>2000</v>
      </c>
      <c r="G212" s="16">
        <f t="shared" si="4"/>
        <v>1000</v>
      </c>
    </row>
    <row r="213" spans="1:7" x14ac:dyDescent="0.25">
      <c r="A213" s="33" t="s">
        <v>295</v>
      </c>
      <c r="B213" s="45" t="s">
        <v>335</v>
      </c>
      <c r="C213" s="7">
        <v>16</v>
      </c>
      <c r="D213" s="28">
        <v>4.7</v>
      </c>
      <c r="E213" s="36" t="s">
        <v>56</v>
      </c>
      <c r="F213" s="12">
        <v>1500</v>
      </c>
      <c r="G213" s="16">
        <f t="shared" si="4"/>
        <v>7050</v>
      </c>
    </row>
    <row r="214" spans="1:7" x14ac:dyDescent="0.25">
      <c r="A214" s="33" t="s">
        <v>295</v>
      </c>
      <c r="B214" s="45" t="s">
        <v>335</v>
      </c>
      <c r="C214" s="7">
        <v>17</v>
      </c>
      <c r="D214" s="28">
        <v>2</v>
      </c>
      <c r="E214" s="36" t="s">
        <v>36</v>
      </c>
      <c r="F214" s="12">
        <v>7500</v>
      </c>
      <c r="G214" s="16">
        <f t="shared" si="4"/>
        <v>15000</v>
      </c>
    </row>
    <row r="215" spans="1:7" x14ac:dyDescent="0.25">
      <c r="A215" s="33" t="s">
        <v>295</v>
      </c>
      <c r="B215" s="45" t="s">
        <v>335</v>
      </c>
      <c r="C215" s="7">
        <v>18</v>
      </c>
      <c r="D215" s="28">
        <v>2</v>
      </c>
      <c r="E215" s="36" t="s">
        <v>56</v>
      </c>
      <c r="F215" s="12">
        <v>1500</v>
      </c>
      <c r="G215" s="16">
        <f t="shared" si="4"/>
        <v>3000</v>
      </c>
    </row>
    <row r="216" spans="1:7" x14ac:dyDescent="0.25">
      <c r="A216" s="33" t="s">
        <v>295</v>
      </c>
      <c r="B216" s="45" t="s">
        <v>335</v>
      </c>
      <c r="C216" s="7">
        <v>19</v>
      </c>
      <c r="D216" s="28">
        <v>2.7</v>
      </c>
      <c r="E216" s="36" t="s">
        <v>56</v>
      </c>
      <c r="F216" s="12">
        <v>1500</v>
      </c>
      <c r="G216" s="16">
        <f t="shared" si="4"/>
        <v>4050.0000000000005</v>
      </c>
    </row>
    <row r="217" spans="1:7" x14ac:dyDescent="0.25">
      <c r="A217" s="33" t="s">
        <v>295</v>
      </c>
      <c r="B217" s="45" t="s">
        <v>335</v>
      </c>
      <c r="C217" s="7">
        <v>20</v>
      </c>
      <c r="D217" s="28">
        <v>2</v>
      </c>
      <c r="E217" s="36" t="s">
        <v>56</v>
      </c>
      <c r="F217" s="12">
        <v>1500</v>
      </c>
      <c r="G217" s="16">
        <f t="shared" si="4"/>
        <v>3000</v>
      </c>
    </row>
    <row r="218" spans="1:7" x14ac:dyDescent="0.25">
      <c r="A218" s="33" t="s">
        <v>295</v>
      </c>
      <c r="B218" s="45" t="s">
        <v>335</v>
      </c>
      <c r="C218" s="7">
        <v>21</v>
      </c>
      <c r="D218" s="28">
        <v>1</v>
      </c>
      <c r="E218" s="36" t="s">
        <v>20</v>
      </c>
      <c r="F218" s="12">
        <v>30000</v>
      </c>
      <c r="G218" s="16">
        <f t="shared" si="4"/>
        <v>30000</v>
      </c>
    </row>
    <row r="219" spans="1:7" x14ac:dyDescent="0.25">
      <c r="A219" s="33" t="s">
        <v>295</v>
      </c>
      <c r="B219" s="45" t="s">
        <v>335</v>
      </c>
      <c r="C219" s="7">
        <v>22</v>
      </c>
      <c r="D219" s="28">
        <v>1</v>
      </c>
      <c r="E219" s="36" t="s">
        <v>36</v>
      </c>
      <c r="F219" s="12">
        <v>5000</v>
      </c>
      <c r="G219" s="16">
        <f t="shared" si="4"/>
        <v>5000</v>
      </c>
    </row>
    <row r="220" spans="1:7" x14ac:dyDescent="0.25">
      <c r="A220" s="33" t="s">
        <v>295</v>
      </c>
      <c r="B220" s="45" t="s">
        <v>335</v>
      </c>
      <c r="C220" s="7">
        <v>23</v>
      </c>
      <c r="D220" s="28">
        <v>2</v>
      </c>
      <c r="E220" s="36" t="s">
        <v>56</v>
      </c>
      <c r="F220" s="12">
        <v>1500</v>
      </c>
      <c r="G220" s="16">
        <f t="shared" si="4"/>
        <v>3000</v>
      </c>
    </row>
    <row r="221" spans="1:7" x14ac:dyDescent="0.25">
      <c r="A221" s="33" t="s">
        <v>295</v>
      </c>
      <c r="B221" s="45" t="s">
        <v>335</v>
      </c>
      <c r="C221" s="7">
        <v>24</v>
      </c>
      <c r="D221" s="28">
        <v>2</v>
      </c>
      <c r="E221" s="35" t="s">
        <v>21</v>
      </c>
      <c r="F221" s="12">
        <v>4000</v>
      </c>
      <c r="G221" s="16">
        <f t="shared" si="4"/>
        <v>8000</v>
      </c>
    </row>
    <row r="222" spans="1:7" x14ac:dyDescent="0.25">
      <c r="A222" s="33" t="s">
        <v>295</v>
      </c>
      <c r="B222" s="45" t="s">
        <v>335</v>
      </c>
      <c r="C222" s="7">
        <v>25</v>
      </c>
      <c r="D222" s="28">
        <v>2</v>
      </c>
      <c r="E222" s="35" t="s">
        <v>52</v>
      </c>
      <c r="F222" s="12">
        <v>10000</v>
      </c>
      <c r="G222" s="16">
        <f t="shared" si="4"/>
        <v>20000</v>
      </c>
    </row>
    <row r="223" spans="1:7" x14ac:dyDescent="0.25">
      <c r="A223" s="33" t="s">
        <v>295</v>
      </c>
      <c r="B223" s="45" t="s">
        <v>335</v>
      </c>
      <c r="C223" s="7">
        <v>26</v>
      </c>
      <c r="D223" s="28">
        <v>2</v>
      </c>
      <c r="E223" s="35" t="s">
        <v>56</v>
      </c>
      <c r="F223" s="10">
        <f>IF($E:$E="MATOOKE KGS", 1500, IF($E:$E="SAUSAGES", 30000, IF($E:$E="MILK", 2000, IF($E:$E="YELLOW YOLK EGGS", 20000, IF($E:$E="AVOCADO", 1000, IF($E:$E="BEEF", 16000, IF($E:$E="PLAIN YOGHURT", 4000, "")))))))</f>
        <v>1500</v>
      </c>
      <c r="G223" s="16">
        <f t="shared" si="4"/>
        <v>3000</v>
      </c>
    </row>
    <row r="224" spans="1:7" x14ac:dyDescent="0.25">
      <c r="A224" s="33" t="s">
        <v>295</v>
      </c>
      <c r="B224" s="45" t="s">
        <v>335</v>
      </c>
      <c r="C224" s="7">
        <v>27</v>
      </c>
      <c r="D224" s="28">
        <v>2</v>
      </c>
      <c r="E224" s="35" t="s">
        <v>70</v>
      </c>
      <c r="F224" s="10">
        <f>IF($E:$E="MATOOKE KGS", 1500, IF($E:$E="SAUSAGES", 30000, IF($E:$E="MILK", 2000, IF($E:$E="YELLOW YOLK EGGS", 20000, IF($E:$E="AVOCADO", 1000, IF($E:$E="BEEF", 16000, IF($E:$E="PLAIN YOGHURT", 4000, "")))))))</f>
        <v>30000</v>
      </c>
      <c r="G224" s="16">
        <f t="shared" si="4"/>
        <v>60000</v>
      </c>
    </row>
    <row r="225" spans="1:7" x14ac:dyDescent="0.25">
      <c r="A225" s="33" t="s">
        <v>295</v>
      </c>
      <c r="B225" s="45" t="s">
        <v>335</v>
      </c>
      <c r="C225" s="7">
        <v>28</v>
      </c>
      <c r="D225" s="28">
        <v>1</v>
      </c>
      <c r="E225" s="35" t="s">
        <v>11</v>
      </c>
      <c r="F225" s="10">
        <v>30000</v>
      </c>
      <c r="G225" s="16">
        <f t="shared" si="4"/>
        <v>30000</v>
      </c>
    </row>
    <row r="226" spans="1:7" x14ac:dyDescent="0.25">
      <c r="A226" s="33" t="s">
        <v>295</v>
      </c>
      <c r="B226" s="45" t="s">
        <v>335</v>
      </c>
      <c r="C226" s="7">
        <v>29</v>
      </c>
      <c r="D226" s="28">
        <v>1</v>
      </c>
      <c r="E226" s="35" t="s">
        <v>36</v>
      </c>
      <c r="F226" s="10">
        <v>5000</v>
      </c>
      <c r="G226" s="16">
        <f t="shared" si="4"/>
        <v>5000</v>
      </c>
    </row>
    <row r="227" spans="1:7" x14ac:dyDescent="0.25">
      <c r="A227" s="33" t="s">
        <v>295</v>
      </c>
      <c r="B227" s="45" t="s">
        <v>335</v>
      </c>
      <c r="C227" s="7">
        <v>30</v>
      </c>
      <c r="D227" s="28">
        <v>4</v>
      </c>
      <c r="E227" s="35" t="s">
        <v>21</v>
      </c>
      <c r="F227" s="10">
        <v>4000</v>
      </c>
      <c r="G227" s="16">
        <f t="shared" si="4"/>
        <v>16000</v>
      </c>
    </row>
    <row r="228" spans="1:7" x14ac:dyDescent="0.25">
      <c r="A228" s="33" t="s">
        <v>295</v>
      </c>
      <c r="B228" s="45" t="s">
        <v>335</v>
      </c>
      <c r="C228" s="7">
        <v>31</v>
      </c>
      <c r="D228" s="28">
        <v>1</v>
      </c>
      <c r="E228" s="35" t="s">
        <v>28</v>
      </c>
      <c r="F228" s="10">
        <v>10000</v>
      </c>
      <c r="G228" s="16">
        <f t="shared" si="4"/>
        <v>10000</v>
      </c>
    </row>
    <row r="229" spans="1:7" x14ac:dyDescent="0.25">
      <c r="A229" s="33" t="s">
        <v>295</v>
      </c>
      <c r="B229" s="45" t="s">
        <v>335</v>
      </c>
      <c r="C229" s="7">
        <v>32</v>
      </c>
      <c r="D229" s="28">
        <v>2</v>
      </c>
      <c r="E229" s="35" t="s">
        <v>52</v>
      </c>
      <c r="F229" s="10">
        <v>10000</v>
      </c>
      <c r="G229" s="16">
        <f t="shared" si="4"/>
        <v>20000</v>
      </c>
    </row>
    <row r="230" spans="1:7" x14ac:dyDescent="0.25">
      <c r="A230" s="33" t="s">
        <v>295</v>
      </c>
      <c r="B230" s="45" t="s">
        <v>335</v>
      </c>
      <c r="C230" s="7">
        <v>33</v>
      </c>
      <c r="D230" s="28">
        <v>2</v>
      </c>
      <c r="E230" s="35" t="s">
        <v>25</v>
      </c>
      <c r="F230" s="10">
        <v>5000</v>
      </c>
      <c r="G230" s="16">
        <f t="shared" si="4"/>
        <v>10000</v>
      </c>
    </row>
    <row r="231" spans="1:7" x14ac:dyDescent="0.25">
      <c r="A231" s="33" t="s">
        <v>295</v>
      </c>
      <c r="B231" s="45" t="s">
        <v>335</v>
      </c>
      <c r="C231" s="7">
        <v>34</v>
      </c>
      <c r="D231" s="28">
        <v>2</v>
      </c>
      <c r="E231" s="35" t="s">
        <v>21</v>
      </c>
      <c r="F231" s="10">
        <v>4000</v>
      </c>
      <c r="G231" s="16">
        <f t="shared" si="4"/>
        <v>8000</v>
      </c>
    </row>
    <row r="232" spans="1:7" x14ac:dyDescent="0.25">
      <c r="A232" s="33" t="s">
        <v>295</v>
      </c>
      <c r="B232" s="45" t="s">
        <v>335</v>
      </c>
      <c r="C232" s="7">
        <v>35</v>
      </c>
      <c r="D232" s="28">
        <v>2</v>
      </c>
      <c r="E232" s="35" t="s">
        <v>56</v>
      </c>
      <c r="F232" s="10">
        <f>IF($E:$E="MATOOKE KGS", 1500, IF($E:$E="SAUSAGES", 30000, IF($E:$E="MILK", 2000, IF($E:$E="YELLOW YOLK EGGS", 20000, IF($E:$E="AVOCADO", 1000, IF($E:$E="BEEF", 16000, IF($E:$E="PLAIN YOGHURT", 4000, "")))))))</f>
        <v>1500</v>
      </c>
      <c r="G232" s="16">
        <f t="shared" si="4"/>
        <v>3000</v>
      </c>
    </row>
    <row r="233" spans="1:7" x14ac:dyDescent="0.25">
      <c r="A233" s="33" t="s">
        <v>295</v>
      </c>
      <c r="B233" s="45" t="s">
        <v>335</v>
      </c>
      <c r="C233" s="7">
        <v>36</v>
      </c>
      <c r="D233" s="28">
        <v>1</v>
      </c>
      <c r="E233" s="35" t="s">
        <v>27</v>
      </c>
      <c r="F233" s="10">
        <v>25000</v>
      </c>
      <c r="G233" s="16">
        <f t="shared" si="4"/>
        <v>25000</v>
      </c>
    </row>
    <row r="234" spans="1:7" x14ac:dyDescent="0.25">
      <c r="A234" s="33" t="s">
        <v>295</v>
      </c>
      <c r="B234" s="45" t="s">
        <v>335</v>
      </c>
      <c r="C234" s="7">
        <v>37</v>
      </c>
      <c r="D234" s="28">
        <v>1</v>
      </c>
      <c r="E234" s="35" t="s">
        <v>36</v>
      </c>
      <c r="F234" s="10">
        <v>7000</v>
      </c>
      <c r="G234" s="16">
        <f t="shared" si="4"/>
        <v>7000</v>
      </c>
    </row>
    <row r="235" spans="1:7" x14ac:dyDescent="0.25">
      <c r="A235" s="33" t="s">
        <v>295</v>
      </c>
      <c r="B235" s="45" t="s">
        <v>335</v>
      </c>
      <c r="C235" s="7">
        <v>38</v>
      </c>
      <c r="D235" s="28">
        <v>2</v>
      </c>
      <c r="E235" s="35" t="s">
        <v>56</v>
      </c>
      <c r="F235" s="10">
        <v>1500</v>
      </c>
      <c r="G235" s="16">
        <f t="shared" si="4"/>
        <v>3000</v>
      </c>
    </row>
    <row r="236" spans="1:7" x14ac:dyDescent="0.25">
      <c r="A236" s="33" t="s">
        <v>295</v>
      </c>
      <c r="B236" s="45" t="s">
        <v>335</v>
      </c>
      <c r="C236" s="7">
        <v>39</v>
      </c>
      <c r="D236" s="28">
        <v>1</v>
      </c>
      <c r="E236" s="35" t="s">
        <v>44</v>
      </c>
      <c r="F236" s="17">
        <v>25000</v>
      </c>
      <c r="G236" s="16">
        <f t="shared" si="4"/>
        <v>25000</v>
      </c>
    </row>
    <row r="237" spans="1:7" x14ac:dyDescent="0.25">
      <c r="A237" s="33" t="s">
        <v>295</v>
      </c>
      <c r="B237" s="45" t="s">
        <v>335</v>
      </c>
      <c r="C237" s="7">
        <v>40</v>
      </c>
      <c r="D237" s="28">
        <v>6.7</v>
      </c>
      <c r="E237" s="35" t="s">
        <v>56</v>
      </c>
      <c r="F237" s="10">
        <v>1500</v>
      </c>
      <c r="G237" s="16">
        <f t="shared" si="4"/>
        <v>10050</v>
      </c>
    </row>
    <row r="238" spans="1:7" x14ac:dyDescent="0.25">
      <c r="A238" s="33" t="s">
        <v>295</v>
      </c>
      <c r="B238" s="45" t="s">
        <v>335</v>
      </c>
      <c r="C238" s="7">
        <v>43</v>
      </c>
      <c r="D238" s="28">
        <v>2</v>
      </c>
      <c r="E238" s="35" t="s">
        <v>56</v>
      </c>
      <c r="F238" s="10">
        <v>1500</v>
      </c>
      <c r="G238" s="16">
        <f t="shared" si="4"/>
        <v>3000</v>
      </c>
    </row>
    <row r="239" spans="1:7" x14ac:dyDescent="0.25">
      <c r="A239" s="33" t="s">
        <v>295</v>
      </c>
      <c r="B239" s="45" t="s">
        <v>335</v>
      </c>
      <c r="C239" s="7">
        <v>44</v>
      </c>
      <c r="D239" s="28">
        <v>1</v>
      </c>
      <c r="E239" s="35" t="s">
        <v>59</v>
      </c>
      <c r="F239" s="10">
        <f>IF($E:$E="MATOOKE KGS", 1500, IF($E:$E="MINCED BEEF", 22000, IF($E:$E="DOG BONES", 4000, IF($E:$E="DOG MINCE", 5000,IF($E:$E="ZIP LOCKS",30000, IF($E:$E="BONELESS BEEF", 22000, IF($E:$E="SAUSAGES", 30000, IF($E:$E="MARINATED CHICKEN", 25000, IF($E:$E="MARINATED GOAT LEG", 28000, IF($E:$E="TOMATOES", 3000,  IF($E:$E="CHICKEN", 30000, IF($E:$E="LOCAL EGGS", 25000,  IF($E:$E="IRISH", 3000, IF($E:$E="MILK", 2000, IF($E:$E="ONIONS", 6000, IF($E:$E="YELLOW YOLK EGGS", 20000, IF($E:$E="AVOCADO", 1000, IF($E:$E="BEEF", 16000,IF($E:$E="BEEF FILLET", 30000, IF($E:$E="PLAIN YOGHURT", 4000, IF($E:$E="DOG MEAT", 4000, IF($E:$E="BEEF SAUSAGES", 30000,IF($E:$E="GOAT", 19000, "")))))))))))))))))))))))</f>
        <v>2000</v>
      </c>
      <c r="G239" s="16">
        <f t="shared" si="4"/>
        <v>2000</v>
      </c>
    </row>
    <row r="240" spans="1:7" x14ac:dyDescent="0.25">
      <c r="A240" s="33" t="s">
        <v>295</v>
      </c>
      <c r="B240" s="45" t="s">
        <v>335</v>
      </c>
      <c r="C240" s="7">
        <v>45</v>
      </c>
      <c r="D240" s="28">
        <v>1</v>
      </c>
      <c r="E240" s="35" t="s">
        <v>21</v>
      </c>
      <c r="F240" s="10">
        <v>4000</v>
      </c>
      <c r="G240" s="16">
        <f t="shared" si="4"/>
        <v>4000</v>
      </c>
    </row>
    <row r="241" spans="1:7" x14ac:dyDescent="0.25">
      <c r="A241" s="33" t="s">
        <v>295</v>
      </c>
      <c r="B241" s="45" t="s">
        <v>335</v>
      </c>
      <c r="C241" s="7">
        <v>46</v>
      </c>
      <c r="D241" s="28">
        <v>1</v>
      </c>
      <c r="E241" s="35" t="s">
        <v>52</v>
      </c>
      <c r="F241" s="10">
        <v>8000</v>
      </c>
      <c r="G241" s="16">
        <f t="shared" si="4"/>
        <v>8000</v>
      </c>
    </row>
    <row r="242" spans="1:7" x14ac:dyDescent="0.25">
      <c r="A242" s="33" t="s">
        <v>295</v>
      </c>
      <c r="B242" s="45" t="s">
        <v>335</v>
      </c>
      <c r="C242" s="7">
        <v>47</v>
      </c>
      <c r="D242" s="28">
        <v>1</v>
      </c>
      <c r="E242" s="35" t="s">
        <v>36</v>
      </c>
      <c r="F242" s="10">
        <v>5000</v>
      </c>
      <c r="G242" s="16">
        <f t="shared" si="4"/>
        <v>5000</v>
      </c>
    </row>
    <row r="243" spans="1:7" x14ac:dyDescent="0.25">
      <c r="A243" s="33" t="s">
        <v>296</v>
      </c>
      <c r="B243" s="45" t="s">
        <v>329</v>
      </c>
      <c r="C243" s="7">
        <v>48</v>
      </c>
      <c r="D243" s="28">
        <v>1</v>
      </c>
      <c r="E243" s="35" t="s">
        <v>59</v>
      </c>
      <c r="F243" s="10">
        <f>IF($E:$E="MATOOKE KGS", 1500, IF($E:$E="MINCED BEEF", 22000, IF($E:$E="DOG BONES", 4000, IF($E:$E="DOG MINCE", 5000,IF($E:$E="ZIP LOCKS",30000, IF($E:$E="BONELESS BEEF", 22000, IF($E:$E="SAUSAGES", 30000, IF($E:$E="MARINATED CHICKEN", 25000, IF($E:$E="MARINATED GOAT LEG", 28000, IF($E:$E="TOMATOES", 3000,  IF($E:$E="CHICKEN", 30000, IF($E:$E="LOCAL EGGS", 25000,  IF($E:$E="IRISH", 3000, IF($E:$E="MILK", 2000, IF($E:$E="ONIONS", 6000, IF($E:$E="YELLOW YOLK EGGS", 20000, IF($E:$E="AVOCADO", 1000, IF($E:$E="BEEF", 16000,IF($E:$E="BEEF FILLET", 30000, IF($E:$E="PLAIN YOGHURT", 4000, IF($E:$E="DOG MEAT", 4000, IF($E:$E="BEEF SAUSAGES", 30000,IF($E:$E="GOAT", 19000, "")))))))))))))))))))))))</f>
        <v>2000</v>
      </c>
      <c r="G243" s="16">
        <f t="shared" si="4"/>
        <v>2000</v>
      </c>
    </row>
    <row r="244" spans="1:7" x14ac:dyDescent="0.25">
      <c r="A244" s="33" t="s">
        <v>296</v>
      </c>
      <c r="B244" s="45" t="s">
        <v>329</v>
      </c>
      <c r="C244" s="7">
        <v>50</v>
      </c>
      <c r="D244" s="28">
        <v>1</v>
      </c>
      <c r="E244" s="35" t="s">
        <v>56</v>
      </c>
      <c r="F244" s="10">
        <v>1500</v>
      </c>
      <c r="G244" s="16">
        <f t="shared" si="4"/>
        <v>1500</v>
      </c>
    </row>
    <row r="245" spans="1:7" x14ac:dyDescent="0.25">
      <c r="A245" s="33" t="s">
        <v>296</v>
      </c>
      <c r="B245" s="45" t="s">
        <v>329</v>
      </c>
      <c r="C245" s="23">
        <v>1</v>
      </c>
      <c r="D245" s="28">
        <v>1</v>
      </c>
      <c r="E245" s="35" t="s">
        <v>52</v>
      </c>
      <c r="F245" s="24">
        <v>10000</v>
      </c>
      <c r="G245" s="16">
        <f t="shared" si="4"/>
        <v>10000</v>
      </c>
    </row>
    <row r="246" spans="1:7" x14ac:dyDescent="0.25">
      <c r="A246" s="33" t="s">
        <v>296</v>
      </c>
      <c r="B246" s="45" t="s">
        <v>329</v>
      </c>
      <c r="C246" s="7">
        <v>2</v>
      </c>
      <c r="D246" s="28">
        <v>1</v>
      </c>
      <c r="E246" s="35" t="s">
        <v>29</v>
      </c>
      <c r="F246" s="12">
        <v>20000</v>
      </c>
      <c r="G246" s="16">
        <f t="shared" si="4"/>
        <v>20000</v>
      </c>
    </row>
    <row r="247" spans="1:7" x14ac:dyDescent="0.25">
      <c r="A247" s="33" t="s">
        <v>296</v>
      </c>
      <c r="B247" s="45" t="s">
        <v>329</v>
      </c>
      <c r="C247" s="7">
        <v>3</v>
      </c>
      <c r="D247" s="28">
        <v>3.4</v>
      </c>
      <c r="E247" s="36" t="s">
        <v>56</v>
      </c>
      <c r="F247" s="12">
        <v>1500</v>
      </c>
      <c r="G247" s="16">
        <f t="shared" si="4"/>
        <v>5100</v>
      </c>
    </row>
    <row r="248" spans="1:7" x14ac:dyDescent="0.25">
      <c r="A248" s="33" t="s">
        <v>296</v>
      </c>
      <c r="B248" s="45" t="s">
        <v>329</v>
      </c>
      <c r="C248" s="7">
        <v>4</v>
      </c>
      <c r="D248" s="28">
        <v>2</v>
      </c>
      <c r="E248" s="36" t="s">
        <v>59</v>
      </c>
      <c r="F248" s="10">
        <f>IF($E:$E="MATOOKE KGS", 1500, IF($E:$E="MINCED BEEF", 22000, IF($E:$E="DOG BONES", 4000, IF($E:$E="DOG MINCE", 5000,IF($E:$E="ZIP LOCKS",30000, IF($E:$E="BONELESS BEEF", 22000, IF($E:$E="SAUSAGES", 30000, IF($E:$E="MARINATED CHICKEN", 25000, IF($E:$E="MARINATED GOAT LEG", 28000, IF($E:$E="TOMATOES", 3000,  IF($E:$E="CHICKEN", 30000, IF($E:$E="LOCAL EGGS", 25000,  IF($E:$E="IRISH", 3000, IF($E:$E="MILK", 2000, IF($E:$E="ONIONS", 6000, IF($E:$E="YELLOW YOLK EGGS", 20000, IF($E:$E="AVOCADO", 1000, IF($E:$E="BEEF", 16000,IF($E:$E="BEEF FILLET", 30000, IF($E:$E="PLAIN YOGHURT", 4000, IF($E:$E="DOG MEAT", 4000, IF($E:$E="BEEF SAUSAGES", 30000,IF($E:$E="GOAT", 19000, "")))))))))))))))))))))))</f>
        <v>2000</v>
      </c>
      <c r="G248" s="16">
        <f t="shared" si="4"/>
        <v>4000</v>
      </c>
    </row>
    <row r="249" spans="1:7" x14ac:dyDescent="0.25">
      <c r="A249" s="33" t="s">
        <v>296</v>
      </c>
      <c r="B249" s="45" t="s">
        <v>329</v>
      </c>
      <c r="C249" s="7">
        <v>5</v>
      </c>
      <c r="D249" s="28">
        <v>2</v>
      </c>
      <c r="E249" s="36" t="s">
        <v>36</v>
      </c>
      <c r="F249" s="12">
        <v>5000</v>
      </c>
      <c r="G249" s="16">
        <f t="shared" si="4"/>
        <v>10000</v>
      </c>
    </row>
    <row r="250" spans="1:7" x14ac:dyDescent="0.25">
      <c r="A250" s="33" t="s">
        <v>296</v>
      </c>
      <c r="B250" s="45" t="s">
        <v>329</v>
      </c>
      <c r="C250" s="7">
        <v>6</v>
      </c>
      <c r="D250" s="28">
        <v>1</v>
      </c>
      <c r="E250" s="35" t="s">
        <v>52</v>
      </c>
      <c r="F250" s="12">
        <v>25000</v>
      </c>
      <c r="G250" s="16">
        <f t="shared" si="4"/>
        <v>25000</v>
      </c>
    </row>
    <row r="251" spans="1:7" x14ac:dyDescent="0.25">
      <c r="A251" s="33" t="s">
        <v>296</v>
      </c>
      <c r="B251" s="45" t="s">
        <v>329</v>
      </c>
      <c r="C251" s="7">
        <v>7</v>
      </c>
      <c r="D251" s="28">
        <v>1</v>
      </c>
      <c r="E251" s="35" t="s">
        <v>52</v>
      </c>
      <c r="F251" s="12">
        <v>15000</v>
      </c>
      <c r="G251" s="16">
        <f t="shared" si="4"/>
        <v>15000</v>
      </c>
    </row>
    <row r="252" spans="1:7" x14ac:dyDescent="0.25">
      <c r="A252" s="33" t="s">
        <v>296</v>
      </c>
      <c r="B252" s="45" t="s">
        <v>329</v>
      </c>
      <c r="C252" s="7">
        <v>8</v>
      </c>
      <c r="D252" s="28">
        <v>7.3</v>
      </c>
      <c r="E252" s="36" t="s">
        <v>56</v>
      </c>
      <c r="F252" s="12">
        <v>1500</v>
      </c>
      <c r="G252" s="16">
        <f t="shared" si="4"/>
        <v>10950</v>
      </c>
    </row>
    <row r="253" spans="1:7" x14ac:dyDescent="0.25">
      <c r="A253" s="33" t="s">
        <v>296</v>
      </c>
      <c r="B253" s="45" t="s">
        <v>329</v>
      </c>
      <c r="C253" s="7">
        <v>9</v>
      </c>
      <c r="D253" s="28">
        <v>1</v>
      </c>
      <c r="E253" s="36" t="s">
        <v>59</v>
      </c>
      <c r="F253" s="10">
        <f>IF($E:$E="MATOOKE KGS", 1500, IF($E:$E="MINCED BEEF", 22000, IF($E:$E="DOG BONES", 4000, IF($E:$E="DOG MINCE", 5000,IF($E:$E="ZIP LOCKS",30000, IF($E:$E="BONELESS BEEF", 22000, IF($E:$E="SAUSAGES", 30000, IF($E:$E="MARINATED CHICKEN", 25000, IF($E:$E="MARINATED GOAT LEG", 28000, IF($E:$E="TOMATOES", 3000,  IF($E:$E="CHICKEN", 30000, IF($E:$E="LOCAL EGGS", 25000,  IF($E:$E="IRISH", 3000, IF($E:$E="MILK", 2000, IF($E:$E="ONIONS", 6000, IF($E:$E="YELLOW YOLK EGGS", 20000, IF($E:$E="AVOCADO", 1000, IF($E:$E="BEEF", 16000,IF($E:$E="BEEF FILLET", 30000, IF($E:$E="PLAIN YOGHURT", 4000, IF($E:$E="DOG MEAT", 4000, IF($E:$E="BEEF SAUSAGES", 30000,IF($E:$E="GOAT", 19000, "")))))))))))))))))))))))</f>
        <v>2000</v>
      </c>
      <c r="G253" s="16">
        <f t="shared" si="4"/>
        <v>2000</v>
      </c>
    </row>
    <row r="254" spans="1:7" x14ac:dyDescent="0.25">
      <c r="A254" s="33" t="s">
        <v>296</v>
      </c>
      <c r="B254" s="45" t="s">
        <v>329</v>
      </c>
      <c r="C254" s="7">
        <v>10</v>
      </c>
      <c r="D254" s="28">
        <v>1</v>
      </c>
      <c r="E254" s="35" t="s">
        <v>9</v>
      </c>
      <c r="F254" s="17">
        <f>IF($E:$E="MATOOKE KGS", 1500, IF($E:$E="MINCED BEEF", 22000, IF($E:$E="DOG BONES", 4000, IF($E:$E="DOG MINCE", 5000,IF($E:$E="ZIP LOCKS",30000, IF($E:$E="BONELESS BEEF", 22000, IF($E:$E="SAUSAGES", 30000, IF($E:$E="MARINATED CHICKEN", 25000, IF($E:$E="MARINATED GOAT LEG", 28000, IF($E:$E="TOMATOES", 3000,  IF($E:$E="CHICKEN", 30000, IF($E:$E="LOCAL EGGS", 25000,  IF($E:$E="IRISH", 3000, IF($E:$E="MILK", 2000, IF($E:$E="ONIONS", 6000, IF($E:$E="YELLOW YOLK EGGS", 20000, IF($E:$E="AVOCADO", 1000, IF($E:$E="BEEF", 16000,IF($E:$E="BEEF FILLET", 30000, IF($E:$E="PLAIN YOGHURT", 4000, IF($E:$E="DOG MEAT", 4000, IF($E:$E="BEEF SAUSAGES", 30000,IF($E:$E="GOAT", 19000, "")))))))))))))))))))))))</f>
        <v>16000</v>
      </c>
      <c r="G254" s="16">
        <f t="shared" si="4"/>
        <v>16000</v>
      </c>
    </row>
    <row r="255" spans="1:7" x14ac:dyDescent="0.25">
      <c r="A255" s="33" t="s">
        <v>296</v>
      </c>
      <c r="B255" s="45" t="s">
        <v>329</v>
      </c>
      <c r="C255" s="7">
        <v>11</v>
      </c>
      <c r="D255" s="28">
        <v>2</v>
      </c>
      <c r="E255" s="36" t="s">
        <v>56</v>
      </c>
      <c r="F255" s="12">
        <v>1500</v>
      </c>
      <c r="G255" s="16">
        <f t="shared" si="4"/>
        <v>3000</v>
      </c>
    </row>
    <row r="256" spans="1:7" x14ac:dyDescent="0.25">
      <c r="A256" s="33" t="s">
        <v>296</v>
      </c>
      <c r="B256" s="45" t="s">
        <v>329</v>
      </c>
      <c r="C256" s="7">
        <v>12</v>
      </c>
      <c r="D256" s="28">
        <v>5.4</v>
      </c>
      <c r="E256" s="36" t="s">
        <v>56</v>
      </c>
      <c r="F256" s="12">
        <v>1500</v>
      </c>
      <c r="G256" s="16">
        <f t="shared" si="4"/>
        <v>8100.0000000000009</v>
      </c>
    </row>
    <row r="257" spans="1:7" x14ac:dyDescent="0.25">
      <c r="A257" s="33" t="s">
        <v>296</v>
      </c>
      <c r="B257" s="45" t="s">
        <v>329</v>
      </c>
      <c r="C257" s="7">
        <v>13</v>
      </c>
      <c r="D257" s="28">
        <v>2</v>
      </c>
      <c r="E257" s="35" t="s">
        <v>9</v>
      </c>
      <c r="F257" s="17">
        <f>IF($E:$E="MATOOKE KGS", 1500, IF($E:$E="MINCED BEEF", 22000, IF($E:$E="DOG BONES", 4000, IF($E:$E="DOG MINCE", 5000,IF($E:$E="ZIP LOCKS",30000, IF($E:$E="BONELESS BEEF", 22000, IF($E:$E="SAUSAGES", 30000, IF($E:$E="MARINATED CHICKEN", 25000, IF($E:$E="MARINATED GOAT LEG", 28000, IF($E:$E="TOMATOES", 3000,  IF($E:$E="CHICKEN", 30000, IF($E:$E="LOCAL EGGS", 25000,  IF($E:$E="IRISH", 3000, IF($E:$E="MILK", 2000, IF($E:$E="ONIONS", 6000, IF($E:$E="YELLOW YOLK EGGS", 20000, IF($E:$E="AVOCADO", 1000, IF($E:$E="BEEF", 16000,IF($E:$E="BEEF FILLET", 30000, IF($E:$E="PLAIN YOGHURT", 4000, IF($E:$E="DOG MEAT", 4000, IF($E:$E="BEEF SAUSAGES", 30000,IF($E:$E="GOAT", 19000, "")))))))))))))))))))))))</f>
        <v>16000</v>
      </c>
      <c r="G257" s="16">
        <f t="shared" si="4"/>
        <v>32000</v>
      </c>
    </row>
    <row r="258" spans="1:7" x14ac:dyDescent="0.25">
      <c r="A258" s="33" t="s">
        <v>296</v>
      </c>
      <c r="B258" s="45" t="s">
        <v>329</v>
      </c>
      <c r="C258" s="7">
        <v>14</v>
      </c>
      <c r="D258" s="28">
        <v>3</v>
      </c>
      <c r="E258" s="36" t="s">
        <v>8</v>
      </c>
      <c r="F258" s="12">
        <v>1000</v>
      </c>
      <c r="G258" s="16">
        <f t="shared" ref="G258:G321" si="5">(F258*D258)</f>
        <v>3000</v>
      </c>
    </row>
    <row r="259" spans="1:7" x14ac:dyDescent="0.25">
      <c r="A259" s="33" t="s">
        <v>296</v>
      </c>
      <c r="B259" s="45" t="s">
        <v>329</v>
      </c>
      <c r="C259" s="7">
        <v>15</v>
      </c>
      <c r="D259" s="28">
        <v>1</v>
      </c>
      <c r="E259" s="35" t="s">
        <v>52</v>
      </c>
      <c r="F259" s="12">
        <v>7000</v>
      </c>
      <c r="G259" s="16">
        <f t="shared" si="5"/>
        <v>7000</v>
      </c>
    </row>
    <row r="260" spans="1:7" x14ac:dyDescent="0.25">
      <c r="A260" s="33" t="s">
        <v>296</v>
      </c>
      <c r="B260" s="45" t="s">
        <v>329</v>
      </c>
      <c r="C260" s="7">
        <v>16</v>
      </c>
      <c r="D260" s="28">
        <v>1</v>
      </c>
      <c r="E260" s="35" t="s">
        <v>52</v>
      </c>
      <c r="F260" s="12">
        <v>7000</v>
      </c>
      <c r="G260" s="16">
        <f t="shared" si="5"/>
        <v>7000</v>
      </c>
    </row>
    <row r="261" spans="1:7" x14ac:dyDescent="0.25">
      <c r="A261" s="33" t="s">
        <v>296</v>
      </c>
      <c r="B261" s="45" t="s">
        <v>329</v>
      </c>
      <c r="C261" s="7">
        <v>17</v>
      </c>
      <c r="D261" s="28">
        <v>1</v>
      </c>
      <c r="E261" s="35" t="s">
        <v>52</v>
      </c>
      <c r="F261" s="12">
        <v>11000</v>
      </c>
      <c r="G261" s="16">
        <f t="shared" si="5"/>
        <v>11000</v>
      </c>
    </row>
    <row r="262" spans="1:7" x14ac:dyDescent="0.25">
      <c r="A262" s="33" t="s">
        <v>296</v>
      </c>
      <c r="B262" s="45" t="s">
        <v>329</v>
      </c>
      <c r="C262" s="7">
        <v>18</v>
      </c>
      <c r="D262" s="28">
        <v>1</v>
      </c>
      <c r="E262" s="35" t="s">
        <v>52</v>
      </c>
      <c r="F262" s="12">
        <v>11500</v>
      </c>
      <c r="G262" s="16">
        <f t="shared" si="5"/>
        <v>11500</v>
      </c>
    </row>
    <row r="263" spans="1:7" x14ac:dyDescent="0.25">
      <c r="A263" s="33" t="s">
        <v>296</v>
      </c>
      <c r="B263" s="45" t="s">
        <v>329</v>
      </c>
      <c r="C263" s="7">
        <v>19</v>
      </c>
      <c r="D263" s="28">
        <v>1</v>
      </c>
      <c r="E263" s="35" t="s">
        <v>75</v>
      </c>
      <c r="F263" s="10">
        <f>IF($E:$E="MATOOKE KGS", 1500, IF($E:$E="SAUSAGES", 30000, IF($E:$E="MARINATED CHICKEN", 25000, IF($E:$E="MARINATED GOAT LEG", 28000, IF($E:$E="TOMATOES", 3000,  IF($E:$E="CHICKEN", 30000, IF($E:$E="LOCAL EGGS", 25000,  IF($E:$E="IRISH", 3000, IF($E:$E="MILK", 2000, IF($E:$E="ONIONS", 6000, IF($E:$E="YELLOW YOLK EGGS", 20000, IF($E:$E="AVOCADO", 1000, IF($E:$E="BEEF", 16000, IF($E:$E="PLAIN YOGHURT", 4000, IF($E:$E="DOG MEAT", 4000, IF($E:$E="GOAT", 19000, ""))))))))))))))))</f>
        <v>20000</v>
      </c>
      <c r="G263" s="16">
        <f t="shared" si="5"/>
        <v>20000</v>
      </c>
    </row>
    <row r="264" spans="1:7" x14ac:dyDescent="0.25">
      <c r="A264" s="33" t="s">
        <v>296</v>
      </c>
      <c r="B264" s="45" t="s">
        <v>329</v>
      </c>
      <c r="C264" s="7">
        <v>20</v>
      </c>
      <c r="D264" s="28">
        <v>1</v>
      </c>
      <c r="E264" s="36" t="s">
        <v>61</v>
      </c>
      <c r="F264" s="12">
        <v>22000</v>
      </c>
      <c r="G264" s="16">
        <f t="shared" si="5"/>
        <v>22000</v>
      </c>
    </row>
    <row r="265" spans="1:7" x14ac:dyDescent="0.25">
      <c r="A265" s="33" t="s">
        <v>296</v>
      </c>
      <c r="B265" s="45" t="s">
        <v>329</v>
      </c>
      <c r="C265" s="7">
        <v>21</v>
      </c>
      <c r="D265" s="28">
        <v>1</v>
      </c>
      <c r="E265" s="36" t="s">
        <v>14</v>
      </c>
      <c r="F265" s="12">
        <v>22000</v>
      </c>
      <c r="G265" s="16">
        <f t="shared" si="5"/>
        <v>22000</v>
      </c>
    </row>
    <row r="266" spans="1:7" x14ac:dyDescent="0.25">
      <c r="A266" s="33" t="s">
        <v>296</v>
      </c>
      <c r="B266" s="45" t="s">
        <v>329</v>
      </c>
      <c r="C266" s="7">
        <v>22</v>
      </c>
      <c r="D266" s="28">
        <v>2</v>
      </c>
      <c r="E266" s="35" t="s">
        <v>21</v>
      </c>
      <c r="F266" s="12">
        <v>4000</v>
      </c>
      <c r="G266" s="16">
        <f t="shared" si="5"/>
        <v>8000</v>
      </c>
    </row>
    <row r="267" spans="1:7" x14ac:dyDescent="0.25">
      <c r="A267" s="33" t="s">
        <v>296</v>
      </c>
      <c r="B267" s="45" t="s">
        <v>329</v>
      </c>
      <c r="C267" s="7">
        <v>23</v>
      </c>
      <c r="D267" s="28">
        <v>2.2999999999999998</v>
      </c>
      <c r="E267" s="36" t="s">
        <v>56</v>
      </c>
      <c r="F267" s="12">
        <v>1500</v>
      </c>
      <c r="G267" s="16">
        <f t="shared" si="5"/>
        <v>3449.9999999999995</v>
      </c>
    </row>
    <row r="268" spans="1:7" x14ac:dyDescent="0.25">
      <c r="A268" s="33" t="s">
        <v>296</v>
      </c>
      <c r="B268" s="45" t="s">
        <v>329</v>
      </c>
      <c r="C268" s="7">
        <v>24</v>
      </c>
      <c r="D268" s="28">
        <v>1</v>
      </c>
      <c r="E268" s="36" t="s">
        <v>20</v>
      </c>
      <c r="F268" s="12">
        <v>30000</v>
      </c>
      <c r="G268" s="16">
        <f t="shared" si="5"/>
        <v>30000</v>
      </c>
    </row>
    <row r="269" spans="1:7" x14ac:dyDescent="0.25">
      <c r="A269" s="33" t="s">
        <v>296</v>
      </c>
      <c r="B269" s="45" t="s">
        <v>329</v>
      </c>
      <c r="C269" s="7">
        <v>25</v>
      </c>
      <c r="D269" s="28">
        <v>1</v>
      </c>
      <c r="E269" s="35" t="s">
        <v>9</v>
      </c>
      <c r="F269" s="17">
        <f>IF($E:$E="MATOOKE KGS", 1500, IF($E:$E="MINCED BEEF", 22000, IF($E:$E="DOG BONES", 4000, IF($E:$E="DOG MINCE", 5000,IF($E:$E="ZIP LOCKS",30000, IF($E:$E="BONELESS BEEF", 22000, IF($E:$E="SAUSAGES", 30000, IF($E:$E="MARINATED CHICKEN", 25000, IF($E:$E="MARINATED GOAT LEG", 28000, IF($E:$E="TOMATOES", 3000,  IF($E:$E="CHICKEN", 30000, IF($E:$E="LOCAL EGGS", 25000,  IF($E:$E="IRISH", 3000, IF($E:$E="MILK", 2000, IF($E:$E="ONIONS", 6000, IF($E:$E="YELLOW YOLK EGGS", 20000, IF($E:$E="AVOCADO", 1000, IF($E:$E="BEEF", 16000,IF($E:$E="BEEF FILLET", 30000, IF($E:$E="PLAIN YOGHURT", 4000, IF($E:$E="DOG MEAT", 4000, IF($E:$E="BEEF SAUSAGES", 30000,IF($E:$E="GOAT", 19000, "")))))))))))))))))))))))</f>
        <v>16000</v>
      </c>
      <c r="G269" s="16">
        <f t="shared" si="5"/>
        <v>16000</v>
      </c>
    </row>
    <row r="270" spans="1:7" x14ac:dyDescent="0.25">
      <c r="A270" s="33" t="s">
        <v>296</v>
      </c>
      <c r="B270" s="45" t="s">
        <v>329</v>
      </c>
      <c r="C270" s="7">
        <v>26</v>
      </c>
      <c r="D270" s="28">
        <v>1</v>
      </c>
      <c r="E270" s="36" t="s">
        <v>36</v>
      </c>
      <c r="F270" s="12">
        <v>5000</v>
      </c>
      <c r="G270" s="16">
        <f t="shared" si="5"/>
        <v>5000</v>
      </c>
    </row>
    <row r="271" spans="1:7" x14ac:dyDescent="0.25">
      <c r="A271" s="33" t="s">
        <v>296</v>
      </c>
      <c r="B271" s="45" t="s">
        <v>329</v>
      </c>
      <c r="C271" s="7">
        <v>27</v>
      </c>
      <c r="D271" s="28">
        <v>1</v>
      </c>
      <c r="E271" s="36" t="s">
        <v>43</v>
      </c>
      <c r="F271" s="12">
        <v>22000</v>
      </c>
      <c r="G271" s="16">
        <f t="shared" si="5"/>
        <v>22000</v>
      </c>
    </row>
    <row r="272" spans="1:7" x14ac:dyDescent="0.25">
      <c r="A272" s="33" t="s">
        <v>296</v>
      </c>
      <c r="B272" s="45" t="s">
        <v>329</v>
      </c>
      <c r="C272" s="7">
        <v>28</v>
      </c>
      <c r="D272" s="28">
        <v>0.5</v>
      </c>
      <c r="E272" s="36" t="s">
        <v>14</v>
      </c>
      <c r="F272" s="12">
        <v>22000</v>
      </c>
      <c r="G272" s="16">
        <f t="shared" si="5"/>
        <v>11000</v>
      </c>
    </row>
    <row r="273" spans="1:7" x14ac:dyDescent="0.25">
      <c r="A273" s="33" t="s">
        <v>296</v>
      </c>
      <c r="B273" s="45" t="s">
        <v>329</v>
      </c>
      <c r="C273" s="7">
        <v>29</v>
      </c>
      <c r="D273" s="28">
        <v>1</v>
      </c>
      <c r="E273" s="36" t="s">
        <v>61</v>
      </c>
      <c r="F273" s="12">
        <v>22000</v>
      </c>
      <c r="G273" s="16">
        <f t="shared" si="5"/>
        <v>22000</v>
      </c>
    </row>
    <row r="274" spans="1:7" x14ac:dyDescent="0.25">
      <c r="A274" s="33" t="s">
        <v>296</v>
      </c>
      <c r="B274" s="45" t="s">
        <v>329</v>
      </c>
      <c r="C274" s="7">
        <v>30</v>
      </c>
      <c r="D274" s="28">
        <v>2</v>
      </c>
      <c r="E274" s="36" t="s">
        <v>56</v>
      </c>
      <c r="F274" s="12">
        <v>1500</v>
      </c>
      <c r="G274" s="16">
        <f t="shared" si="5"/>
        <v>3000</v>
      </c>
    </row>
    <row r="275" spans="1:7" x14ac:dyDescent="0.25">
      <c r="A275" s="33" t="s">
        <v>296</v>
      </c>
      <c r="B275" s="45" t="s">
        <v>329</v>
      </c>
      <c r="C275" s="7">
        <v>31</v>
      </c>
      <c r="D275" s="28">
        <v>1.8</v>
      </c>
      <c r="E275" s="36" t="s">
        <v>56</v>
      </c>
      <c r="F275" s="12">
        <v>1500</v>
      </c>
      <c r="G275" s="16">
        <f t="shared" si="5"/>
        <v>2700</v>
      </c>
    </row>
    <row r="276" spans="1:7" x14ac:dyDescent="0.25">
      <c r="A276" s="33" t="s">
        <v>296</v>
      </c>
      <c r="B276" s="45" t="s">
        <v>329</v>
      </c>
      <c r="C276" s="7">
        <v>32</v>
      </c>
      <c r="D276" s="28">
        <v>1</v>
      </c>
      <c r="E276" s="35" t="s">
        <v>52</v>
      </c>
      <c r="F276" s="12">
        <v>13000</v>
      </c>
      <c r="G276" s="16">
        <f t="shared" si="5"/>
        <v>13000</v>
      </c>
    </row>
    <row r="277" spans="1:7" x14ac:dyDescent="0.25">
      <c r="A277" s="33" t="s">
        <v>296</v>
      </c>
      <c r="B277" s="45" t="s">
        <v>329</v>
      </c>
      <c r="C277" s="7">
        <v>33</v>
      </c>
      <c r="D277" s="28">
        <v>1</v>
      </c>
      <c r="E277" s="35" t="s">
        <v>29</v>
      </c>
      <c r="F277" s="12">
        <v>20000</v>
      </c>
      <c r="G277" s="16">
        <f t="shared" si="5"/>
        <v>20000</v>
      </c>
    </row>
    <row r="278" spans="1:7" x14ac:dyDescent="0.25">
      <c r="A278" s="33" t="s">
        <v>296</v>
      </c>
      <c r="B278" s="45" t="s">
        <v>329</v>
      </c>
      <c r="C278" s="7">
        <v>34</v>
      </c>
      <c r="D278" s="28">
        <v>0.5</v>
      </c>
      <c r="E278" s="35" t="s">
        <v>44</v>
      </c>
      <c r="F278" s="16">
        <v>25000</v>
      </c>
      <c r="G278" s="16">
        <f t="shared" si="5"/>
        <v>12500</v>
      </c>
    </row>
    <row r="279" spans="1:7" x14ac:dyDescent="0.25">
      <c r="A279" s="33" t="s">
        <v>296</v>
      </c>
      <c r="B279" s="45" t="s">
        <v>329</v>
      </c>
      <c r="C279" s="7">
        <v>35</v>
      </c>
      <c r="D279" s="28">
        <v>2</v>
      </c>
      <c r="E279" s="36" t="s">
        <v>8</v>
      </c>
      <c r="F279" s="12">
        <v>1000</v>
      </c>
      <c r="G279" s="16">
        <f t="shared" si="5"/>
        <v>2000</v>
      </c>
    </row>
    <row r="280" spans="1:7" x14ac:dyDescent="0.25">
      <c r="A280" s="33" t="s">
        <v>296</v>
      </c>
      <c r="B280" s="45" t="s">
        <v>329</v>
      </c>
      <c r="C280" s="7">
        <v>36</v>
      </c>
      <c r="D280" s="28">
        <v>0.5</v>
      </c>
      <c r="E280" s="36" t="s">
        <v>61</v>
      </c>
      <c r="F280" s="12">
        <v>22000</v>
      </c>
      <c r="G280" s="16">
        <f t="shared" si="5"/>
        <v>11000</v>
      </c>
    </row>
    <row r="281" spans="1:7" x14ac:dyDescent="0.25">
      <c r="A281" s="33" t="s">
        <v>296</v>
      </c>
      <c r="B281" s="45" t="s">
        <v>329</v>
      </c>
      <c r="C281" s="7">
        <v>37</v>
      </c>
      <c r="D281" s="28">
        <v>1</v>
      </c>
      <c r="E281" s="35" t="s">
        <v>9</v>
      </c>
      <c r="F281" s="17">
        <f>IF($E:$E="MATOOKE KGS", 1500, IF($E:$E="MINCED BEEF", 22000, IF($E:$E="DOG BONES", 4000, IF($E:$E="DOG MINCE", 5000,IF($E:$E="ZIP LOCKS",30000, IF($E:$E="BONELESS BEEF", 22000, IF($E:$E="SAUSAGES", 30000, IF($E:$E="MARINATED CHICKEN", 25000, IF($E:$E="MARINATED GOAT LEG", 28000, IF($E:$E="TOMATOES", 3000,  IF($E:$E="CHICKEN", 30000, IF($E:$E="LOCAL EGGS", 25000,  IF($E:$E="IRISH", 3000, IF($E:$E="MILK", 2000, IF($E:$E="ONIONS", 6000, IF($E:$E="YELLOW YOLK EGGS", 20000, IF($E:$E="AVOCADO", 1000, IF($E:$E="BEEF", 16000,IF($E:$E="BEEF FILLET", 30000, IF($E:$E="PLAIN YOGHURT", 4000, IF($E:$E="DOG MEAT", 4000, IF($E:$E="BEEF SAUSAGES", 30000,IF($E:$E="GOAT", 19000, "")))))))))))))))))))))))</f>
        <v>16000</v>
      </c>
      <c r="G281" s="16">
        <f t="shared" si="5"/>
        <v>16000</v>
      </c>
    </row>
    <row r="282" spans="1:7" x14ac:dyDescent="0.25">
      <c r="A282" s="33" t="s">
        <v>296</v>
      </c>
      <c r="B282" s="45" t="s">
        <v>329</v>
      </c>
      <c r="C282" s="7">
        <v>38</v>
      </c>
      <c r="D282" s="28">
        <v>1</v>
      </c>
      <c r="E282" s="35" t="s">
        <v>52</v>
      </c>
      <c r="F282" s="12">
        <v>11000</v>
      </c>
      <c r="G282" s="16">
        <f t="shared" si="5"/>
        <v>11000</v>
      </c>
    </row>
    <row r="283" spans="1:7" x14ac:dyDescent="0.25">
      <c r="A283" s="33" t="s">
        <v>296</v>
      </c>
      <c r="B283" s="45" t="s">
        <v>329</v>
      </c>
      <c r="C283" s="7">
        <v>39</v>
      </c>
      <c r="D283" s="28">
        <v>1</v>
      </c>
      <c r="E283" s="35" t="s">
        <v>52</v>
      </c>
      <c r="F283" s="12">
        <v>14000</v>
      </c>
      <c r="G283" s="16">
        <f t="shared" si="5"/>
        <v>14000</v>
      </c>
    </row>
    <row r="284" spans="1:7" x14ac:dyDescent="0.25">
      <c r="A284" s="33" t="s">
        <v>296</v>
      </c>
      <c r="B284" s="45" t="s">
        <v>329</v>
      </c>
      <c r="C284" s="7">
        <v>40</v>
      </c>
      <c r="D284" s="28">
        <v>1</v>
      </c>
      <c r="E284" s="36" t="s">
        <v>59</v>
      </c>
      <c r="F284" s="10">
        <f>IF($E:$E="MATOOKE KGS", 1500, IF($E:$E="MINCED BEEF", 22000, IF($E:$E="DOG BONES", 4000, IF($E:$E="DOG MINCE", 5000,IF($E:$E="ZIP LOCKS",30000, IF($E:$E="BONELESS BEEF", 22000, IF($E:$E="SAUSAGES", 30000, IF($E:$E="MARINATED CHICKEN", 25000, IF($E:$E="MARINATED GOAT LEG", 28000, IF($E:$E="TOMATOES", 3000,  IF($E:$E="CHICKEN", 30000, IF($E:$E="LOCAL EGGS", 25000,  IF($E:$E="IRISH", 3000, IF($E:$E="MILK", 2000, IF($E:$E="ONIONS", 6000, IF($E:$E="YELLOW YOLK EGGS", 20000, IF($E:$E="AVOCADO", 1000, IF($E:$E="BEEF", 16000,IF($E:$E="BEEF FILLET", 30000, IF($E:$E="PLAIN YOGHURT", 4000, IF($E:$E="DOG MEAT", 4000, IF($E:$E="BEEF SAUSAGES", 30000,IF($E:$E="GOAT", 19000, "")))))))))))))))))))))))</f>
        <v>2000</v>
      </c>
      <c r="G284" s="16">
        <f t="shared" si="5"/>
        <v>2000</v>
      </c>
    </row>
    <row r="285" spans="1:7" x14ac:dyDescent="0.25">
      <c r="A285" s="33" t="s">
        <v>296</v>
      </c>
      <c r="B285" s="45" t="s">
        <v>329</v>
      </c>
      <c r="C285" s="7">
        <v>41</v>
      </c>
      <c r="D285" s="28">
        <v>1</v>
      </c>
      <c r="E285" s="36" t="s">
        <v>59</v>
      </c>
      <c r="F285" s="10">
        <f>IF($E:$E="MATOOKE KGS", 1500, IF($E:$E="MINCED BEEF", 22000, IF($E:$E="DOG BONES", 4000, IF($E:$E="DOG MINCE", 5000,IF($E:$E="ZIP LOCKS",30000, IF($E:$E="BONELESS BEEF", 22000, IF($E:$E="SAUSAGES", 30000, IF($E:$E="MARINATED CHICKEN", 25000, IF($E:$E="MARINATED GOAT LEG", 28000, IF($E:$E="TOMATOES", 3000,  IF($E:$E="CHICKEN", 30000, IF($E:$E="LOCAL EGGS", 25000,  IF($E:$E="IRISH", 3000, IF($E:$E="MILK", 2000, IF($E:$E="ONIONS", 6000, IF($E:$E="YELLOW YOLK EGGS", 20000, IF($E:$E="AVOCADO", 1000, IF($E:$E="BEEF", 16000,IF($E:$E="BEEF FILLET", 30000, IF($E:$E="PLAIN YOGHURT", 4000, IF($E:$E="DOG MEAT", 4000, IF($E:$E="BEEF SAUSAGES", 30000,IF($E:$E="GOAT", 19000, "")))))))))))))))))))))))</f>
        <v>2000</v>
      </c>
      <c r="G285" s="16">
        <f t="shared" si="5"/>
        <v>2000</v>
      </c>
    </row>
    <row r="286" spans="1:7" x14ac:dyDescent="0.25">
      <c r="A286" s="33" t="s">
        <v>296</v>
      </c>
      <c r="B286" s="45" t="s">
        <v>329</v>
      </c>
      <c r="C286" s="7">
        <v>42</v>
      </c>
      <c r="D286" s="28">
        <v>1</v>
      </c>
      <c r="E286" s="35" t="s">
        <v>52</v>
      </c>
      <c r="F286" s="12">
        <v>18500</v>
      </c>
      <c r="G286" s="16">
        <f t="shared" si="5"/>
        <v>18500</v>
      </c>
    </row>
    <row r="287" spans="1:7" x14ac:dyDescent="0.25">
      <c r="A287" s="33" t="s">
        <v>296</v>
      </c>
      <c r="B287" s="45" t="s">
        <v>329</v>
      </c>
      <c r="C287" s="7">
        <v>43</v>
      </c>
      <c r="D287" s="28">
        <v>1</v>
      </c>
      <c r="E287" s="35" t="s">
        <v>52</v>
      </c>
      <c r="F287" s="12">
        <v>17000</v>
      </c>
      <c r="G287" s="16">
        <f t="shared" si="5"/>
        <v>17000</v>
      </c>
    </row>
    <row r="288" spans="1:7" x14ac:dyDescent="0.25">
      <c r="A288" s="33" t="s">
        <v>297</v>
      </c>
      <c r="B288" s="45" t="s">
        <v>330</v>
      </c>
      <c r="C288" s="7">
        <v>44</v>
      </c>
      <c r="D288" s="28">
        <v>1</v>
      </c>
      <c r="E288" s="36" t="s">
        <v>36</v>
      </c>
      <c r="F288" s="12">
        <v>5000</v>
      </c>
      <c r="G288" s="16">
        <f t="shared" si="5"/>
        <v>5000</v>
      </c>
    </row>
    <row r="289" spans="1:7" x14ac:dyDescent="0.25">
      <c r="A289" s="33" t="s">
        <v>297</v>
      </c>
      <c r="B289" s="45" t="s">
        <v>330</v>
      </c>
      <c r="C289" s="7">
        <v>45</v>
      </c>
      <c r="D289" s="28">
        <v>3.3</v>
      </c>
      <c r="E289" s="36" t="s">
        <v>56</v>
      </c>
      <c r="F289" s="12">
        <v>1500</v>
      </c>
      <c r="G289" s="16">
        <f t="shared" si="5"/>
        <v>4950</v>
      </c>
    </row>
    <row r="290" spans="1:7" x14ac:dyDescent="0.25">
      <c r="A290" s="33" t="s">
        <v>297</v>
      </c>
      <c r="B290" s="45" t="s">
        <v>330</v>
      </c>
      <c r="C290" s="7">
        <v>40</v>
      </c>
      <c r="D290" s="28">
        <v>2</v>
      </c>
      <c r="E290" s="36" t="s">
        <v>8</v>
      </c>
      <c r="F290" s="12">
        <v>1000</v>
      </c>
      <c r="G290" s="16">
        <f t="shared" si="5"/>
        <v>2000</v>
      </c>
    </row>
    <row r="291" spans="1:7" x14ac:dyDescent="0.25">
      <c r="A291" s="33" t="s">
        <v>297</v>
      </c>
      <c r="B291" s="45" t="s">
        <v>330</v>
      </c>
      <c r="C291" s="7">
        <v>5</v>
      </c>
      <c r="D291" s="28">
        <v>0.5</v>
      </c>
      <c r="E291" s="35" t="s">
        <v>9</v>
      </c>
      <c r="F291" s="17">
        <f>IF($E:$E="MATOOKE KGS", 1500, IF($E:$E="MINCED BEEF", 22000, IF($E:$E="DOG BONES", 4000, IF($E:$E="DOG MINCE", 5000,IF($E:$E="ZIP LOCKS",30000, IF($E:$E="BONELESS BEEF", 22000, IF($E:$E="SAUSAGES", 30000, IF($E:$E="MARINATED CHICKEN", 25000, IF($E:$E="MARINATED GOAT LEG", 28000, IF($E:$E="TOMATOES", 3000,  IF($E:$E="CHICKEN", 30000, IF($E:$E="LOCAL EGGS", 25000,  IF($E:$E="IRISH", 3000, IF($E:$E="MILK", 2000, IF($E:$E="ONIONS", 6000, IF($E:$E="YELLOW YOLK EGGS", 20000, IF($E:$E="AVOCADO", 1000, IF($E:$E="BEEF", 16000,IF($E:$E="BEEF FILLET", 30000, IF($E:$E="PLAIN YOGHURT", 4000, IF($E:$E="DOG MEAT", 4000, IF($E:$E="BEEF SAUSAGES", 30000,IF($E:$E="GOAT", 19000, "")))))))))))))))))))))))</f>
        <v>16000</v>
      </c>
      <c r="G291" s="16">
        <f t="shared" si="5"/>
        <v>8000</v>
      </c>
    </row>
    <row r="292" spans="1:7" x14ac:dyDescent="0.25">
      <c r="A292" s="33" t="s">
        <v>297</v>
      </c>
      <c r="B292" s="45" t="s">
        <v>330</v>
      </c>
      <c r="C292" s="7">
        <v>19</v>
      </c>
      <c r="D292" s="28">
        <v>0.5</v>
      </c>
      <c r="E292" s="35" t="s">
        <v>9</v>
      </c>
      <c r="F292" s="17">
        <f>IF($E:$E="MATOOKE KGS", 1500, IF($E:$E="MINCED BEEF", 22000, IF($E:$E="DOG BONES", 4000, IF($E:$E="DOG MINCE", 5000,IF($E:$E="ZIP LOCKS",30000, IF($E:$E="BONELESS BEEF", 22000, IF($E:$E="SAUSAGES", 30000, IF($E:$E="MARINATED CHICKEN", 25000, IF($E:$E="MARINATED GOAT LEG", 28000, IF($E:$E="TOMATOES", 3000,  IF($E:$E="CHICKEN", 30000, IF($E:$E="LOCAL EGGS", 25000,  IF($E:$E="IRISH", 3000, IF($E:$E="MILK", 2000, IF($E:$E="ONIONS", 6000, IF($E:$E="YELLOW YOLK EGGS", 20000, IF($E:$E="AVOCADO", 1000, IF($E:$E="BEEF", 16000,IF($E:$E="BEEF FILLET", 30000, IF($E:$E="PLAIN YOGHURT", 4000, IF($E:$E="DOG MEAT", 4000, IF($E:$E="BEEF SAUSAGES", 30000,IF($E:$E="GOAT", 19000, "")))))))))))))))))))))))</f>
        <v>16000</v>
      </c>
      <c r="G292" s="16">
        <f t="shared" si="5"/>
        <v>8000</v>
      </c>
    </row>
    <row r="293" spans="1:7" x14ac:dyDescent="0.25">
      <c r="A293" s="33" t="s">
        <v>297</v>
      </c>
      <c r="B293" s="45" t="s">
        <v>330</v>
      </c>
      <c r="C293" s="7">
        <v>43</v>
      </c>
      <c r="D293" s="28">
        <v>0.5</v>
      </c>
      <c r="E293" s="35" t="s">
        <v>9</v>
      </c>
      <c r="F293" s="17">
        <f>IF($E:$E="MATOOKE KGS", 1500, IF($E:$E="MINCED BEEF", 22000, IF($E:$E="DOG BONES", 4000, IF($E:$E="DOG MINCE", 5000,IF($E:$E="ZIP LOCKS",30000, IF($E:$E="BONELESS BEEF", 22000, IF($E:$E="SAUSAGES", 30000, IF($E:$E="MARINATED CHICKEN", 25000, IF($E:$E="MARINATED GOAT LEG", 28000, IF($E:$E="TOMATOES", 3000,  IF($E:$E="CHICKEN", 30000, IF($E:$E="LOCAL EGGS", 25000,  IF($E:$E="IRISH", 3000, IF($E:$E="MILK", 2000, IF($E:$E="ONIONS", 6000, IF($E:$E="YELLOW YOLK EGGS", 20000, IF($E:$E="AVOCADO", 1000, IF($E:$E="BEEF", 16000,IF($E:$E="BEEF FILLET", 30000, IF($E:$E="PLAIN YOGHURT", 4000, IF($E:$E="DOG MEAT", 4000, IF($E:$E="BEEF SAUSAGES", 30000,IF($E:$E="GOAT", 19000, "")))))))))))))))))))))))</f>
        <v>16000</v>
      </c>
      <c r="G293" s="16">
        <f t="shared" si="5"/>
        <v>8000</v>
      </c>
    </row>
    <row r="294" spans="1:7" x14ac:dyDescent="0.25">
      <c r="A294" s="33" t="s">
        <v>297</v>
      </c>
      <c r="B294" s="45" t="s">
        <v>330</v>
      </c>
      <c r="C294" s="7">
        <v>45</v>
      </c>
      <c r="D294" s="28">
        <v>0.5</v>
      </c>
      <c r="E294" s="35" t="s">
        <v>9</v>
      </c>
      <c r="F294" s="17">
        <f>IF($E:$E="MATOOKE KGS", 1500, IF($E:$E="MINCED BEEF", 22000, IF($E:$E="DOG BONES", 4000, IF($E:$E="DOG MINCE", 5000,IF($E:$E="ZIP LOCKS",30000, IF($E:$E="BONELESS BEEF", 22000, IF($E:$E="SAUSAGES", 30000, IF($E:$E="MARINATED CHICKEN", 25000, IF($E:$E="MARINATED GOAT LEG", 28000, IF($E:$E="TOMATOES", 3000,  IF($E:$E="CHICKEN", 30000, IF($E:$E="LOCAL EGGS", 25000,  IF($E:$E="IRISH", 3000, IF($E:$E="MILK", 2000, IF($E:$E="ONIONS", 6000, IF($E:$E="YELLOW YOLK EGGS", 20000, IF($E:$E="AVOCADO", 1000, IF($E:$E="BEEF", 16000,IF($E:$E="BEEF FILLET", 30000, IF($E:$E="PLAIN YOGHURT", 4000, IF($E:$E="DOG MEAT", 4000, IF($E:$E="BEEF SAUSAGES", 30000,IF($E:$E="GOAT", 19000, "")))))))))))))))))))))))</f>
        <v>16000</v>
      </c>
      <c r="G294" s="16">
        <f t="shared" si="5"/>
        <v>8000</v>
      </c>
    </row>
    <row r="295" spans="1:7" x14ac:dyDescent="0.25">
      <c r="A295" s="33" t="s">
        <v>297</v>
      </c>
      <c r="B295" s="45" t="s">
        <v>330</v>
      </c>
      <c r="C295" s="7">
        <v>41</v>
      </c>
      <c r="D295" s="28">
        <v>1</v>
      </c>
      <c r="E295" s="36" t="s">
        <v>14</v>
      </c>
      <c r="F295" s="12">
        <v>22000</v>
      </c>
      <c r="G295" s="16">
        <f t="shared" si="5"/>
        <v>22000</v>
      </c>
    </row>
    <row r="296" spans="1:7" x14ac:dyDescent="0.25">
      <c r="A296" s="33" t="s">
        <v>297</v>
      </c>
      <c r="B296" s="45" t="s">
        <v>330</v>
      </c>
      <c r="C296" s="7">
        <v>46</v>
      </c>
      <c r="D296" s="28">
        <v>4</v>
      </c>
      <c r="E296" s="35" t="s">
        <v>25</v>
      </c>
      <c r="F296" s="4">
        <v>5000</v>
      </c>
      <c r="G296" s="16">
        <f t="shared" si="5"/>
        <v>20000</v>
      </c>
    </row>
    <row r="297" spans="1:7" x14ac:dyDescent="0.25">
      <c r="A297" s="33" t="s">
        <v>297</v>
      </c>
      <c r="B297" s="45" t="s">
        <v>330</v>
      </c>
      <c r="C297" s="7">
        <v>47</v>
      </c>
      <c r="D297" s="28">
        <v>1</v>
      </c>
      <c r="E297" s="35" t="s">
        <v>36</v>
      </c>
      <c r="F297" s="10">
        <v>7000</v>
      </c>
      <c r="G297" s="16">
        <f t="shared" si="5"/>
        <v>7000</v>
      </c>
    </row>
    <row r="298" spans="1:7" x14ac:dyDescent="0.25">
      <c r="A298" s="33" t="s">
        <v>297</v>
      </c>
      <c r="B298" s="45" t="s">
        <v>330</v>
      </c>
      <c r="C298" s="7">
        <v>31</v>
      </c>
      <c r="D298" s="28">
        <v>1</v>
      </c>
      <c r="E298" s="35" t="s">
        <v>44</v>
      </c>
      <c r="F298" s="16">
        <v>25000</v>
      </c>
      <c r="G298" s="16">
        <f t="shared" si="5"/>
        <v>25000</v>
      </c>
    </row>
    <row r="299" spans="1:7" x14ac:dyDescent="0.25">
      <c r="A299" s="33" t="s">
        <v>297</v>
      </c>
      <c r="B299" s="45" t="s">
        <v>330</v>
      </c>
      <c r="C299" s="7">
        <v>48</v>
      </c>
      <c r="D299" s="28">
        <v>1</v>
      </c>
      <c r="E299" s="35" t="s">
        <v>52</v>
      </c>
      <c r="F299" s="4">
        <v>6000</v>
      </c>
      <c r="G299" s="16">
        <f t="shared" si="5"/>
        <v>6000</v>
      </c>
    </row>
    <row r="300" spans="1:7" x14ac:dyDescent="0.25">
      <c r="A300" s="33" t="s">
        <v>297</v>
      </c>
      <c r="B300" s="45" t="s">
        <v>330</v>
      </c>
      <c r="C300" s="7">
        <v>2</v>
      </c>
      <c r="D300" s="28">
        <v>1</v>
      </c>
      <c r="E300" s="35" t="s">
        <v>52</v>
      </c>
      <c r="F300" s="12">
        <v>7500</v>
      </c>
      <c r="G300" s="16">
        <f t="shared" si="5"/>
        <v>7500</v>
      </c>
    </row>
    <row r="301" spans="1:7" x14ac:dyDescent="0.25">
      <c r="A301" s="33" t="s">
        <v>297</v>
      </c>
      <c r="B301" s="45" t="s">
        <v>330</v>
      </c>
      <c r="C301" s="7">
        <v>16</v>
      </c>
      <c r="D301" s="28">
        <v>1</v>
      </c>
      <c r="E301" s="35" t="s">
        <v>52</v>
      </c>
      <c r="F301" s="12">
        <v>9000</v>
      </c>
      <c r="G301" s="16">
        <f t="shared" si="5"/>
        <v>9000</v>
      </c>
    </row>
    <row r="302" spans="1:7" x14ac:dyDescent="0.25">
      <c r="A302" s="33" t="s">
        <v>297</v>
      </c>
      <c r="B302" s="45" t="s">
        <v>330</v>
      </c>
      <c r="C302" s="7">
        <v>30</v>
      </c>
      <c r="D302" s="28">
        <v>1</v>
      </c>
      <c r="E302" s="35" t="s">
        <v>52</v>
      </c>
      <c r="F302" s="12">
        <v>9000</v>
      </c>
      <c r="G302" s="16">
        <f t="shared" si="5"/>
        <v>9000</v>
      </c>
    </row>
    <row r="303" spans="1:7" x14ac:dyDescent="0.25">
      <c r="A303" s="33" t="s">
        <v>297</v>
      </c>
      <c r="B303" s="45" t="s">
        <v>330</v>
      </c>
      <c r="C303" s="7">
        <v>3</v>
      </c>
      <c r="D303" s="28">
        <v>1</v>
      </c>
      <c r="E303" s="35" t="s">
        <v>52</v>
      </c>
      <c r="F303" s="12">
        <v>9500</v>
      </c>
      <c r="G303" s="16">
        <f t="shared" si="5"/>
        <v>9500</v>
      </c>
    </row>
    <row r="304" spans="1:7" x14ac:dyDescent="0.25">
      <c r="A304" s="33" t="s">
        <v>297</v>
      </c>
      <c r="B304" s="45" t="s">
        <v>330</v>
      </c>
      <c r="C304" s="7">
        <v>17</v>
      </c>
      <c r="D304" s="28">
        <v>1</v>
      </c>
      <c r="E304" s="35" t="s">
        <v>52</v>
      </c>
      <c r="F304" s="12">
        <v>10000</v>
      </c>
      <c r="G304" s="16">
        <f t="shared" si="5"/>
        <v>10000</v>
      </c>
    </row>
    <row r="305" spans="1:7" x14ac:dyDescent="0.25">
      <c r="A305" s="33" t="s">
        <v>297</v>
      </c>
      <c r="B305" s="45" t="s">
        <v>330</v>
      </c>
      <c r="C305" s="7">
        <v>1</v>
      </c>
      <c r="D305" s="28">
        <v>1</v>
      </c>
      <c r="E305" s="35" t="s">
        <v>52</v>
      </c>
      <c r="F305" s="12">
        <v>10500</v>
      </c>
      <c r="G305" s="16">
        <f t="shared" si="5"/>
        <v>10500</v>
      </c>
    </row>
    <row r="306" spans="1:7" x14ac:dyDescent="0.25">
      <c r="A306" s="33" t="s">
        <v>297</v>
      </c>
      <c r="B306" s="45" t="s">
        <v>330</v>
      </c>
      <c r="C306" s="7">
        <v>26</v>
      </c>
      <c r="D306" s="28">
        <v>1</v>
      </c>
      <c r="E306" s="35" t="s">
        <v>52</v>
      </c>
      <c r="F306" s="12">
        <v>16500</v>
      </c>
      <c r="G306" s="16">
        <f t="shared" si="5"/>
        <v>16500</v>
      </c>
    </row>
    <row r="307" spans="1:7" x14ac:dyDescent="0.25">
      <c r="A307" s="33" t="s">
        <v>297</v>
      </c>
      <c r="B307" s="45" t="s">
        <v>330</v>
      </c>
      <c r="C307" s="7">
        <v>27</v>
      </c>
      <c r="D307" s="28">
        <v>1</v>
      </c>
      <c r="E307" s="35" t="s">
        <v>52</v>
      </c>
      <c r="F307" s="12">
        <v>17000</v>
      </c>
      <c r="G307" s="16">
        <f t="shared" si="5"/>
        <v>17000</v>
      </c>
    </row>
    <row r="308" spans="1:7" x14ac:dyDescent="0.25">
      <c r="A308" s="33" t="s">
        <v>297</v>
      </c>
      <c r="B308" s="45" t="s">
        <v>330</v>
      </c>
      <c r="C308" s="7">
        <v>29</v>
      </c>
      <c r="D308" s="28">
        <v>1</v>
      </c>
      <c r="E308" s="35" t="s">
        <v>52</v>
      </c>
      <c r="F308" s="12">
        <v>20000</v>
      </c>
      <c r="G308" s="16">
        <f t="shared" si="5"/>
        <v>20000</v>
      </c>
    </row>
    <row r="309" spans="1:7" x14ac:dyDescent="0.25">
      <c r="A309" s="33" t="s">
        <v>297</v>
      </c>
      <c r="B309" s="45" t="s">
        <v>330</v>
      </c>
      <c r="C309" s="7">
        <v>21</v>
      </c>
      <c r="D309" s="28">
        <v>1</v>
      </c>
      <c r="E309" s="35" t="s">
        <v>52</v>
      </c>
      <c r="F309" s="12">
        <v>26000</v>
      </c>
      <c r="G309" s="16">
        <f t="shared" si="5"/>
        <v>26000</v>
      </c>
    </row>
    <row r="310" spans="1:7" x14ac:dyDescent="0.25">
      <c r="A310" s="33" t="s">
        <v>297</v>
      </c>
      <c r="B310" s="45" t="s">
        <v>330</v>
      </c>
      <c r="C310" s="7">
        <v>42</v>
      </c>
      <c r="D310" s="28">
        <v>1</v>
      </c>
      <c r="E310" s="35" t="s">
        <v>52</v>
      </c>
      <c r="F310" s="12">
        <v>27000</v>
      </c>
      <c r="G310" s="16">
        <f t="shared" si="5"/>
        <v>27000</v>
      </c>
    </row>
    <row r="311" spans="1:7" x14ac:dyDescent="0.25">
      <c r="A311" s="33" t="s">
        <v>297</v>
      </c>
      <c r="B311" s="45" t="s">
        <v>330</v>
      </c>
      <c r="C311" s="7">
        <v>12</v>
      </c>
      <c r="D311" s="28">
        <v>1</v>
      </c>
      <c r="E311" s="35" t="s">
        <v>52</v>
      </c>
      <c r="F311" s="12">
        <v>28000</v>
      </c>
      <c r="G311" s="16">
        <f t="shared" si="5"/>
        <v>28000</v>
      </c>
    </row>
    <row r="312" spans="1:7" x14ac:dyDescent="0.25">
      <c r="A312" s="33" t="s">
        <v>297</v>
      </c>
      <c r="B312" s="45" t="s">
        <v>330</v>
      </c>
      <c r="C312" s="7">
        <v>8</v>
      </c>
      <c r="D312" s="28">
        <v>1</v>
      </c>
      <c r="E312" s="35" t="s">
        <v>52</v>
      </c>
      <c r="F312" s="12">
        <v>29500</v>
      </c>
      <c r="G312" s="16">
        <f t="shared" si="5"/>
        <v>29500</v>
      </c>
    </row>
    <row r="313" spans="1:7" x14ac:dyDescent="0.25">
      <c r="A313" s="33" t="s">
        <v>297</v>
      </c>
      <c r="B313" s="45" t="s">
        <v>330</v>
      </c>
      <c r="C313" s="7">
        <v>11</v>
      </c>
      <c r="D313" s="28">
        <v>1</v>
      </c>
      <c r="E313" s="35" t="s">
        <v>52</v>
      </c>
      <c r="F313" s="12">
        <v>32000</v>
      </c>
      <c r="G313" s="16">
        <f t="shared" si="5"/>
        <v>32000</v>
      </c>
    </row>
    <row r="314" spans="1:7" x14ac:dyDescent="0.25">
      <c r="A314" s="33" t="s">
        <v>297</v>
      </c>
      <c r="B314" s="45" t="s">
        <v>330</v>
      </c>
      <c r="C314" s="7">
        <v>13</v>
      </c>
      <c r="D314" s="28">
        <v>1</v>
      </c>
      <c r="E314" s="35" t="s">
        <v>52</v>
      </c>
      <c r="F314" s="12">
        <v>34000</v>
      </c>
      <c r="G314" s="16">
        <f t="shared" si="5"/>
        <v>34000</v>
      </c>
    </row>
    <row r="315" spans="1:7" x14ac:dyDescent="0.25">
      <c r="A315" s="33" t="s">
        <v>297</v>
      </c>
      <c r="B315" s="45" t="s">
        <v>330</v>
      </c>
      <c r="C315" s="7">
        <v>10</v>
      </c>
      <c r="D315" s="28">
        <v>1</v>
      </c>
      <c r="E315" s="35" t="s">
        <v>52</v>
      </c>
      <c r="F315" s="12">
        <v>35000</v>
      </c>
      <c r="G315" s="16">
        <f t="shared" si="5"/>
        <v>35000</v>
      </c>
    </row>
    <row r="316" spans="1:7" x14ac:dyDescent="0.25">
      <c r="A316" s="33" t="s">
        <v>297</v>
      </c>
      <c r="B316" s="45" t="s">
        <v>330</v>
      </c>
      <c r="C316" s="7">
        <v>9</v>
      </c>
      <c r="D316" s="28">
        <v>1</v>
      </c>
      <c r="E316" s="35" t="s">
        <v>52</v>
      </c>
      <c r="F316" s="12">
        <v>37000</v>
      </c>
      <c r="G316" s="16">
        <f t="shared" si="5"/>
        <v>37000</v>
      </c>
    </row>
    <row r="317" spans="1:7" x14ac:dyDescent="0.25">
      <c r="A317" s="33" t="s">
        <v>297</v>
      </c>
      <c r="B317" s="45" t="s">
        <v>330</v>
      </c>
      <c r="C317" s="7">
        <v>4</v>
      </c>
      <c r="D317" s="28">
        <v>1.7</v>
      </c>
      <c r="E317" s="36" t="s">
        <v>56</v>
      </c>
      <c r="F317" s="12">
        <v>1500</v>
      </c>
      <c r="G317" s="16">
        <f t="shared" si="5"/>
        <v>2550</v>
      </c>
    </row>
    <row r="318" spans="1:7" x14ac:dyDescent="0.25">
      <c r="A318" s="33" t="s">
        <v>297</v>
      </c>
      <c r="B318" s="45" t="s">
        <v>330</v>
      </c>
      <c r="C318" s="7">
        <v>20</v>
      </c>
      <c r="D318" s="28">
        <v>1.7</v>
      </c>
      <c r="E318" s="36" t="s">
        <v>56</v>
      </c>
      <c r="F318" s="12">
        <v>1500</v>
      </c>
      <c r="G318" s="16">
        <f t="shared" si="5"/>
        <v>2550</v>
      </c>
    </row>
    <row r="319" spans="1:7" x14ac:dyDescent="0.25">
      <c r="A319" s="33" t="s">
        <v>297</v>
      </c>
      <c r="B319" s="45" t="s">
        <v>330</v>
      </c>
      <c r="C319" s="7">
        <v>15</v>
      </c>
      <c r="D319" s="28">
        <v>2</v>
      </c>
      <c r="E319" s="36" t="s">
        <v>56</v>
      </c>
      <c r="F319" s="12">
        <v>1500</v>
      </c>
      <c r="G319" s="16">
        <f t="shared" si="5"/>
        <v>3000</v>
      </c>
    </row>
    <row r="320" spans="1:7" x14ac:dyDescent="0.25">
      <c r="A320" s="33" t="s">
        <v>297</v>
      </c>
      <c r="B320" s="45" t="s">
        <v>330</v>
      </c>
      <c r="C320" s="7">
        <v>49</v>
      </c>
      <c r="D320" s="28">
        <v>2.7</v>
      </c>
      <c r="E320" s="35" t="s">
        <v>56</v>
      </c>
      <c r="F320" s="10">
        <v>1500</v>
      </c>
      <c r="G320" s="16">
        <f t="shared" si="5"/>
        <v>4050.0000000000005</v>
      </c>
    </row>
    <row r="321" spans="1:7" x14ac:dyDescent="0.25">
      <c r="A321" s="33" t="s">
        <v>297</v>
      </c>
      <c r="B321" s="45" t="s">
        <v>330</v>
      </c>
      <c r="C321" s="7">
        <v>6</v>
      </c>
      <c r="D321" s="28">
        <v>3.3</v>
      </c>
      <c r="E321" s="36" t="s">
        <v>56</v>
      </c>
      <c r="F321" s="12">
        <v>1500</v>
      </c>
      <c r="G321" s="16">
        <f t="shared" si="5"/>
        <v>4950</v>
      </c>
    </row>
    <row r="322" spans="1:7" x14ac:dyDescent="0.25">
      <c r="A322" s="33" t="s">
        <v>297</v>
      </c>
      <c r="B322" s="45" t="s">
        <v>330</v>
      </c>
      <c r="C322" s="7">
        <v>14</v>
      </c>
      <c r="D322" s="28">
        <v>3.4</v>
      </c>
      <c r="E322" s="36" t="s">
        <v>56</v>
      </c>
      <c r="F322" s="12">
        <v>1500</v>
      </c>
      <c r="G322" s="16">
        <f t="shared" ref="G322:G385" si="6">(F322*D322)</f>
        <v>5100</v>
      </c>
    </row>
    <row r="323" spans="1:7" x14ac:dyDescent="0.25">
      <c r="A323" s="33" t="s">
        <v>297</v>
      </c>
      <c r="B323" s="45" t="s">
        <v>330</v>
      </c>
      <c r="C323" s="7">
        <v>32</v>
      </c>
      <c r="D323" s="28">
        <v>0.5</v>
      </c>
      <c r="E323" s="36" t="s">
        <v>58</v>
      </c>
      <c r="F323" s="12">
        <v>30000</v>
      </c>
      <c r="G323" s="16">
        <f t="shared" si="6"/>
        <v>15000</v>
      </c>
    </row>
    <row r="324" spans="1:7" x14ac:dyDescent="0.25">
      <c r="A324" s="33" t="s">
        <v>297</v>
      </c>
      <c r="B324" s="45" t="s">
        <v>330</v>
      </c>
      <c r="C324" s="7">
        <v>18</v>
      </c>
      <c r="D324" s="28">
        <v>2</v>
      </c>
      <c r="E324" s="36" t="s">
        <v>59</v>
      </c>
      <c r="F324" s="10">
        <f>IF($E:$E="MATOOKE KGS", 1500, IF($E:$E="MINCED BEEF", 22000, IF($E:$E="DOG BONES", 4000, IF($E:$E="DOG MINCE", 5000,IF($E:$E="ZIP LOCKS",30000, IF($E:$E="BONELESS BEEF", 22000, IF($E:$E="SAUSAGES", 30000, IF($E:$E="MARINATED CHICKEN", 25000, IF($E:$E="MARINATED GOAT LEG", 28000, IF($E:$E="TOMATOES", 3000,  IF($E:$E="CHICKEN", 30000, IF($E:$E="LOCAL EGGS", 25000,  IF($E:$E="IRISH", 3000, IF($E:$E="MILK", 2000, IF($E:$E="ONIONS", 6000, IF($E:$E="YELLOW YOLK EGGS", 20000, IF($E:$E="AVOCADO", 1000, IF($E:$E="BEEF", 16000,IF($E:$E="BEEF FILLET", 30000, IF($E:$E="PLAIN YOGHURT", 4000, IF($E:$E="DOG MEAT", 4000, IF($E:$E="BEEF SAUSAGES", 30000,IF($E:$E="GOAT", 19000, "")))))))))))))))))))))))</f>
        <v>2000</v>
      </c>
      <c r="G324" s="16">
        <f t="shared" si="6"/>
        <v>4000</v>
      </c>
    </row>
    <row r="325" spans="1:7" x14ac:dyDescent="0.25">
      <c r="A325" s="33" t="s">
        <v>297</v>
      </c>
      <c r="B325" s="45" t="s">
        <v>330</v>
      </c>
      <c r="C325" s="7">
        <v>7</v>
      </c>
      <c r="D325" s="28">
        <v>2.5</v>
      </c>
      <c r="E325" s="36" t="s">
        <v>59</v>
      </c>
      <c r="F325" s="10">
        <f>IF($E:$E="MATOOKE KGS", 1500, IF($E:$E="MINCED BEEF", 22000, IF($E:$E="DOG BONES", 4000, IF($E:$E="DOG MINCE", 5000,IF($E:$E="ZIP LOCKS",30000, IF($E:$E="BONELESS BEEF", 22000, IF($E:$E="SAUSAGES", 30000, IF($E:$E="MARINATED CHICKEN", 25000, IF($E:$E="MARINATED GOAT LEG", 28000, IF($E:$E="TOMATOES", 3000,  IF($E:$E="CHICKEN", 30000, IF($E:$E="LOCAL EGGS", 25000,  IF($E:$E="IRISH", 3000, IF($E:$E="MILK", 2000, IF($E:$E="ONIONS", 6000, IF($E:$E="YELLOW YOLK EGGS", 20000, IF($E:$E="AVOCADO", 1000, IF($E:$E="BEEF", 16000,IF($E:$E="BEEF FILLET", 30000, IF($E:$E="PLAIN YOGHURT", 4000, IF($E:$E="DOG MEAT", 4000, IF($E:$E="BEEF SAUSAGES", 30000,IF($E:$E="GOAT", 19000, "")))))))))))))))))))))))</f>
        <v>2000</v>
      </c>
      <c r="G325" s="16">
        <f t="shared" si="6"/>
        <v>5000</v>
      </c>
    </row>
    <row r="326" spans="1:7" x14ac:dyDescent="0.25">
      <c r="A326" s="33" t="s">
        <v>297</v>
      </c>
      <c r="B326" s="45" t="s">
        <v>330</v>
      </c>
      <c r="C326" s="7">
        <v>28</v>
      </c>
      <c r="D326" s="28">
        <v>10</v>
      </c>
      <c r="E326" s="36" t="s">
        <v>59</v>
      </c>
      <c r="F326" s="10">
        <f>IF($E:$E="MATOOKE KGS", 1500, IF($E:$E="MINCED BEEF", 22000, IF($E:$E="DOG BONES", 4000, IF($E:$E="DOG MINCE", 5000,IF($E:$E="ZIP LOCKS",30000, IF($E:$E="BONELESS BEEF", 22000, IF($E:$E="SAUSAGES", 30000, IF($E:$E="MARINATED CHICKEN", 25000, IF($E:$E="MARINATED GOAT LEG", 28000, IF($E:$E="TOMATOES", 3000,  IF($E:$E="CHICKEN", 30000, IF($E:$E="LOCAL EGGS", 25000,  IF($E:$E="IRISH", 3000, IF($E:$E="MILK", 2000, IF($E:$E="ONIONS", 6000, IF($E:$E="YELLOW YOLK EGGS", 20000, IF($E:$E="AVOCADO", 1000, IF($E:$E="BEEF", 16000,IF($E:$E="BEEF FILLET", 30000, IF($E:$E="PLAIN YOGHURT", 4000, IF($E:$E="DOG MEAT", 4000, IF($E:$E="BEEF SAUSAGES", 30000,IF($E:$E="GOAT", 19000, "")))))))))))))))))))))))</f>
        <v>2000</v>
      </c>
      <c r="G326" s="16">
        <f t="shared" si="6"/>
        <v>20000</v>
      </c>
    </row>
    <row r="327" spans="1:7" x14ac:dyDescent="0.25">
      <c r="A327" s="33" t="s">
        <v>297</v>
      </c>
      <c r="B327" s="45" t="s">
        <v>330</v>
      </c>
      <c r="C327" s="7">
        <v>51</v>
      </c>
      <c r="D327" s="28">
        <v>0.5</v>
      </c>
      <c r="E327" s="35" t="s">
        <v>69</v>
      </c>
      <c r="F327" s="4">
        <v>4000</v>
      </c>
      <c r="G327" s="16">
        <f t="shared" si="6"/>
        <v>2000</v>
      </c>
    </row>
    <row r="328" spans="1:7" x14ac:dyDescent="0.25">
      <c r="A328" s="33" t="s">
        <v>298</v>
      </c>
      <c r="B328" s="45" t="s">
        <v>331</v>
      </c>
      <c r="C328" s="7">
        <v>50</v>
      </c>
      <c r="D328" s="28">
        <v>2.5</v>
      </c>
      <c r="E328" s="35" t="s">
        <v>69</v>
      </c>
      <c r="F328" s="4">
        <v>4000</v>
      </c>
      <c r="G328" s="16">
        <f t="shared" si="6"/>
        <v>10000</v>
      </c>
    </row>
    <row r="329" spans="1:7" x14ac:dyDescent="0.25">
      <c r="A329" s="33" t="s">
        <v>298</v>
      </c>
      <c r="B329" s="45" t="s">
        <v>331</v>
      </c>
      <c r="C329" s="7">
        <v>44</v>
      </c>
      <c r="D329" s="28">
        <v>1</v>
      </c>
      <c r="E329" s="35" t="s">
        <v>74</v>
      </c>
      <c r="F329" s="4">
        <v>3000</v>
      </c>
      <c r="G329" s="16">
        <f t="shared" si="6"/>
        <v>3000</v>
      </c>
    </row>
    <row r="330" spans="1:7" x14ac:dyDescent="0.25">
      <c r="A330" s="33" t="s">
        <v>298</v>
      </c>
      <c r="B330" s="45" t="s">
        <v>331</v>
      </c>
      <c r="C330" s="7">
        <v>22</v>
      </c>
      <c r="D330" s="28">
        <v>1</v>
      </c>
      <c r="E330" s="36" t="s">
        <v>8</v>
      </c>
      <c r="F330" s="12">
        <v>1000</v>
      </c>
      <c r="G330" s="16">
        <f t="shared" si="6"/>
        <v>1000</v>
      </c>
    </row>
    <row r="331" spans="1:7" x14ac:dyDescent="0.25">
      <c r="A331" s="33" t="s">
        <v>298</v>
      </c>
      <c r="B331" s="45" t="s">
        <v>331</v>
      </c>
      <c r="C331" s="7">
        <v>28</v>
      </c>
      <c r="D331" s="28">
        <v>1</v>
      </c>
      <c r="E331" s="36" t="s">
        <v>8</v>
      </c>
      <c r="F331" s="12">
        <v>1000</v>
      </c>
      <c r="G331" s="16">
        <f t="shared" si="6"/>
        <v>1000</v>
      </c>
    </row>
    <row r="332" spans="1:7" x14ac:dyDescent="0.25">
      <c r="A332" s="33" t="s">
        <v>298</v>
      </c>
      <c r="B332" s="45" t="s">
        <v>331</v>
      </c>
      <c r="C332" s="7">
        <v>10</v>
      </c>
      <c r="D332" s="28">
        <v>0.5</v>
      </c>
      <c r="E332" s="35" t="s">
        <v>9</v>
      </c>
      <c r="F332" s="17">
        <f>IF($E:$E="MATOOKE KGS", 1500, IF($E:$E="MINCED BEEF", 22000, IF($E:$E="DOG BONES", 4000, IF($E:$E="DOG MINCE", 5000,IF($E:$E="ZIP LOCKS",30000, IF($E:$E="BONELESS BEEF", 22000, IF($E:$E="SAUSAGES", 30000, IF($E:$E="MARINATED CHICKEN", 25000, IF($E:$E="MARINATED GOAT LEG", 28000, IF($E:$E="TOMATOES", 3000,  IF($E:$E="CHICKEN", 30000, IF($E:$E="LOCAL EGGS", 25000,  IF($E:$E="IRISH", 3000, IF($E:$E="MILK", 2000, IF($E:$E="ONIONS", 6000, IF($E:$E="YELLOW YOLK EGGS", 20000, IF($E:$E="AVOCADO", 1000, IF($E:$E="BEEF", 16000,IF($E:$E="BEEF FILLET", 30000, IF($E:$E="PLAIN YOGHURT", 4000, IF($E:$E="DOG MEAT", 4000, IF($E:$E="BEEF SAUSAGES", 30000,IF($E:$E="GOAT", 19000, "")))))))))))))))))))))))</f>
        <v>16000</v>
      </c>
      <c r="G332" s="16">
        <f t="shared" si="6"/>
        <v>8000</v>
      </c>
    </row>
    <row r="333" spans="1:7" x14ac:dyDescent="0.25">
      <c r="A333" s="33" t="s">
        <v>298</v>
      </c>
      <c r="B333" s="45" t="s">
        <v>331</v>
      </c>
      <c r="C333" s="7">
        <v>40</v>
      </c>
      <c r="D333" s="28">
        <v>0.5</v>
      </c>
      <c r="E333" s="35" t="s">
        <v>9</v>
      </c>
      <c r="F333" s="17">
        <f>IF($E:$E="MATOOKE KGS", 1500, IF($E:$E="MINCED BEEF", 22000, IF($E:$E="DOG BONES", 4000, IF($E:$E="DOG MINCE", 5000,IF($E:$E="ZIP LOCKS",30000, IF($E:$E="BONELESS BEEF", 22000, IF($E:$E="SAUSAGES", 30000, IF($E:$E="MARINATED CHICKEN", 25000, IF($E:$E="MARINATED GOAT LEG", 28000, IF($E:$E="TOMATOES", 3000,  IF($E:$E="CHICKEN", 30000, IF($E:$E="LOCAL EGGS", 25000,  IF($E:$E="IRISH", 3000, IF($E:$E="MILK", 2000, IF($E:$E="ONIONS", 6000, IF($E:$E="YELLOW YOLK EGGS", 20000, IF($E:$E="AVOCADO", 1000, IF($E:$E="BEEF", 16000,IF($E:$E="BEEF FILLET", 30000, IF($E:$E="PLAIN YOGHURT", 4000, IF($E:$E="DOG MEAT", 4000, IF($E:$E="BEEF SAUSAGES", 30000,IF($E:$E="GOAT", 19000, "")))))))))))))))))))))))</f>
        <v>16000</v>
      </c>
      <c r="G333" s="16">
        <f t="shared" si="6"/>
        <v>8000</v>
      </c>
    </row>
    <row r="334" spans="1:7" x14ac:dyDescent="0.25">
      <c r="A334" s="33" t="s">
        <v>298</v>
      </c>
      <c r="B334" s="45" t="s">
        <v>331</v>
      </c>
      <c r="C334" s="7">
        <v>1</v>
      </c>
      <c r="D334" s="28">
        <v>1</v>
      </c>
      <c r="E334" s="35" t="s">
        <v>9</v>
      </c>
      <c r="F334" s="17">
        <f>IF($E:$E="MATOOKE KGS", 1500, IF($E:$E="MINCED BEEF", 22000, IF($E:$E="DOG BONES", 4000, IF($E:$E="DOG MINCE", 5000,IF($E:$E="ZIP LOCKS",30000, IF($E:$E="BONELESS BEEF", 22000, IF($E:$E="SAUSAGES", 30000, IF($E:$E="MARINATED CHICKEN", 25000, IF($E:$E="MARINATED GOAT LEG", 28000, IF($E:$E="TOMATOES", 3000,  IF($E:$E="CHICKEN", 30000, IF($E:$E="LOCAL EGGS", 25000,  IF($E:$E="IRISH", 3000, IF($E:$E="MILK", 2000, IF($E:$E="ONIONS", 6000, IF($E:$E="YELLOW YOLK EGGS", 20000, IF($E:$E="AVOCADO", 1000, IF($E:$E="BEEF", 16000,IF($E:$E="BEEF FILLET", 30000, IF($E:$E="PLAIN YOGHURT", 4000, IF($E:$E="DOG MEAT", 4000, IF($E:$E="BEEF SAUSAGES", 30000,IF($E:$E="GOAT", 19000, "")))))))))))))))))))))))</f>
        <v>16000</v>
      </c>
      <c r="G334" s="16">
        <f t="shared" si="6"/>
        <v>16000</v>
      </c>
    </row>
    <row r="335" spans="1:7" x14ac:dyDescent="0.25">
      <c r="A335" s="33" t="s">
        <v>298</v>
      </c>
      <c r="B335" s="45" t="s">
        <v>331</v>
      </c>
      <c r="C335" s="7">
        <v>4</v>
      </c>
      <c r="D335" s="28">
        <v>0.5</v>
      </c>
      <c r="E335" s="36" t="s">
        <v>14</v>
      </c>
      <c r="F335" s="12">
        <v>22000</v>
      </c>
      <c r="G335" s="16">
        <f t="shared" si="6"/>
        <v>11000</v>
      </c>
    </row>
    <row r="336" spans="1:7" x14ac:dyDescent="0.25">
      <c r="A336" s="33" t="s">
        <v>298</v>
      </c>
      <c r="B336" s="45" t="s">
        <v>331</v>
      </c>
      <c r="C336" s="7">
        <v>25</v>
      </c>
      <c r="D336" s="28">
        <v>1</v>
      </c>
      <c r="E336" s="35" t="s">
        <v>21</v>
      </c>
      <c r="F336" s="12">
        <v>4000</v>
      </c>
      <c r="G336" s="16">
        <f t="shared" si="6"/>
        <v>4000</v>
      </c>
    </row>
    <row r="337" spans="1:7" x14ac:dyDescent="0.25">
      <c r="A337" s="33" t="s">
        <v>298</v>
      </c>
      <c r="B337" s="45" t="s">
        <v>331</v>
      </c>
      <c r="C337" s="7">
        <v>27</v>
      </c>
      <c r="D337" s="28">
        <v>1</v>
      </c>
      <c r="E337" s="36" t="s">
        <v>36</v>
      </c>
      <c r="F337" s="12">
        <v>5000</v>
      </c>
      <c r="G337" s="16">
        <f t="shared" si="6"/>
        <v>5000</v>
      </c>
    </row>
    <row r="338" spans="1:7" x14ac:dyDescent="0.25">
      <c r="A338" s="33" t="s">
        <v>298</v>
      </c>
      <c r="B338" s="45" t="s">
        <v>331</v>
      </c>
      <c r="C338" s="7">
        <v>36</v>
      </c>
      <c r="D338" s="28">
        <v>1</v>
      </c>
      <c r="E338" s="36" t="s">
        <v>36</v>
      </c>
      <c r="F338" s="12">
        <v>5000</v>
      </c>
      <c r="G338" s="16">
        <f t="shared" si="6"/>
        <v>5000</v>
      </c>
    </row>
    <row r="339" spans="1:7" x14ac:dyDescent="0.25">
      <c r="A339" s="33" t="s">
        <v>298</v>
      </c>
      <c r="B339" s="45" t="s">
        <v>331</v>
      </c>
      <c r="C339" s="7">
        <v>38</v>
      </c>
      <c r="D339" s="28">
        <v>0.9</v>
      </c>
      <c r="E339" s="36" t="s">
        <v>43</v>
      </c>
      <c r="F339" s="12">
        <v>22000</v>
      </c>
      <c r="G339" s="16">
        <f t="shared" si="6"/>
        <v>19800</v>
      </c>
    </row>
    <row r="340" spans="1:7" x14ac:dyDescent="0.25">
      <c r="A340" s="33" t="s">
        <v>298</v>
      </c>
      <c r="B340" s="45" t="s">
        <v>331</v>
      </c>
      <c r="C340" s="7">
        <v>2</v>
      </c>
      <c r="D340" s="28">
        <v>1</v>
      </c>
      <c r="E340" s="35" t="s">
        <v>44</v>
      </c>
      <c r="F340" s="16">
        <v>25000</v>
      </c>
      <c r="G340" s="16">
        <f t="shared" si="6"/>
        <v>25000</v>
      </c>
    </row>
    <row r="341" spans="1:7" x14ac:dyDescent="0.25">
      <c r="A341" s="33" t="s">
        <v>298</v>
      </c>
      <c r="B341" s="45" t="s">
        <v>331</v>
      </c>
      <c r="C341" s="7">
        <v>8</v>
      </c>
      <c r="D341" s="28">
        <v>1</v>
      </c>
      <c r="E341" s="35" t="s">
        <v>44</v>
      </c>
      <c r="F341" s="16">
        <v>25000</v>
      </c>
      <c r="G341" s="16">
        <f t="shared" si="6"/>
        <v>25000</v>
      </c>
    </row>
    <row r="342" spans="1:7" x14ac:dyDescent="0.25">
      <c r="A342" s="33" t="s">
        <v>298</v>
      </c>
      <c r="B342" s="45" t="s">
        <v>331</v>
      </c>
      <c r="C342" s="7">
        <v>42</v>
      </c>
      <c r="D342" s="28">
        <v>1</v>
      </c>
      <c r="E342" s="35" t="s">
        <v>44</v>
      </c>
      <c r="F342" s="16">
        <v>25000</v>
      </c>
      <c r="G342" s="16">
        <f t="shared" si="6"/>
        <v>25000</v>
      </c>
    </row>
    <row r="343" spans="1:7" x14ac:dyDescent="0.25">
      <c r="A343" s="33" t="s">
        <v>298</v>
      </c>
      <c r="B343" s="45" t="s">
        <v>331</v>
      </c>
      <c r="C343" s="7">
        <v>16</v>
      </c>
      <c r="D343" s="28">
        <v>1</v>
      </c>
      <c r="E343" s="35" t="s">
        <v>52</v>
      </c>
      <c r="F343" s="12">
        <v>8000</v>
      </c>
      <c r="G343" s="16">
        <f t="shared" si="6"/>
        <v>8000</v>
      </c>
    </row>
    <row r="344" spans="1:7" x14ac:dyDescent="0.25">
      <c r="A344" s="33" t="s">
        <v>298</v>
      </c>
      <c r="B344" s="45" t="s">
        <v>331</v>
      </c>
      <c r="C344" s="7">
        <v>12</v>
      </c>
      <c r="D344" s="28">
        <v>1</v>
      </c>
      <c r="E344" s="35" t="s">
        <v>52</v>
      </c>
      <c r="F344" s="12">
        <v>12000</v>
      </c>
      <c r="G344" s="16">
        <f t="shared" si="6"/>
        <v>12000</v>
      </c>
    </row>
    <row r="345" spans="1:7" x14ac:dyDescent="0.25">
      <c r="A345" s="33" t="s">
        <v>298</v>
      </c>
      <c r="B345" s="45" t="s">
        <v>331</v>
      </c>
      <c r="C345" s="7">
        <v>6</v>
      </c>
      <c r="D345" s="28">
        <v>1</v>
      </c>
      <c r="E345" s="35" t="s">
        <v>52</v>
      </c>
      <c r="F345" s="12">
        <v>13000</v>
      </c>
      <c r="G345" s="16">
        <f t="shared" si="6"/>
        <v>13000</v>
      </c>
    </row>
    <row r="346" spans="1:7" x14ac:dyDescent="0.25">
      <c r="A346" s="33" t="s">
        <v>298</v>
      </c>
      <c r="B346" s="45" t="s">
        <v>331</v>
      </c>
      <c r="C346" s="7">
        <v>15</v>
      </c>
      <c r="D346" s="28">
        <v>1</v>
      </c>
      <c r="E346" s="35" t="s">
        <v>52</v>
      </c>
      <c r="F346" s="12">
        <v>16500</v>
      </c>
      <c r="G346" s="16">
        <f t="shared" si="6"/>
        <v>16500</v>
      </c>
    </row>
    <row r="347" spans="1:7" x14ac:dyDescent="0.25">
      <c r="A347" s="33" t="s">
        <v>298</v>
      </c>
      <c r="B347" s="45" t="s">
        <v>331</v>
      </c>
      <c r="C347" s="7">
        <v>48</v>
      </c>
      <c r="D347" s="28">
        <v>1</v>
      </c>
      <c r="E347" s="35" t="s">
        <v>52</v>
      </c>
      <c r="F347" s="12">
        <v>26000</v>
      </c>
      <c r="G347" s="16">
        <f t="shared" si="6"/>
        <v>26000</v>
      </c>
    </row>
    <row r="348" spans="1:7" x14ac:dyDescent="0.25">
      <c r="A348" s="33" t="s">
        <v>298</v>
      </c>
      <c r="B348" s="45" t="s">
        <v>331</v>
      </c>
      <c r="C348" s="7">
        <v>7</v>
      </c>
      <c r="D348" s="28">
        <v>1</v>
      </c>
      <c r="E348" s="35" t="s">
        <v>52</v>
      </c>
      <c r="F348" s="12">
        <v>12500</v>
      </c>
      <c r="G348" s="16">
        <f t="shared" si="6"/>
        <v>12500</v>
      </c>
    </row>
    <row r="349" spans="1:7" x14ac:dyDescent="0.25">
      <c r="A349" s="33" t="s">
        <v>298</v>
      </c>
      <c r="B349" s="45" t="s">
        <v>331</v>
      </c>
      <c r="C349" s="7">
        <v>50</v>
      </c>
      <c r="D349" s="28">
        <v>0.6</v>
      </c>
      <c r="E349" s="36" t="s">
        <v>56</v>
      </c>
      <c r="F349" s="12">
        <v>1500</v>
      </c>
      <c r="G349" s="16">
        <f t="shared" si="6"/>
        <v>900</v>
      </c>
    </row>
    <row r="350" spans="1:7" x14ac:dyDescent="0.25">
      <c r="A350" s="33" t="s">
        <v>298</v>
      </c>
      <c r="B350" s="45" t="s">
        <v>331</v>
      </c>
      <c r="C350" s="7">
        <v>24</v>
      </c>
      <c r="D350" s="28">
        <v>1</v>
      </c>
      <c r="E350" s="36" t="s">
        <v>56</v>
      </c>
      <c r="F350" s="12">
        <v>1500</v>
      </c>
      <c r="G350" s="16">
        <f t="shared" si="6"/>
        <v>1500</v>
      </c>
    </row>
    <row r="351" spans="1:7" x14ac:dyDescent="0.25">
      <c r="A351" s="33" t="s">
        <v>298</v>
      </c>
      <c r="B351" s="45" t="s">
        <v>331</v>
      </c>
      <c r="C351" s="7">
        <v>17</v>
      </c>
      <c r="D351" s="28">
        <v>1.4</v>
      </c>
      <c r="E351" s="36" t="s">
        <v>56</v>
      </c>
      <c r="F351" s="12">
        <v>1500</v>
      </c>
      <c r="G351" s="16">
        <f t="shared" si="6"/>
        <v>2100</v>
      </c>
    </row>
    <row r="352" spans="1:7" x14ac:dyDescent="0.25">
      <c r="A352" s="33" t="s">
        <v>298</v>
      </c>
      <c r="B352" s="45" t="s">
        <v>331</v>
      </c>
      <c r="C352" s="7">
        <v>41</v>
      </c>
      <c r="D352" s="28">
        <v>2</v>
      </c>
      <c r="E352" s="36" t="s">
        <v>56</v>
      </c>
      <c r="F352" s="12">
        <v>1500</v>
      </c>
      <c r="G352" s="16">
        <f t="shared" si="6"/>
        <v>3000</v>
      </c>
    </row>
    <row r="353" spans="1:7" x14ac:dyDescent="0.25">
      <c r="A353" s="33" t="s">
        <v>298</v>
      </c>
      <c r="B353" s="45" t="s">
        <v>331</v>
      </c>
      <c r="C353" s="7">
        <v>44</v>
      </c>
      <c r="D353" s="28">
        <v>2.7</v>
      </c>
      <c r="E353" s="36" t="s">
        <v>56</v>
      </c>
      <c r="F353" s="12">
        <v>1500</v>
      </c>
      <c r="G353" s="16">
        <f t="shared" si="6"/>
        <v>4050.0000000000005</v>
      </c>
    </row>
    <row r="354" spans="1:7" x14ac:dyDescent="0.25">
      <c r="A354" s="33" t="s">
        <v>298</v>
      </c>
      <c r="B354" s="45" t="s">
        <v>331</v>
      </c>
      <c r="C354" s="7">
        <v>20</v>
      </c>
      <c r="D354" s="28">
        <v>3</v>
      </c>
      <c r="E354" s="36" t="s">
        <v>56</v>
      </c>
      <c r="F354" s="12">
        <v>1500</v>
      </c>
      <c r="G354" s="16">
        <f t="shared" si="6"/>
        <v>4500</v>
      </c>
    </row>
    <row r="355" spans="1:7" x14ac:dyDescent="0.25">
      <c r="A355" s="33" t="s">
        <v>298</v>
      </c>
      <c r="B355" s="45" t="s">
        <v>331</v>
      </c>
      <c r="C355" s="7">
        <v>21</v>
      </c>
      <c r="D355" s="28">
        <v>4</v>
      </c>
      <c r="E355" s="36" t="s">
        <v>56</v>
      </c>
      <c r="F355" s="12">
        <v>1500</v>
      </c>
      <c r="G355" s="16">
        <f t="shared" si="6"/>
        <v>6000</v>
      </c>
    </row>
    <row r="356" spans="1:7" x14ac:dyDescent="0.25">
      <c r="A356" s="33" t="s">
        <v>298</v>
      </c>
      <c r="B356" s="45" t="s">
        <v>331</v>
      </c>
      <c r="C356" s="7">
        <v>11</v>
      </c>
      <c r="D356" s="28">
        <v>1</v>
      </c>
      <c r="E356" s="36" t="s">
        <v>59</v>
      </c>
      <c r="F356" s="10">
        <f t="shared" ref="F356:F361" si="7">IF($E:$E="MATOOKE KGS", 1500, IF($E:$E="MINCED BEEF", 22000, IF($E:$E="DOG BONES", 4000, IF($E:$E="DOG MINCE", 5000,IF($E:$E="ZIP LOCKS",30000, IF($E:$E="BONELESS BEEF", 22000, IF($E:$E="SAUSAGES", 30000, IF($E:$E="MARINATED CHICKEN", 25000, IF($E:$E="MARINATED GOAT LEG", 28000, IF($E:$E="TOMATOES", 3000,  IF($E:$E="CHICKEN", 30000, IF($E:$E="LOCAL EGGS", 25000,  IF($E:$E="IRISH", 3000, IF($E:$E="MILK", 2000, IF($E:$E="ONIONS", 6000, IF($E:$E="YELLOW YOLK EGGS", 20000, IF($E:$E="AVOCADO", 1000, IF($E:$E="BEEF", 16000,IF($E:$E="BEEF FILLET", 30000, IF($E:$E="PLAIN YOGHURT", 4000, IF($E:$E="DOG MEAT", 4000, IF($E:$E="BEEF SAUSAGES", 30000,IF($E:$E="GOAT", 19000, "")))))))))))))))))))))))</f>
        <v>2000</v>
      </c>
      <c r="G356" s="16">
        <f t="shared" si="6"/>
        <v>2000</v>
      </c>
    </row>
    <row r="357" spans="1:7" x14ac:dyDescent="0.25">
      <c r="A357" s="33" t="s">
        <v>298</v>
      </c>
      <c r="B357" s="45" t="s">
        <v>331</v>
      </c>
      <c r="C357" s="7">
        <v>29</v>
      </c>
      <c r="D357" s="28">
        <v>1</v>
      </c>
      <c r="E357" s="36" t="s">
        <v>59</v>
      </c>
      <c r="F357" s="10">
        <f t="shared" si="7"/>
        <v>2000</v>
      </c>
      <c r="G357" s="16">
        <f t="shared" si="6"/>
        <v>2000</v>
      </c>
    </row>
    <row r="358" spans="1:7" x14ac:dyDescent="0.25">
      <c r="A358" s="33" t="s">
        <v>298</v>
      </c>
      <c r="B358" s="45" t="s">
        <v>331</v>
      </c>
      <c r="C358" s="7">
        <v>43</v>
      </c>
      <c r="D358" s="28">
        <v>1</v>
      </c>
      <c r="E358" s="36" t="s">
        <v>59</v>
      </c>
      <c r="F358" s="10">
        <f t="shared" si="7"/>
        <v>2000</v>
      </c>
      <c r="G358" s="16">
        <f t="shared" si="6"/>
        <v>2000</v>
      </c>
    </row>
    <row r="359" spans="1:7" x14ac:dyDescent="0.25">
      <c r="A359" s="33" t="s">
        <v>298</v>
      </c>
      <c r="B359" s="45" t="s">
        <v>331</v>
      </c>
      <c r="C359" s="7">
        <v>49</v>
      </c>
      <c r="D359" s="28">
        <v>1.5</v>
      </c>
      <c r="E359" s="36" t="s">
        <v>59</v>
      </c>
      <c r="F359" s="10">
        <f t="shared" si="7"/>
        <v>2000</v>
      </c>
      <c r="G359" s="16">
        <f t="shared" si="6"/>
        <v>3000</v>
      </c>
    </row>
    <row r="360" spans="1:7" x14ac:dyDescent="0.25">
      <c r="A360" s="33" t="s">
        <v>298</v>
      </c>
      <c r="B360" s="45" t="s">
        <v>331</v>
      </c>
      <c r="C360" s="7">
        <v>31</v>
      </c>
      <c r="D360" s="28">
        <v>3</v>
      </c>
      <c r="E360" s="36" t="s">
        <v>59</v>
      </c>
      <c r="F360" s="10">
        <f t="shared" si="7"/>
        <v>2000</v>
      </c>
      <c r="G360" s="16">
        <f t="shared" si="6"/>
        <v>6000</v>
      </c>
    </row>
    <row r="361" spans="1:7" x14ac:dyDescent="0.25">
      <c r="A361" s="33" t="s">
        <v>298</v>
      </c>
      <c r="B361" s="45" t="s">
        <v>331</v>
      </c>
      <c r="C361" s="7">
        <v>3</v>
      </c>
      <c r="D361" s="28">
        <v>15</v>
      </c>
      <c r="E361" s="36" t="s">
        <v>59</v>
      </c>
      <c r="F361" s="10">
        <f t="shared" si="7"/>
        <v>2000</v>
      </c>
      <c r="G361" s="16">
        <f t="shared" si="6"/>
        <v>30000</v>
      </c>
    </row>
    <row r="362" spans="1:7" x14ac:dyDescent="0.25">
      <c r="A362" s="33" t="s">
        <v>298</v>
      </c>
      <c r="B362" s="45" t="s">
        <v>331</v>
      </c>
      <c r="C362" s="7">
        <v>14</v>
      </c>
      <c r="D362" s="28">
        <v>1</v>
      </c>
      <c r="E362" s="36" t="s">
        <v>64</v>
      </c>
      <c r="F362" s="10">
        <f>IF($E:$E="MATOOKE KGS", 1500, IF($E:$E="SAUSAGES", 30000, IF($E:$E="MARINATED CHICKEN", 25000, IF($E:$E="MARINATED GOAT LEG", 28000, IF($E:$E="TOMATOES", 3000,  IF($E:$E="CHICKEN", 30000, IF($E:$E="LOCAL EGGS", 25000,  IF($E:$E="IRISH", 3000, IF($E:$E="MILK", 2000, IF($E:$E="ONIONS", 6000, IF($E:$E="YELLOW YOLK EGGS", 20000, IF($E:$E="AVOCADO", 1000, IF($E:$E="BEEF", 16000,IF($E:$E="BEEF FILLET", 30000, IF($E:$E="PLAIN YOGHURT", 4000, IF($E:$E="DOG MEAT", 4000, IF($E:$E="GOAT", 19000, "")))))))))))))))))</f>
        <v>6000</v>
      </c>
      <c r="G362" s="16">
        <f t="shared" si="6"/>
        <v>6000</v>
      </c>
    </row>
    <row r="363" spans="1:7" x14ac:dyDescent="0.25">
      <c r="A363" s="33" t="s">
        <v>298</v>
      </c>
      <c r="B363" s="45" t="s">
        <v>331</v>
      </c>
      <c r="C363" s="7">
        <v>34</v>
      </c>
      <c r="D363" s="28">
        <v>1</v>
      </c>
      <c r="E363" s="36" t="s">
        <v>64</v>
      </c>
      <c r="F363" s="10">
        <f>IF($E:$E="MATOOKE KGS", 1500, IF($E:$E="SAUSAGES", 30000, IF($E:$E="MARINATED CHICKEN", 25000, IF($E:$E="MARINATED GOAT LEG", 28000, IF($E:$E="TOMATOES", 3000,  IF($E:$E="CHICKEN", 30000, IF($E:$E="LOCAL EGGS", 25000,  IF($E:$E="IRISH", 3000, IF($E:$E="MILK", 2000, IF($E:$E="ONIONS", 6000, IF($E:$E="YELLOW YOLK EGGS", 20000, IF($E:$E="AVOCADO", 1000, IF($E:$E="BEEF", 16000,IF($E:$E="BEEF FILLET", 30000, IF($E:$E="PLAIN YOGHURT", 4000, IF($E:$E="DOG MEAT", 4000, IF($E:$E="GOAT", 19000, "")))))))))))))))))</f>
        <v>6000</v>
      </c>
      <c r="G363" s="16">
        <f t="shared" si="6"/>
        <v>6000</v>
      </c>
    </row>
    <row r="364" spans="1:7" x14ac:dyDescent="0.25">
      <c r="A364" s="33" t="s">
        <v>298</v>
      </c>
      <c r="B364" s="45" t="s">
        <v>331</v>
      </c>
      <c r="C364" s="7">
        <v>9</v>
      </c>
      <c r="D364" s="28">
        <v>1.5</v>
      </c>
      <c r="E364" s="36" t="s">
        <v>64</v>
      </c>
      <c r="F364" s="10">
        <f>IF($E:$E="MATOOKE KGS", 1500, IF($E:$E="SAUSAGES", 30000, IF($E:$E="MARINATED CHICKEN", 25000, IF($E:$E="MARINATED GOAT LEG", 28000, IF($E:$E="TOMATOES", 3000,  IF($E:$E="CHICKEN", 30000, IF($E:$E="LOCAL EGGS", 25000,  IF($E:$E="IRISH", 3000, IF($E:$E="MILK", 2000, IF($E:$E="ONIONS", 6000, IF($E:$E="YELLOW YOLK EGGS", 20000, IF($E:$E="AVOCADO", 1000, IF($E:$E="BEEF", 16000,IF($E:$E="BEEF FILLET", 30000, IF($E:$E="PLAIN YOGHURT", 4000, IF($E:$E="DOG MEAT", 4000, IF($E:$E="GOAT", 19000, "")))))))))))))))))</f>
        <v>6000</v>
      </c>
      <c r="G364" s="16">
        <f t="shared" si="6"/>
        <v>9000</v>
      </c>
    </row>
    <row r="365" spans="1:7" x14ac:dyDescent="0.25">
      <c r="A365" s="33" t="s">
        <v>298</v>
      </c>
      <c r="B365" s="45" t="s">
        <v>331</v>
      </c>
      <c r="C365" s="7">
        <v>13</v>
      </c>
      <c r="D365" s="28">
        <v>1</v>
      </c>
      <c r="E365" s="36" t="s">
        <v>69</v>
      </c>
      <c r="F365" s="12">
        <v>4000</v>
      </c>
      <c r="G365" s="16">
        <f t="shared" si="6"/>
        <v>4000</v>
      </c>
    </row>
    <row r="366" spans="1:7" x14ac:dyDescent="0.25">
      <c r="A366" s="33" t="s">
        <v>298</v>
      </c>
      <c r="B366" s="45" t="s">
        <v>331</v>
      </c>
      <c r="C366" s="7">
        <v>5</v>
      </c>
      <c r="D366" s="28">
        <v>1</v>
      </c>
      <c r="E366" s="36" t="s">
        <v>74</v>
      </c>
      <c r="F366" s="12">
        <v>3000</v>
      </c>
      <c r="G366" s="16">
        <f t="shared" si="6"/>
        <v>3000</v>
      </c>
    </row>
    <row r="367" spans="1:7" x14ac:dyDescent="0.25">
      <c r="A367" s="33" t="s">
        <v>298</v>
      </c>
      <c r="B367" s="45" t="s">
        <v>331</v>
      </c>
      <c r="C367" s="7">
        <v>37</v>
      </c>
      <c r="D367" s="28">
        <v>0.5</v>
      </c>
      <c r="E367" s="35" t="s">
        <v>75</v>
      </c>
      <c r="F367" s="10">
        <f>IF($E:$E="MATOOKE KGS", 1500, IF($E:$E="SAUSAGES", 30000, IF($E:$E="MARINATED CHICKEN", 25000, IF($E:$E="MARINATED GOAT LEG", 28000, IF($E:$E="TOMATOES", 3000,  IF($E:$E="CHICKEN", 30000, IF($E:$E="LOCAL EGGS", 25000,  IF($E:$E="IRISH", 3000, IF($E:$E="MILK", 2000, IF($E:$E="ONIONS", 6000, IF($E:$E="YELLOW YOLK EGGS", 20000, IF($E:$E="AVOCADO", 1000, IF($E:$E="BEEF", 16000, IF($E:$E="PLAIN YOGHURT", 4000, IF($E:$E="DOG MEAT", 4000, IF($E:$E="GOAT", 19000, ""))))))))))))))))</f>
        <v>20000</v>
      </c>
      <c r="G367" s="16">
        <f t="shared" si="6"/>
        <v>10000</v>
      </c>
    </row>
    <row r="368" spans="1:7" x14ac:dyDescent="0.25">
      <c r="A368" s="33" t="s">
        <v>298</v>
      </c>
      <c r="B368" s="45" t="s">
        <v>331</v>
      </c>
      <c r="C368" s="7">
        <v>35</v>
      </c>
      <c r="D368" s="28">
        <v>1</v>
      </c>
      <c r="E368" s="35" t="s">
        <v>75</v>
      </c>
      <c r="F368" s="10">
        <f>IF($E:$E="MATOOKE KGS", 1500, IF($E:$E="SAUSAGES", 30000, IF($E:$E="MARINATED CHICKEN", 25000, IF($E:$E="MARINATED GOAT LEG", 28000, IF($E:$E="TOMATOES", 3000,  IF($E:$E="CHICKEN", 30000, IF($E:$E="LOCAL EGGS", 25000,  IF($E:$E="IRISH", 3000, IF($E:$E="MILK", 2000, IF($E:$E="ONIONS", 6000, IF($E:$E="YELLOW YOLK EGGS", 20000, IF($E:$E="AVOCADO", 1000, IF($E:$E="BEEF", 16000, IF($E:$E="PLAIN YOGHURT", 4000, IF($E:$E="DOG MEAT", 4000, IF($E:$E="GOAT", 19000, ""))))))))))))))))</f>
        <v>20000</v>
      </c>
      <c r="G368" s="16">
        <f t="shared" si="6"/>
        <v>20000</v>
      </c>
    </row>
    <row r="369" spans="1:7" x14ac:dyDescent="0.25">
      <c r="A369" s="33" t="s">
        <v>299</v>
      </c>
      <c r="B369" s="45" t="s">
        <v>332</v>
      </c>
      <c r="C369" s="7">
        <v>23</v>
      </c>
      <c r="D369" s="28">
        <v>2</v>
      </c>
      <c r="E369" s="35" t="s">
        <v>75</v>
      </c>
      <c r="F369" s="10">
        <f>IF($E:$E="MATOOKE KGS", 1500, IF($E:$E="SAUSAGES", 30000, IF($E:$E="MARINATED CHICKEN", 25000, IF($E:$E="MARINATED GOAT LEG", 28000, IF($E:$E="TOMATOES", 3000,  IF($E:$E="CHICKEN", 30000, IF($E:$E="LOCAL EGGS", 25000,  IF($E:$E="IRISH", 3000, IF($E:$E="MILK", 2000, IF($E:$E="ONIONS", 6000, IF($E:$E="YELLOW YOLK EGGS", 20000, IF($E:$E="AVOCADO", 1000, IF($E:$E="BEEF", 16000, IF($E:$E="PLAIN YOGHURT", 4000, IF($E:$E="DOG MEAT", 4000, IF($E:$E="GOAT", 19000, ""))))))))))))))))</f>
        <v>20000</v>
      </c>
      <c r="G369" s="16">
        <f t="shared" si="6"/>
        <v>40000</v>
      </c>
    </row>
    <row r="370" spans="1:7" x14ac:dyDescent="0.25">
      <c r="A370" s="33" t="s">
        <v>299</v>
      </c>
      <c r="B370" s="45" t="s">
        <v>332</v>
      </c>
      <c r="C370" s="7">
        <v>39</v>
      </c>
      <c r="D370" s="28">
        <v>7</v>
      </c>
      <c r="E370" s="35" t="s">
        <v>75</v>
      </c>
      <c r="F370" s="10">
        <f>IF($E:$E="MATOOKE KGS", 1500, IF($E:$E="SAUSAGES", 30000, IF($E:$E="MARINATED CHICKEN", 25000, IF($E:$E="MARINATED GOAT LEG", 28000, IF($E:$E="TOMATOES", 3000,  IF($E:$E="CHICKEN", 30000, IF($E:$E="LOCAL EGGS", 25000,  IF($E:$E="IRISH", 3000, IF($E:$E="MILK", 2000, IF($E:$E="ONIONS", 6000, IF($E:$E="YELLOW YOLK EGGS", 20000, IF($E:$E="AVOCADO", 1000, IF($E:$E="BEEF", 16000, IF($E:$E="PLAIN YOGHURT", 4000, IF($E:$E="DOG MEAT", 4000, IF($E:$E="GOAT", 19000, ""))))))))))))))))</f>
        <v>20000</v>
      </c>
      <c r="G370" s="16">
        <f t="shared" si="6"/>
        <v>140000</v>
      </c>
    </row>
    <row r="371" spans="1:7" x14ac:dyDescent="0.25">
      <c r="A371" s="33" t="s">
        <v>299</v>
      </c>
      <c r="B371" s="45" t="s">
        <v>332</v>
      </c>
      <c r="C371" s="7">
        <v>1</v>
      </c>
      <c r="D371" s="29">
        <v>2</v>
      </c>
      <c r="E371" s="36" t="s">
        <v>59</v>
      </c>
      <c r="F371" s="10">
        <f>IF($E:$E="MATOOKE KGS", 1500, IF($E:$E="MINCED BEEF", 22000, IF($E:$E="DOG BONES", 4000, IF($E:$E="DOG MINCE", 5000,IF($E:$E="ZIP LOCKS",30000, IF($E:$E="BONELESS BEEF", 22000, IF($E:$E="SAUSAGES", 30000, IF($E:$E="MARINATED CHICKEN", 25000, IF($E:$E="MARINATED GOAT LEG", 28000, IF($E:$E="TOMATOES", 3000,  IF($E:$E="CHICKEN", 30000, IF($E:$E="LOCAL EGGS", 25000,  IF($E:$E="IRISH", 3000, IF($E:$E="MILK", 2000, IF($E:$E="ONIONS", 6000, IF($E:$E="YELLOW YOLK EGGS", 20000, IF($E:$E="AVOCADO", 1000, IF($E:$E="BEEF", 16000,IF($E:$E="BEEF FILLET", 30000, IF($E:$E="PLAIN YOGHURT", 4000, IF($E:$E="DOG MEAT", 4000, IF($E:$E="BEEF SAUSAGES", 30000,IF($E:$E="GOAT", 19000, "")))))))))))))))))))))))</f>
        <v>2000</v>
      </c>
      <c r="G371" s="16">
        <f t="shared" si="6"/>
        <v>4000</v>
      </c>
    </row>
    <row r="372" spans="1:7" x14ac:dyDescent="0.25">
      <c r="A372" s="33" t="s">
        <v>299</v>
      </c>
      <c r="B372" s="45" t="s">
        <v>332</v>
      </c>
      <c r="C372" s="7">
        <v>2</v>
      </c>
      <c r="D372" s="29">
        <v>2</v>
      </c>
      <c r="E372" s="36" t="s">
        <v>56</v>
      </c>
      <c r="F372" s="10">
        <f>IF($E:$E="MATOOKE KGS", 1500, IF($E:$E="SAUSAGES", 30000,  IF($E:$E="TOMATOES", 3000,  IF($E:$E="CHICKEN", 30000, IF($E:$E="LOCAL EGGS", 25000,  IF($E:$E="IRISH", 3000, IF($E:$E="MILK", 2000, IF($E:$E="ONIONS", 6000, IF($E:$E="YELLOW YOLK EGGS", 20000, IF($E:$E="AVOCADO", 1000, IF($E:$E="BEEF", 16000, IF($E:$E="PLAIN YOGHURT", 4000, ""))))))))))))</f>
        <v>1500</v>
      </c>
      <c r="G372" s="16">
        <f t="shared" si="6"/>
        <v>3000</v>
      </c>
    </row>
    <row r="373" spans="1:7" x14ac:dyDescent="0.25">
      <c r="A373" s="33" t="s">
        <v>299</v>
      </c>
      <c r="B373" s="45" t="s">
        <v>332</v>
      </c>
      <c r="C373" s="7">
        <v>3</v>
      </c>
      <c r="D373" s="29">
        <v>1</v>
      </c>
      <c r="E373" s="36" t="s">
        <v>59</v>
      </c>
      <c r="F373" s="10">
        <f>IF($E:$E="MATOOKE KGS", 1500, IF($E:$E="MINCED BEEF", 22000, IF($E:$E="DOG BONES", 4000, IF($E:$E="DOG MINCE", 5000,IF($E:$E="ZIP LOCKS",30000, IF($E:$E="BONELESS BEEF", 22000, IF($E:$E="SAUSAGES", 30000, IF($E:$E="MARINATED CHICKEN", 25000, IF($E:$E="MARINATED GOAT LEG", 28000, IF($E:$E="TOMATOES", 3000,  IF($E:$E="CHICKEN", 30000, IF($E:$E="LOCAL EGGS", 25000,  IF($E:$E="IRISH", 3000, IF($E:$E="MILK", 2000, IF($E:$E="ONIONS", 6000, IF($E:$E="YELLOW YOLK EGGS", 20000, IF($E:$E="AVOCADO", 1000, IF($E:$E="BEEF", 16000,IF($E:$E="BEEF FILLET", 30000, IF($E:$E="PLAIN YOGHURT", 4000, IF($E:$E="DOG MEAT", 4000, IF($E:$E="BEEF SAUSAGES", 30000,IF($E:$E="GOAT", 19000, "")))))))))))))))))))))))</f>
        <v>2000</v>
      </c>
      <c r="G373" s="16">
        <f t="shared" si="6"/>
        <v>2000</v>
      </c>
    </row>
    <row r="374" spans="1:7" x14ac:dyDescent="0.25">
      <c r="A374" s="33" t="s">
        <v>299</v>
      </c>
      <c r="B374" s="45" t="s">
        <v>332</v>
      </c>
      <c r="C374" s="7">
        <v>4</v>
      </c>
      <c r="D374" s="29">
        <v>0.6</v>
      </c>
      <c r="E374" s="36" t="s">
        <v>74</v>
      </c>
      <c r="F374" s="10">
        <f>IF($E:$E="MATOOKE KGS", 1500, IF($E:$E="SAUSAGES", 30000, IF($E:$E="TOMATOES", 3000, IF($E:$E="CHICKEN", 30000, IF($E:$E="LOCAL EGGS", 25000, IF($E:$E="IRISH", 3000, IF($E:$E="MILK", 2000, IF($E:$E="ONIONS", 6000, IF($E:$E="YELLOW YOLK EGGS", 20000, IF($E:$E="AVOCADO", 1000, IF($E:$E="BEEF", 16000, IF($E:$E="PLAIN YOGHURT", 4000, ""))))))))))))</f>
        <v>3000</v>
      </c>
      <c r="G374" s="16">
        <f t="shared" si="6"/>
        <v>1800</v>
      </c>
    </row>
    <row r="375" spans="1:7" x14ac:dyDescent="0.25">
      <c r="A375" s="33" t="s">
        <v>299</v>
      </c>
      <c r="B375" s="45" t="s">
        <v>332</v>
      </c>
      <c r="C375" s="7">
        <v>5</v>
      </c>
      <c r="D375" s="29">
        <v>2.2999999999999998</v>
      </c>
      <c r="E375" s="36" t="s">
        <v>56</v>
      </c>
      <c r="F375" s="10">
        <f>IF($E:$E="MATOOKE KGS", 1500, IF($E:$E="SAUSAGES", 30000, IF($E:$E="TOMATOES", 3000, IF($E:$E="CHICKEN", 30000, IF($E:$E="LOCAL EGGS", 25000, IF($E:$E="IRISH", 3000, IF($E:$E="MILK", 2000, IF($E:$E="ONIONS", 6000, IF($E:$E="YELLOW YOLK EGGS", 20000, IF($E:$E="AVOCADO", 1000, IF($E:$E="BEEF", 16000, IF($E:$E="PLAIN YOGHURT", 4000, ""))))))))))))</f>
        <v>1500</v>
      </c>
      <c r="G375" s="16">
        <f t="shared" si="6"/>
        <v>3449.9999999999995</v>
      </c>
    </row>
    <row r="376" spans="1:7" x14ac:dyDescent="0.25">
      <c r="A376" s="33" t="s">
        <v>299</v>
      </c>
      <c r="B376" s="45" t="s">
        <v>332</v>
      </c>
      <c r="C376" s="7">
        <v>6</v>
      </c>
      <c r="D376" s="29">
        <v>3.4</v>
      </c>
      <c r="E376" s="36" t="s">
        <v>56</v>
      </c>
      <c r="F376" s="10">
        <f>IF($E:$E="MATOOKE KGS", 1500, IF($E:$E="SAUSAGES", 30000, IF($E:$E="TOMATOES", 3000, IF($E:$E="CHICKEN", 30000, IF($E:$E="LOCAL EGGS", 25000, IF($E:$E="IRISH", 3000, IF($E:$E="MILK", 2000, IF($E:$E="ONIONS", 6000, IF($E:$E="YELLOW YOLK EGGS", 20000, IF($E:$E="AVOCADO", 1000, IF($E:$E="BEEF", 16000, IF($E:$E="PLAIN YOGHURT", 4000, ""))))))))))))</f>
        <v>1500</v>
      </c>
      <c r="G376" s="16">
        <f t="shared" si="6"/>
        <v>5100</v>
      </c>
    </row>
    <row r="377" spans="1:7" x14ac:dyDescent="0.25">
      <c r="A377" s="33" t="s">
        <v>299</v>
      </c>
      <c r="B377" s="45" t="s">
        <v>332</v>
      </c>
      <c r="C377" s="7">
        <v>7</v>
      </c>
      <c r="D377" s="29">
        <v>2</v>
      </c>
      <c r="E377" s="35" t="s">
        <v>75</v>
      </c>
      <c r="F377" s="10">
        <f>IF($E:$E="MATOOKE KGS", 1500, IF($E:$E="SAUSAGES", 30000, IF($E:$E="MARINATED CHICKEN", 25000, IF($E:$E="MARINATED GOAT LEG", 28000, IF($E:$E="TOMATOES", 3000,  IF($E:$E="CHICKEN", 30000, IF($E:$E="LOCAL EGGS", 25000,  IF($E:$E="IRISH", 3000, IF($E:$E="MILK", 2000, IF($E:$E="ONIONS", 6000, IF($E:$E="YELLOW YOLK EGGS", 20000, IF($E:$E="AVOCADO", 1000, IF($E:$E="BEEF", 16000, IF($E:$E="PLAIN YOGHURT", 4000, IF($E:$E="DOG MEAT", 4000, IF($E:$E="GOAT", 19000, ""))))))))))))))))</f>
        <v>20000</v>
      </c>
      <c r="G377" s="16">
        <f t="shared" si="6"/>
        <v>40000</v>
      </c>
    </row>
    <row r="378" spans="1:7" x14ac:dyDescent="0.25">
      <c r="A378" s="33" t="s">
        <v>299</v>
      </c>
      <c r="B378" s="45" t="s">
        <v>332</v>
      </c>
      <c r="C378" s="7">
        <v>8</v>
      </c>
      <c r="D378" s="29">
        <v>4</v>
      </c>
      <c r="E378" s="36" t="s">
        <v>56</v>
      </c>
      <c r="F378" s="10">
        <f>IF($E:$E="MATOOKE KGS", 1500, IF($E:$E="SAUSAGES", 30000, IF($E:$E="TOMATOES", 3000, IF($E:$E="CHICKEN", 30000, IF($E:$E="LOCAL EGGS", 25000, IF($E:$E="IRISH", 3000, IF($E:$E="MILK", 2000, IF($E:$E="ONIONS", 6000, IF($E:$E="YELLOW YOLK EGGS", 20000, IF($E:$E="AVOCADO", 1000, IF($E:$E="BEEF", 16000, IF($E:$E="PLAIN YOGHURT", 4000, ""))))))))))))</f>
        <v>1500</v>
      </c>
      <c r="G378" s="16">
        <f t="shared" si="6"/>
        <v>6000</v>
      </c>
    </row>
    <row r="379" spans="1:7" x14ac:dyDescent="0.25">
      <c r="A379" s="33" t="s">
        <v>299</v>
      </c>
      <c r="B379" s="45" t="s">
        <v>332</v>
      </c>
      <c r="C379" s="7">
        <v>9</v>
      </c>
      <c r="D379" s="29">
        <v>1.4</v>
      </c>
      <c r="E379" s="36" t="s">
        <v>56</v>
      </c>
      <c r="F379" s="10">
        <f>IF($E:$E="MATOOKE KGS", 1500, IF($E:$E="SAUSAGES", 30000, IF($E:$E="TOMATOES", 3000, IF($E:$E="CHICKEN", 30000, IF($E:$E="LOCAL EGGS", 25000, IF($E:$E="IRISH", 3000, IF($E:$E="MILK", 2000, IF($E:$E="ONIONS", 6000, IF($E:$E="YELLOW YOLK EGGS", 20000, IF($E:$E="AVOCADO", 1000, IF($E:$E="BEEF", 16000, IF($E:$E="PLAIN YOGHURT", 4000, ""))))))))))))</f>
        <v>1500</v>
      </c>
      <c r="G379" s="16">
        <f t="shared" si="6"/>
        <v>2100</v>
      </c>
    </row>
    <row r="380" spans="1:7" x14ac:dyDescent="0.25">
      <c r="A380" s="33" t="s">
        <v>299</v>
      </c>
      <c r="B380" s="45" t="s">
        <v>332</v>
      </c>
      <c r="C380" s="7">
        <v>10</v>
      </c>
      <c r="D380" s="29">
        <v>3</v>
      </c>
      <c r="E380" s="36" t="s">
        <v>56</v>
      </c>
      <c r="F380" s="10">
        <f>IF($E:$E="MATOOKE KGS", 1500, IF($E:$E="SAUSAGES", 30000, IF($E:$E="TOMATOES", 3000, IF($E:$E="CHICKEN", 30000, IF($E:$E="LOCAL EGGS", 25000, IF($E:$E="IRISH", 3000, IF($E:$E="MILK", 2000, IF($E:$E="ONIONS", 6000, IF($E:$E="YELLOW YOLK EGGS", 20000, IF($E:$E="AVOCADO", 1000, IF($E:$E="BEEF", 16000, IF($E:$E="PLAIN YOGHURT", 4000, ""))))))))))))</f>
        <v>1500</v>
      </c>
      <c r="G380" s="16">
        <f t="shared" si="6"/>
        <v>4500</v>
      </c>
    </row>
    <row r="381" spans="1:7" x14ac:dyDescent="0.25">
      <c r="A381" s="33" t="s">
        <v>299</v>
      </c>
      <c r="B381" s="45" t="s">
        <v>332</v>
      </c>
      <c r="C381" s="7">
        <v>11</v>
      </c>
      <c r="D381" s="29">
        <v>0.5</v>
      </c>
      <c r="E381" s="36" t="s">
        <v>69</v>
      </c>
      <c r="F381" s="10">
        <f>IF($E:$E="MATOOKE KGS", 1500, IF($E:$E="SAUSAGES", 30000, IF($E:$E="TOMATOES", 3000, IF($E:$E="CHICKEN", 30000, IF($E:$E="LOCAL EGGS", 25000, IF($E:$E="IRISH", 3000, IF($E:$E="MILK", 2000, IF($E:$E="ONIONS", 6000, IF($E:$E="YELLOW YOLK EGGS", 20000, IF($E:$E="AVOCADO", 1000, IF($E:$E="BEEF", 16000, IF($E:$E="PLAIN YOGHURT", 4000, ""))))))))))))</f>
        <v>4000</v>
      </c>
      <c r="G381" s="16">
        <f t="shared" si="6"/>
        <v>2000</v>
      </c>
    </row>
    <row r="382" spans="1:7" x14ac:dyDescent="0.25">
      <c r="A382" s="33" t="s">
        <v>299</v>
      </c>
      <c r="B382" s="45" t="s">
        <v>332</v>
      </c>
      <c r="C382" s="7">
        <v>12</v>
      </c>
      <c r="D382" s="29">
        <v>1</v>
      </c>
      <c r="E382" s="36" t="s">
        <v>59</v>
      </c>
      <c r="F382" s="10">
        <f>IF($E:$E="MATOOKE KGS", 1500, IF($E:$E="MINCED BEEF", 22000, IF($E:$E="DOG BONES", 4000, IF($E:$E="DOG MINCE", 5000,IF($E:$E="ZIP LOCKS",30000, IF($E:$E="BONELESS BEEF", 22000, IF($E:$E="SAUSAGES", 30000, IF($E:$E="MARINATED CHICKEN", 25000, IF($E:$E="MARINATED GOAT LEG", 28000, IF($E:$E="TOMATOES", 3000,  IF($E:$E="CHICKEN", 30000, IF($E:$E="LOCAL EGGS", 25000,  IF($E:$E="IRISH", 3000, IF($E:$E="MILK", 2000, IF($E:$E="ONIONS", 6000, IF($E:$E="YELLOW YOLK EGGS", 20000, IF($E:$E="AVOCADO", 1000, IF($E:$E="BEEF", 16000,IF($E:$E="BEEF FILLET", 30000, IF($E:$E="PLAIN YOGHURT", 4000, IF($E:$E="DOG MEAT", 4000, IF($E:$E="BEEF SAUSAGES", 30000,IF($E:$E="GOAT", 19000, "")))))))))))))))))))))))</f>
        <v>2000</v>
      </c>
      <c r="G382" s="16">
        <f t="shared" si="6"/>
        <v>2000</v>
      </c>
    </row>
    <row r="383" spans="1:7" x14ac:dyDescent="0.25">
      <c r="A383" s="33" t="s">
        <v>299</v>
      </c>
      <c r="B383" s="45" t="s">
        <v>332</v>
      </c>
      <c r="C383" s="7">
        <v>13</v>
      </c>
      <c r="D383" s="29">
        <v>2</v>
      </c>
      <c r="E383" s="36" t="s">
        <v>59</v>
      </c>
      <c r="F383" s="10">
        <f>IF($E:$E="MATOOKE KGS", 1500, IF($E:$E="MINCED BEEF", 22000, IF($E:$E="DOG BONES", 4000, IF($E:$E="DOG MINCE", 5000,IF($E:$E="ZIP LOCKS",30000, IF($E:$E="BONELESS BEEF", 22000, IF($E:$E="SAUSAGES", 30000, IF($E:$E="MARINATED CHICKEN", 25000, IF($E:$E="MARINATED GOAT LEG", 28000, IF($E:$E="TOMATOES", 3000,  IF($E:$E="CHICKEN", 30000, IF($E:$E="LOCAL EGGS", 25000,  IF($E:$E="IRISH", 3000, IF($E:$E="MILK", 2000, IF($E:$E="ONIONS", 6000, IF($E:$E="YELLOW YOLK EGGS", 20000, IF($E:$E="AVOCADO", 1000, IF($E:$E="BEEF", 16000,IF($E:$E="BEEF FILLET", 30000, IF($E:$E="PLAIN YOGHURT", 4000, IF($E:$E="DOG MEAT", 4000, IF($E:$E="BEEF SAUSAGES", 30000,IF($E:$E="GOAT", 19000, "")))))))))))))))))))))))</f>
        <v>2000</v>
      </c>
      <c r="G383" s="16">
        <f t="shared" si="6"/>
        <v>4000</v>
      </c>
    </row>
    <row r="384" spans="1:7" x14ac:dyDescent="0.25">
      <c r="A384" s="33" t="s">
        <v>299</v>
      </c>
      <c r="B384" s="45" t="s">
        <v>332</v>
      </c>
      <c r="C384" s="7">
        <v>14</v>
      </c>
      <c r="D384" s="29">
        <v>2</v>
      </c>
      <c r="E384" s="36" t="s">
        <v>36</v>
      </c>
      <c r="F384" s="10">
        <v>5000</v>
      </c>
      <c r="G384" s="16">
        <f t="shared" si="6"/>
        <v>10000</v>
      </c>
    </row>
    <row r="385" spans="1:7" x14ac:dyDescent="0.25">
      <c r="A385" s="33" t="s">
        <v>299</v>
      </c>
      <c r="B385" s="45" t="s">
        <v>332</v>
      </c>
      <c r="C385" s="7">
        <v>15</v>
      </c>
      <c r="D385" s="29">
        <v>3</v>
      </c>
      <c r="E385" s="35" t="s">
        <v>9</v>
      </c>
      <c r="F385" s="17">
        <f>IF($E:$E="MATOOKE KGS", 1500, IF($E:$E="MINCED BEEF", 22000, IF($E:$E="DOG BONES", 4000, IF($E:$E="DOG MINCE", 5000,IF($E:$E="ZIP LOCKS",30000, IF($E:$E="BONELESS BEEF", 22000, IF($E:$E="SAUSAGES", 30000, IF($E:$E="MARINATED CHICKEN", 25000, IF($E:$E="MARINATED GOAT LEG", 28000, IF($E:$E="TOMATOES", 3000,  IF($E:$E="CHICKEN", 30000, IF($E:$E="LOCAL EGGS", 25000,  IF($E:$E="IRISH", 3000, IF($E:$E="MILK", 2000, IF($E:$E="ONIONS", 6000, IF($E:$E="YELLOW YOLK EGGS", 20000, IF($E:$E="AVOCADO", 1000, IF($E:$E="BEEF", 16000,IF($E:$E="BEEF FILLET", 30000, IF($E:$E="PLAIN YOGHURT", 4000, IF($E:$E="DOG MEAT", 4000, IF($E:$E="BEEF SAUSAGES", 30000,IF($E:$E="GOAT", 19000, "")))))))))))))))))))))))</f>
        <v>16000</v>
      </c>
      <c r="G385" s="16">
        <f t="shared" si="6"/>
        <v>48000</v>
      </c>
    </row>
    <row r="386" spans="1:7" x14ac:dyDescent="0.25">
      <c r="A386" s="33" t="s">
        <v>299</v>
      </c>
      <c r="B386" s="45" t="s">
        <v>332</v>
      </c>
      <c r="C386" s="7">
        <v>16</v>
      </c>
      <c r="D386" s="29">
        <v>1</v>
      </c>
      <c r="E386" s="35" t="s">
        <v>75</v>
      </c>
      <c r="F386" s="10">
        <f>IF($E:$E="MATOOKE KGS", 1500, IF($E:$E="SAUSAGES", 30000, IF($E:$E="MARINATED CHICKEN", 25000, IF($E:$E="MARINATED GOAT LEG", 28000, IF($E:$E="TOMATOES", 3000,  IF($E:$E="CHICKEN", 30000, IF($E:$E="LOCAL EGGS", 25000,  IF($E:$E="IRISH", 3000, IF($E:$E="MILK", 2000, IF($E:$E="ONIONS", 6000, IF($E:$E="YELLOW YOLK EGGS", 20000, IF($E:$E="AVOCADO", 1000, IF($E:$E="BEEF", 16000, IF($E:$E="PLAIN YOGHURT", 4000, IF($E:$E="DOG MEAT", 4000, IF($E:$E="GOAT", 19000, ""))))))))))))))))</f>
        <v>20000</v>
      </c>
      <c r="G386" s="16">
        <f t="shared" ref="G386:G449" si="8">(F386*D386)</f>
        <v>20000</v>
      </c>
    </row>
    <row r="387" spans="1:7" x14ac:dyDescent="0.25">
      <c r="A387" s="33" t="s">
        <v>299</v>
      </c>
      <c r="B387" s="45" t="s">
        <v>332</v>
      </c>
      <c r="C387" s="7">
        <v>17</v>
      </c>
      <c r="D387" s="29">
        <v>1.4</v>
      </c>
      <c r="E387" s="36" t="s">
        <v>56</v>
      </c>
      <c r="F387" s="10">
        <f>IF($E:$E="MATOOKE KGS", 1500, IF($E:$E="SAUSAGES", 30000,  IF($E:$E="TOMATOES", 3000,  IF($E:$E="CHICKEN", 30000, IF($E:$E="LOCAL EGGS", 25000,  IF($E:$E="IRISH", 3000, IF($E:$E="MILK", 2000, IF($E:$E="ONIONS", 6000, IF($E:$E="YELLOW YOLK EGGS", 20000, IF($E:$E="AVOCADO", 1000, IF($E:$E="BEEF", 16000, IF($E:$E="PLAIN YOGHURT", 4000, ""))))))))))))</f>
        <v>1500</v>
      </c>
      <c r="G387" s="16">
        <f t="shared" si="8"/>
        <v>2100</v>
      </c>
    </row>
    <row r="388" spans="1:7" x14ac:dyDescent="0.25">
      <c r="A388" s="33" t="s">
        <v>299</v>
      </c>
      <c r="B388" s="45" t="s">
        <v>332</v>
      </c>
      <c r="C388" s="7">
        <v>18</v>
      </c>
      <c r="D388" s="29">
        <v>2</v>
      </c>
      <c r="E388" s="36" t="s">
        <v>56</v>
      </c>
      <c r="F388" s="10">
        <f>IF($E:$E="MATOOKE KGS", 1500, IF($E:$E="SAUSAGES", 30000,  IF($E:$E="TOMATOES", 3000,  IF($E:$E="CHICKEN", 30000, IF($E:$E="LOCAL EGGS", 25000,  IF($E:$E="IRISH", 3000, IF($E:$E="MILK", 2000, IF($E:$E="ONIONS", 6000, IF($E:$E="YELLOW YOLK EGGS", 20000, IF($E:$E="AVOCADO", 1000, IF($E:$E="BEEF", 16000, IF($E:$E="PLAIN YOGHURT", 4000, ""))))))))))))</f>
        <v>1500</v>
      </c>
      <c r="G388" s="16">
        <f t="shared" si="8"/>
        <v>3000</v>
      </c>
    </row>
    <row r="389" spans="1:7" x14ac:dyDescent="0.25">
      <c r="A389" s="33" t="s">
        <v>299</v>
      </c>
      <c r="B389" s="45" t="s">
        <v>332</v>
      </c>
      <c r="C389" s="7">
        <v>19</v>
      </c>
      <c r="D389" s="29">
        <v>1</v>
      </c>
      <c r="E389" s="35" t="s">
        <v>52</v>
      </c>
      <c r="F389" s="10">
        <v>29000</v>
      </c>
      <c r="G389" s="16">
        <f t="shared" si="8"/>
        <v>29000</v>
      </c>
    </row>
    <row r="390" spans="1:7" x14ac:dyDescent="0.25">
      <c r="A390" s="33" t="s">
        <v>299</v>
      </c>
      <c r="B390" s="45" t="s">
        <v>332</v>
      </c>
      <c r="C390" s="7">
        <v>20</v>
      </c>
      <c r="D390" s="29">
        <v>1</v>
      </c>
      <c r="E390" s="36" t="s">
        <v>74</v>
      </c>
      <c r="F390" s="10">
        <f>IF($E:$E="MATOOKE KGS", 1500, IF($E:$E="SAUSAGES", 30000,  IF($E:$E="TOMATOES", 3000,  IF($E:$E="CHICKEN", 30000, IF($E:$E="LOCAL EGGS", 25000,  IF($E:$E="IRISH", 3000, IF($E:$E="MILK", 2000, IF($E:$E="ONIONS", 6000, IF($E:$E="YELLOW YOLK EGGS", 20000, IF($E:$E="AVOCADO", 1000, IF($E:$E="BEEF", 16000, IF($E:$E="PLAIN YOGHURT", 4000, ""))))))))))))</f>
        <v>3000</v>
      </c>
      <c r="G390" s="16">
        <f t="shared" si="8"/>
        <v>3000</v>
      </c>
    </row>
    <row r="391" spans="1:7" x14ac:dyDescent="0.25">
      <c r="A391" s="33" t="s">
        <v>299</v>
      </c>
      <c r="B391" s="45" t="s">
        <v>332</v>
      </c>
      <c r="C391" s="7">
        <v>21</v>
      </c>
      <c r="D391" s="29">
        <v>2</v>
      </c>
      <c r="E391" s="36" t="s">
        <v>56</v>
      </c>
      <c r="F391" s="10">
        <f>IF($E:$E="MATOOKE KGS", 1500, IF($E:$E="SAUSAGES", 30000,  IF($E:$E="TOMATOES", 3000,  IF($E:$E="CHICKEN", 30000, IF($E:$E="LOCAL EGGS", 25000,  IF($E:$E="IRISH", 3000, IF($E:$E="MILK", 2000, IF($E:$E="ONIONS", 6000, IF($E:$E="YELLOW YOLK EGGS", 20000, IF($E:$E="AVOCADO", 1000, IF($E:$E="BEEF", 16000, IF($E:$E="PLAIN YOGHURT", 4000, ""))))))))))))</f>
        <v>1500</v>
      </c>
      <c r="G391" s="16">
        <f t="shared" si="8"/>
        <v>3000</v>
      </c>
    </row>
    <row r="392" spans="1:7" x14ac:dyDescent="0.25">
      <c r="A392" s="33" t="s">
        <v>299</v>
      </c>
      <c r="B392" s="45" t="s">
        <v>332</v>
      </c>
      <c r="C392" s="7">
        <v>22</v>
      </c>
      <c r="D392" s="29">
        <v>0.5</v>
      </c>
      <c r="E392" s="35" t="s">
        <v>9</v>
      </c>
      <c r="F392" s="17">
        <f>IF($E:$E="MATOOKE KGS", 1500, IF($E:$E="MINCED BEEF", 22000, IF($E:$E="DOG BONES", 4000, IF($E:$E="DOG MINCE", 5000,IF($E:$E="ZIP LOCKS",30000, IF($E:$E="BONELESS BEEF", 22000, IF($E:$E="SAUSAGES", 30000, IF($E:$E="MARINATED CHICKEN", 25000, IF($E:$E="MARINATED GOAT LEG", 28000, IF($E:$E="TOMATOES", 3000,  IF($E:$E="CHICKEN", 30000, IF($E:$E="LOCAL EGGS", 25000,  IF($E:$E="IRISH", 3000, IF($E:$E="MILK", 2000, IF($E:$E="ONIONS", 6000, IF($E:$E="YELLOW YOLK EGGS", 20000, IF($E:$E="AVOCADO", 1000, IF($E:$E="BEEF", 16000,IF($E:$E="BEEF FILLET", 30000, IF($E:$E="PLAIN YOGHURT", 4000, IF($E:$E="DOG MEAT", 4000, IF($E:$E="BEEF SAUSAGES", 30000,IF($E:$E="GOAT", 19000, "")))))))))))))))))))))))</f>
        <v>16000</v>
      </c>
      <c r="G392" s="16">
        <f t="shared" si="8"/>
        <v>8000</v>
      </c>
    </row>
    <row r="393" spans="1:7" x14ac:dyDescent="0.25">
      <c r="A393" s="33" t="s">
        <v>299</v>
      </c>
      <c r="B393" s="45" t="s">
        <v>332</v>
      </c>
      <c r="C393" s="7">
        <v>23</v>
      </c>
      <c r="D393" s="29">
        <v>1</v>
      </c>
      <c r="E393" s="35" t="s">
        <v>52</v>
      </c>
      <c r="F393" s="10">
        <v>20500</v>
      </c>
      <c r="G393" s="16">
        <f t="shared" si="8"/>
        <v>20500</v>
      </c>
    </row>
    <row r="394" spans="1:7" x14ac:dyDescent="0.25">
      <c r="A394" s="33" t="s">
        <v>299</v>
      </c>
      <c r="B394" s="45" t="s">
        <v>332</v>
      </c>
      <c r="C394" s="7">
        <v>24</v>
      </c>
      <c r="D394" s="29">
        <v>4</v>
      </c>
      <c r="E394" s="36" t="s">
        <v>56</v>
      </c>
      <c r="F394" s="10">
        <f>IF($E:$E="MATOOKE KGS", 1500, IF($E:$E="SAUSAGES", 30000,  IF($E:$E="TOMATOES", 3000,  IF($E:$E="CHICKEN", 30000, IF($E:$E="LOCAL EGGS", 25000,  IF($E:$E="IRISH", 3000, IF($E:$E="MILK", 2000, IF($E:$E="ONIONS", 6000, IF($E:$E="YELLOW YOLK EGGS", 20000, IF($E:$E="AVOCADO", 1000, IF($E:$E="BEEF", 16000, IF($E:$E="PLAIN YOGHURT", 4000, ""))))))))))))</f>
        <v>1500</v>
      </c>
      <c r="G394" s="16">
        <f t="shared" si="8"/>
        <v>6000</v>
      </c>
    </row>
    <row r="395" spans="1:7" x14ac:dyDescent="0.25">
      <c r="A395" s="33" t="s">
        <v>299</v>
      </c>
      <c r="B395" s="45" t="s">
        <v>332</v>
      </c>
      <c r="C395" s="7">
        <v>25</v>
      </c>
      <c r="D395" s="29">
        <v>1</v>
      </c>
      <c r="E395" s="35" t="s">
        <v>52</v>
      </c>
      <c r="F395" s="10">
        <v>10000</v>
      </c>
      <c r="G395" s="16">
        <f t="shared" si="8"/>
        <v>10000</v>
      </c>
    </row>
    <row r="396" spans="1:7" x14ac:dyDescent="0.25">
      <c r="A396" s="33" t="s">
        <v>299</v>
      </c>
      <c r="B396" s="45" t="s">
        <v>332</v>
      </c>
      <c r="C396" s="7">
        <v>26</v>
      </c>
      <c r="D396" s="29">
        <v>2</v>
      </c>
      <c r="E396" s="36" t="s">
        <v>56</v>
      </c>
      <c r="F396" s="10">
        <f>IF($E:$E="MATOOKE KGS", 1500, IF($E:$E="SAUSAGES", 30000,  IF($E:$E="TOMATOES", 3000,  IF($E:$E="CHICKEN", 30000, IF($E:$E="LOCAL EGGS", 25000,  IF($E:$E="IRISH", 3000, IF($E:$E="MILK", 2000, IF($E:$E="ONIONS", 6000, IF($E:$E="YELLOW YOLK EGGS", 20000, IF($E:$E="AVOCADO", 1000, IF($E:$E="BEEF", 16000, IF($E:$E="PLAIN YOGHURT", 4000, ""))))))))))))</f>
        <v>1500</v>
      </c>
      <c r="G396" s="16">
        <f t="shared" si="8"/>
        <v>3000</v>
      </c>
    </row>
    <row r="397" spans="1:7" x14ac:dyDescent="0.25">
      <c r="A397" s="33" t="s">
        <v>299</v>
      </c>
      <c r="B397" s="45" t="s">
        <v>332</v>
      </c>
      <c r="C397" s="7">
        <v>27</v>
      </c>
      <c r="D397" s="29">
        <v>1</v>
      </c>
      <c r="E397" s="35" t="s">
        <v>52</v>
      </c>
      <c r="F397" s="10">
        <v>17000</v>
      </c>
      <c r="G397" s="16">
        <f t="shared" si="8"/>
        <v>17000</v>
      </c>
    </row>
    <row r="398" spans="1:7" x14ac:dyDescent="0.25">
      <c r="A398" s="33" t="s">
        <v>299</v>
      </c>
      <c r="B398" s="45" t="s">
        <v>332</v>
      </c>
      <c r="C398" s="7">
        <v>28</v>
      </c>
      <c r="D398" s="29">
        <v>1</v>
      </c>
      <c r="E398" s="35" t="s">
        <v>52</v>
      </c>
      <c r="F398" s="10">
        <v>23500</v>
      </c>
      <c r="G398" s="16">
        <f t="shared" si="8"/>
        <v>23500</v>
      </c>
    </row>
    <row r="399" spans="1:7" x14ac:dyDescent="0.25">
      <c r="A399" s="33" t="s">
        <v>299</v>
      </c>
      <c r="B399" s="45" t="s">
        <v>332</v>
      </c>
      <c r="C399" s="7">
        <v>29</v>
      </c>
      <c r="D399" s="29">
        <v>1</v>
      </c>
      <c r="E399" s="36" t="s">
        <v>20</v>
      </c>
      <c r="F399" s="10">
        <f>IF($E:$E="MATOOKE KGS", 1500, IF($E:$E="SAUSAGES", 30000,  IF($E:$E="TOMATOES", 3000,  IF($E:$E="CHICKEN", 30000, IF($E:$E="LOCAL EGGS", 25000,  IF($E:$E="IRISH", 3000, IF($E:$E="MILK", 2000, IF($E:$E="ONIONS", 6000, IF($E:$E="YELLOW YOLK EGGS", 20000, IF($E:$E="AVOCADO", 1000, IF($E:$E="BEEF", 16000, IF($E:$E="PLAIN YOGHURT", 4000, ""))))))))))))</f>
        <v>30000</v>
      </c>
      <c r="G399" s="16">
        <f t="shared" si="8"/>
        <v>30000</v>
      </c>
    </row>
    <row r="400" spans="1:7" x14ac:dyDescent="0.25">
      <c r="A400" s="33" t="s">
        <v>299</v>
      </c>
      <c r="B400" s="45" t="s">
        <v>332</v>
      </c>
      <c r="C400" s="7">
        <v>30</v>
      </c>
      <c r="D400" s="29">
        <v>3</v>
      </c>
      <c r="E400" s="36" t="s">
        <v>74</v>
      </c>
      <c r="F400" s="10">
        <f>IF($E:$E="MATOOKE KGS", 1500, IF($E:$E="SAUSAGES", 30000, IF($E:$E="TOMATOES", 3000, IF($E:$E="CHICKEN", 30000, IF($E:$E="LOCAL EGGS", 25000, IF($E:$E="IRISH", 3000, IF($E:$E="MILK", 2000, IF($E:$E="ONIONS", 6000, IF($E:$E="YELLOW YOLK EGGS", 20000, IF($E:$E="AVOCADO", 1000, IF($E:$E="BEEF", 16000, IF($E:$E="PLAIN YOGHURT", 4000, ""))))))))))))</f>
        <v>3000</v>
      </c>
      <c r="G400" s="16">
        <f t="shared" si="8"/>
        <v>9000</v>
      </c>
    </row>
    <row r="401" spans="1:7" x14ac:dyDescent="0.25">
      <c r="A401" s="33" t="s">
        <v>299</v>
      </c>
      <c r="B401" s="45" t="s">
        <v>332</v>
      </c>
      <c r="C401" s="7">
        <v>31</v>
      </c>
      <c r="D401" s="29">
        <v>3</v>
      </c>
      <c r="E401" s="36" t="s">
        <v>40</v>
      </c>
      <c r="F401" s="10">
        <f>IF($E:$E="MATOOKE KGS", 1500, IF($E:$E="SAUSAGES", 30000, IF($E:$E="TOMATOES", 3000, IF($E:$E="CHICKEN", 30000, IF($E:$E="LOCAL EGGS", 25000, IF($E:$E="IRISH POTATOES", 3000, IF($E:$E="MILK", 2000, IF($E:$E="ONIONS", 6000, IF($E:$E="YELLOW YOLK EGGS", 20000, IF($E:$E="AVOCADO", 1000, IF($E:$E="BEEF", 16000, IF($E:$E="PLAIN YOGHURT", 4000, ""))))))))))))</f>
        <v>3000</v>
      </c>
      <c r="G401" s="16">
        <f t="shared" si="8"/>
        <v>9000</v>
      </c>
    </row>
    <row r="402" spans="1:7" x14ac:dyDescent="0.25">
      <c r="A402" s="33" t="s">
        <v>299</v>
      </c>
      <c r="B402" s="45" t="s">
        <v>332</v>
      </c>
      <c r="C402" s="7">
        <v>32</v>
      </c>
      <c r="D402" s="29">
        <v>1</v>
      </c>
      <c r="E402" s="35" t="s">
        <v>9</v>
      </c>
      <c r="F402" s="17">
        <f>IF($E:$E="MATOOKE KGS", 1500, IF($E:$E="MINCED BEEF", 22000, IF($E:$E="DOG BONES", 4000, IF($E:$E="DOG MINCE", 5000,IF($E:$E="ZIP LOCKS",30000, IF($E:$E="BONELESS BEEF", 22000, IF($E:$E="SAUSAGES", 30000, IF($E:$E="MARINATED CHICKEN", 25000, IF($E:$E="MARINATED GOAT LEG", 28000, IF($E:$E="TOMATOES", 3000,  IF($E:$E="CHICKEN", 30000, IF($E:$E="LOCAL EGGS", 25000,  IF($E:$E="IRISH", 3000, IF($E:$E="MILK", 2000, IF($E:$E="ONIONS", 6000, IF($E:$E="YELLOW YOLK EGGS", 20000, IF($E:$E="AVOCADO", 1000, IF($E:$E="BEEF", 16000,IF($E:$E="BEEF FILLET", 30000, IF($E:$E="PLAIN YOGHURT", 4000, IF($E:$E="DOG MEAT", 4000, IF($E:$E="BEEF SAUSAGES", 30000,IF($E:$E="GOAT", 19000, "")))))))))))))))))))))))</f>
        <v>16000</v>
      </c>
      <c r="G402" s="16">
        <f t="shared" si="8"/>
        <v>16000</v>
      </c>
    </row>
    <row r="403" spans="1:7" x14ac:dyDescent="0.25">
      <c r="A403" s="33" t="s">
        <v>299</v>
      </c>
      <c r="B403" s="45" t="s">
        <v>332</v>
      </c>
      <c r="C403" s="7">
        <v>33</v>
      </c>
      <c r="D403" s="29">
        <v>4.5</v>
      </c>
      <c r="E403" s="36" t="s">
        <v>59</v>
      </c>
      <c r="F403" s="10">
        <f>IF($E:$E="MATOOKE KGS", 1500, IF($E:$E="MINCED BEEF", 22000, IF($E:$E="DOG BONES", 4000, IF($E:$E="DOG MINCE", 5000,IF($E:$E="ZIP LOCKS",30000, IF($E:$E="BONELESS BEEF", 22000, IF($E:$E="SAUSAGES", 30000, IF($E:$E="MARINATED CHICKEN", 25000, IF($E:$E="MARINATED GOAT LEG", 28000, IF($E:$E="TOMATOES", 3000,  IF($E:$E="CHICKEN", 30000, IF($E:$E="LOCAL EGGS", 25000,  IF($E:$E="IRISH", 3000, IF($E:$E="MILK", 2000, IF($E:$E="ONIONS", 6000, IF($E:$E="YELLOW YOLK EGGS", 20000, IF($E:$E="AVOCADO", 1000, IF($E:$E="BEEF", 16000,IF($E:$E="BEEF FILLET", 30000, IF($E:$E="PLAIN YOGHURT", 4000, IF($E:$E="DOG MEAT", 4000, IF($E:$E="BEEF SAUSAGES", 30000,IF($E:$E="GOAT", 19000, "")))))))))))))))))))))))</f>
        <v>2000</v>
      </c>
      <c r="G403" s="16">
        <f t="shared" si="8"/>
        <v>9000</v>
      </c>
    </row>
    <row r="404" spans="1:7" x14ac:dyDescent="0.25">
      <c r="A404" s="33" t="s">
        <v>299</v>
      </c>
      <c r="B404" s="45" t="s">
        <v>332</v>
      </c>
      <c r="C404" s="7">
        <v>34</v>
      </c>
      <c r="D404" s="29">
        <v>0.3</v>
      </c>
      <c r="E404" s="36" t="s">
        <v>74</v>
      </c>
      <c r="F404" s="10">
        <f>IF($E:$E="MATOOKE KGS", 1500, IF($E:$E="SAUSAGES", 30000, IF($E:$E="TOMATOES", 3000, IF($E:$E="CHICKEN", 30000, IF($E:$E="LOCAL EGGS", 25000, IF($E:$E="IRISH", 3000, IF($E:$E="MILK", 2000, IF($E:$E="ONIONS", 6000, IF($E:$E="YELLOW YOLK EGGS", 20000, IF($E:$E="AVOCADO", 1000, IF($E:$E="BEEF", 16000, IF($E:$E="PLAIN YOGHURT", 4000, ""))))))))))))</f>
        <v>3000</v>
      </c>
      <c r="G404" s="16">
        <f t="shared" si="8"/>
        <v>900</v>
      </c>
    </row>
    <row r="405" spans="1:7" x14ac:dyDescent="0.25">
      <c r="A405" s="33" t="s">
        <v>299</v>
      </c>
      <c r="B405" s="45" t="s">
        <v>332</v>
      </c>
      <c r="C405" s="7">
        <v>35</v>
      </c>
      <c r="D405" s="29">
        <v>0.5</v>
      </c>
      <c r="E405" s="35" t="s">
        <v>44</v>
      </c>
      <c r="F405" s="17">
        <f>IF($E:$E="MATOOKE KGS", 1500, IF($E:$E="SAUSAGES", 30000, IF($E:$E="TOMATOES", 3000, IF($E:$E="CHICKEN", 30000, IF($E:$E="LOCAL EGGS", 25000, IF($E:$E="IRISH", 3000, IF($E:$E="MILK", 2000, IF($E:$E="ONIONS", 6000, IF($E:$E="YELLOW YOLK EGGS", 20000, IF($E:$E="AVOCADO", 1000, IF($E:$E="BEEF", 16000, IF($E:$E="PLAIN YOGHURT", 4000, ""))))))))))))</f>
        <v>25000</v>
      </c>
      <c r="G405" s="16">
        <f t="shared" si="8"/>
        <v>12500</v>
      </c>
    </row>
    <row r="406" spans="1:7" x14ac:dyDescent="0.25">
      <c r="A406" s="33" t="s">
        <v>299</v>
      </c>
      <c r="B406" s="45" t="s">
        <v>332</v>
      </c>
      <c r="C406" s="7">
        <v>36</v>
      </c>
      <c r="D406" s="29">
        <v>6.7</v>
      </c>
      <c r="E406" s="36" t="s">
        <v>56</v>
      </c>
      <c r="F406" s="10">
        <f>IF($E:$E="MATOOKE KGS", 1500, IF($E:$E="SAUSAGES", 30000, IF($E:$E="TOMATOES", 3000, IF($E:$E="CHICKEN", 30000, IF($E:$E="LOCAL EGGS", 25000, IF($E:$E="IRISH", 3000, IF($E:$E="MILK", 2000, IF($E:$E="ONIONS", 6000, IF($E:$E="YELLOW YOLK EGGS", 20000, IF($E:$E="AVOCADO", 1000, IF($E:$E="BEEF", 16000, IF($E:$E="PLAIN YOGHURT", 4000, ""))))))))))))</f>
        <v>1500</v>
      </c>
      <c r="G406" s="16">
        <f t="shared" si="8"/>
        <v>10050</v>
      </c>
    </row>
    <row r="407" spans="1:7" x14ac:dyDescent="0.25">
      <c r="A407" s="33" t="s">
        <v>299</v>
      </c>
      <c r="B407" s="45" t="s">
        <v>332</v>
      </c>
      <c r="C407" s="7">
        <v>37</v>
      </c>
      <c r="D407" s="29">
        <v>0.5</v>
      </c>
      <c r="E407" s="35" t="s">
        <v>29</v>
      </c>
      <c r="F407" s="10">
        <f>IF($E:$E="MATOOKE KGS", 1500, IF($E:$E="SAUSAGES", 30000,  IF($E:$E="TOMATOES", 3000,  IF($E:$E="CHICKEN", 30000, IF($E:$E="LOCAL EGGS", 25000,  IF($E:$E="IRISH", 3000, IF($E:$E="MILK", 2000, IF($E:$E="ONIONS", 6000, IF($E:$E="YELLOW YOLK EGGS", 20000, IF($E:$E="AVOCADO", 1000, IF($E:$E="BEEF", 16000, IF($E:$E="PLAIN YOGHURT", 4000, IF($E:$E="GOAT", 19000, "")))))))))))))</f>
        <v>19000</v>
      </c>
      <c r="G407" s="16">
        <f t="shared" si="8"/>
        <v>9500</v>
      </c>
    </row>
    <row r="408" spans="1:7" x14ac:dyDescent="0.25">
      <c r="A408" s="33" t="s">
        <v>299</v>
      </c>
      <c r="B408" s="45" t="s">
        <v>332</v>
      </c>
      <c r="C408" s="7">
        <v>38</v>
      </c>
      <c r="D408" s="29">
        <v>1</v>
      </c>
      <c r="E408" s="36" t="s">
        <v>40</v>
      </c>
      <c r="F408" s="10">
        <f>IF($E:$E="MATOOKE KGS", 1500, IF($E:$E="SAUSAGES", 30000, IF($E:$E="TOMATOES", 3000, IF($E:$E="CHICKEN", 30000, IF($E:$E="LOCAL EGGS", 25000, IF($E:$E="IRISH POTATOES", 3000, IF($E:$E="MILK", 2000, IF($E:$E="ONIONS", 6000, IF($E:$E="YELLOW YOLK EGGS", 20000, IF($E:$E="AVOCADO", 1000, IF($E:$E="BEEF", 16000, IF($E:$E="PLAIN YOGHURT", 4000, ""))))))))))))</f>
        <v>3000</v>
      </c>
      <c r="G408" s="16">
        <f t="shared" si="8"/>
        <v>3000</v>
      </c>
    </row>
    <row r="409" spans="1:7" x14ac:dyDescent="0.25">
      <c r="A409" s="33" t="s">
        <v>299</v>
      </c>
      <c r="B409" s="45" t="s">
        <v>332</v>
      </c>
      <c r="C409" s="7">
        <v>39</v>
      </c>
      <c r="D409" s="29">
        <v>1</v>
      </c>
      <c r="E409" s="36" t="s">
        <v>36</v>
      </c>
      <c r="F409" s="10">
        <v>5000</v>
      </c>
      <c r="G409" s="16">
        <f t="shared" si="8"/>
        <v>5000</v>
      </c>
    </row>
    <row r="410" spans="1:7" x14ac:dyDescent="0.25">
      <c r="A410" s="33" t="s">
        <v>299</v>
      </c>
      <c r="B410" s="45" t="s">
        <v>332</v>
      </c>
      <c r="C410" s="7">
        <v>40</v>
      </c>
      <c r="D410" s="29">
        <v>1</v>
      </c>
      <c r="E410" s="36" t="s">
        <v>69</v>
      </c>
      <c r="F410" s="10">
        <f>IF($E:$E="MATOOKE KGS", 1500, IF($E:$E="SAUSAGES", 30000,  IF($E:$E="TOMATOES", 3000,  IF($E:$E="CHICKEN", 30000, IF($E:$E="LOCAL EGGS", 25000,  IF($E:$E="IRISH", 3000, IF($E:$E="MILK", 2000, IF($E:$E="ONIONS", 6000, IF($E:$E="YELLOW YOLK EGGS", 20000, IF($E:$E="AVOCADO", 1000, IF($E:$E="BEEF", 16000, IF($E:$E="PLAIN YOGHURT", 4000, IF($E:$E="GOAT", 19000, "")))))))))))))</f>
        <v>4000</v>
      </c>
      <c r="G410" s="16">
        <f t="shared" si="8"/>
        <v>4000</v>
      </c>
    </row>
    <row r="411" spans="1:7" x14ac:dyDescent="0.25">
      <c r="A411" s="33" t="s">
        <v>299</v>
      </c>
      <c r="B411" s="45" t="s">
        <v>332</v>
      </c>
      <c r="C411" s="7">
        <v>41</v>
      </c>
      <c r="D411" s="29">
        <v>1</v>
      </c>
      <c r="E411" s="35" t="s">
        <v>9</v>
      </c>
      <c r="F411" s="17">
        <f>IF($E:$E="MATOOKE KGS", 1500, IF($E:$E="MINCED BEEF", 22000, IF($E:$E="DOG BONES", 4000, IF($E:$E="DOG MINCE", 5000,IF($E:$E="ZIP LOCKS",30000, IF($E:$E="BONELESS BEEF", 22000, IF($E:$E="SAUSAGES", 30000, IF($E:$E="MARINATED CHICKEN", 25000, IF($E:$E="MARINATED GOAT LEG", 28000, IF($E:$E="TOMATOES", 3000,  IF($E:$E="CHICKEN", 30000, IF($E:$E="LOCAL EGGS", 25000,  IF($E:$E="IRISH", 3000, IF($E:$E="MILK", 2000, IF($E:$E="ONIONS", 6000, IF($E:$E="YELLOW YOLK EGGS", 20000, IF($E:$E="AVOCADO", 1000, IF($E:$E="BEEF", 16000,IF($E:$E="BEEF FILLET", 30000, IF($E:$E="PLAIN YOGHURT", 4000, IF($E:$E="DOG MEAT", 4000, IF($E:$E="BEEF SAUSAGES", 30000,IF($E:$E="GOAT", 19000, "")))))))))))))))))))))))</f>
        <v>16000</v>
      </c>
      <c r="G411" s="16">
        <f t="shared" si="8"/>
        <v>16000</v>
      </c>
    </row>
    <row r="412" spans="1:7" x14ac:dyDescent="0.25">
      <c r="A412" s="33" t="s">
        <v>299</v>
      </c>
      <c r="B412" s="45" t="s">
        <v>332</v>
      </c>
      <c r="C412" s="7">
        <v>42</v>
      </c>
      <c r="D412" s="29">
        <v>0.5</v>
      </c>
      <c r="E412" s="35" t="s">
        <v>75</v>
      </c>
      <c r="F412" s="10">
        <f>IF($E:$E="MATOOKE KGS", 1500, IF($E:$E="SAUSAGES", 30000, IF($E:$E="MARINATED CHICKEN", 25000, IF($E:$E="MARINATED GOAT LEG", 28000, IF($E:$E="TOMATOES", 3000,  IF($E:$E="CHICKEN", 30000, IF($E:$E="LOCAL EGGS", 25000,  IF($E:$E="IRISH", 3000, IF($E:$E="MILK", 2000, IF($E:$E="ONIONS", 6000, IF($E:$E="YELLOW YOLK EGGS", 20000, IF($E:$E="AVOCADO", 1000, IF($E:$E="BEEF", 16000, IF($E:$E="PLAIN YOGHURT", 4000, IF($E:$E="DOG MEAT", 4000, IF($E:$E="GOAT", 19000, ""))))))))))))))))</f>
        <v>20000</v>
      </c>
      <c r="G412" s="16">
        <f t="shared" si="8"/>
        <v>10000</v>
      </c>
    </row>
    <row r="413" spans="1:7" x14ac:dyDescent="0.25">
      <c r="A413" s="33" t="s">
        <v>299</v>
      </c>
      <c r="B413" s="45" t="s">
        <v>332</v>
      </c>
      <c r="C413" s="7">
        <v>43</v>
      </c>
      <c r="D413" s="29">
        <v>3.4</v>
      </c>
      <c r="E413" s="36" t="s">
        <v>56</v>
      </c>
      <c r="F413" s="10">
        <f>IF($E:$E="MATOOKE KGS", 1500, IF($E:$E="SAUSAGES", 30000, IF($E:$E="TOMATOES", 3000, IF($E:$E="CHICKEN", 30000, IF($E:$E="LOCAL EGGS", 25000, IF($E:$E="IRISH", 3000, IF($E:$E="MILK", 2000, IF($E:$E="ONIONS", 6000, IF($E:$E="YELLOW YOLK EGGS", 20000, IF($E:$E="AVOCADO", 1000, IF($E:$E="BEEF", 16000, IF($E:$E="PLAIN YOGHURT", 4000, IF($E:$E="GOAT", 19000, "")))))))))))))</f>
        <v>1500</v>
      </c>
      <c r="G413" s="16">
        <f t="shared" si="8"/>
        <v>5100</v>
      </c>
    </row>
    <row r="414" spans="1:7" x14ac:dyDescent="0.25">
      <c r="A414" s="33" t="s">
        <v>299</v>
      </c>
      <c r="B414" s="45" t="s">
        <v>332</v>
      </c>
      <c r="C414" s="7">
        <v>44</v>
      </c>
      <c r="D414" s="29">
        <v>0.3</v>
      </c>
      <c r="E414" s="36" t="s">
        <v>74</v>
      </c>
      <c r="F414" s="10">
        <f>IF($E:$E="MATOOKE KGS", 1500, IF($E:$E="SAUSAGES", 30000, IF($E:$E="TOMATOES", 3000, IF($E:$E="CHICKEN", 30000, IF($E:$E="LOCAL EGGS", 25000, IF($E:$E="IRISH", 3000, IF($E:$E="MILK", 2000, IF($E:$E="ONIONS", 6000, IF($E:$E="YELLOW YOLK EGGS", 20000, IF($E:$E="AVOCADO", 1000, IF($E:$E="BEEF", 16000, IF($E:$E="PLAIN YOGHURT", 4000, IF($E:$E="GOAT", 19000, "")))))))))))))</f>
        <v>3000</v>
      </c>
      <c r="G414" s="16">
        <f t="shared" si="8"/>
        <v>900</v>
      </c>
    </row>
    <row r="415" spans="1:7" x14ac:dyDescent="0.25">
      <c r="A415" s="33" t="s">
        <v>299</v>
      </c>
      <c r="B415" s="45" t="s">
        <v>332</v>
      </c>
      <c r="C415" s="7">
        <v>45</v>
      </c>
      <c r="D415" s="29">
        <v>0.2</v>
      </c>
      <c r="E415" s="36" t="s">
        <v>64</v>
      </c>
      <c r="F415" s="10">
        <f>IF($E:$E="MATOOKE KGS", 1500, IF($E:$E="SAUSAGES", 30000, IF($E:$E="TOMATOES", 3000, IF($E:$E="CHICKEN", 30000, IF($E:$E="LOCAL EGGS", 25000, IF($E:$E="IRISH", 3000, IF($E:$E="MILK", 2000, IF($E:$E="ONIONS", 6000, IF($E:$E="YELLOW YOLK EGGS", 20000, IF($E:$E="AVOCADO", 1000, IF($E:$E="BEEF", 16000, IF($E:$E="PLAIN YOGHURT", 4000, IF($E:$E="GOAT", 19000, "")))))))))))))</f>
        <v>6000</v>
      </c>
      <c r="G415" s="16">
        <f t="shared" si="8"/>
        <v>1200</v>
      </c>
    </row>
    <row r="416" spans="1:7" x14ac:dyDescent="0.25">
      <c r="A416" s="33" t="s">
        <v>299</v>
      </c>
      <c r="B416" s="45" t="s">
        <v>332</v>
      </c>
      <c r="C416" s="7">
        <v>46</v>
      </c>
      <c r="D416" s="29">
        <v>2</v>
      </c>
      <c r="E416" s="36" t="s">
        <v>56</v>
      </c>
      <c r="F416" s="10">
        <f>IF($E:$E="MATOOKE KGS", 1500, IF($E:$E="SAUSAGES", 30000, IF($E:$E="TOMATOES", 3000, IF($E:$E="CHICKEN", 30000, IF($E:$E="LOCAL EGGS", 25000, IF($E:$E="IRISH", 3000, IF($E:$E="MILK", 2000, IF($E:$E="ONIONS", 6000, IF($E:$E="YELLOW YOLK EGGS", 20000, IF($E:$E="AVOCADO", 1000, IF($E:$E="BEEF", 16000, IF($E:$E="PLAIN YOGHURT", 4000, IF($E:$E="GOAT", 19000, "")))))))))))))</f>
        <v>1500</v>
      </c>
      <c r="G416" s="16">
        <f t="shared" si="8"/>
        <v>3000</v>
      </c>
    </row>
    <row r="417" spans="1:7" x14ac:dyDescent="0.25">
      <c r="A417" s="33" t="s">
        <v>300</v>
      </c>
      <c r="B417" s="45" t="s">
        <v>333</v>
      </c>
      <c r="C417" s="7">
        <v>47</v>
      </c>
      <c r="D417" s="29">
        <v>1</v>
      </c>
      <c r="E417" s="35" t="s">
        <v>52</v>
      </c>
      <c r="F417" s="10">
        <v>22000</v>
      </c>
      <c r="G417" s="16">
        <f t="shared" si="8"/>
        <v>22000</v>
      </c>
    </row>
    <row r="418" spans="1:7" x14ac:dyDescent="0.25">
      <c r="A418" s="33" t="s">
        <v>300</v>
      </c>
      <c r="B418" s="45" t="s">
        <v>333</v>
      </c>
      <c r="C418" s="7">
        <v>48</v>
      </c>
      <c r="D418" s="29">
        <v>0.7</v>
      </c>
      <c r="E418" s="36" t="s">
        <v>56</v>
      </c>
      <c r="F418" s="10">
        <f>IF($E:$E="MATOOKE KGS", 1500, IF($E:$E="SAUSAGES", 30000,  IF($E:$E="TOMATOES", 3000,  IF($E:$E="CHICKEN", 30000, IF($E:$E="LOCAL EGGS", 25000,  IF($E:$E="IRISH", 3000, IF($E:$E="MILK", 2000, IF($E:$E="ONIONS", 6000, IF($E:$E="YELLOW YOLK EGGS", 20000, IF($E:$E="AVOCADO", 1000, IF($E:$E="BEEF", 16000, IF($E:$E="PLAIN YOGHURT", 4000, IF($E:$E="GOAT", 19000, "")))))))))))))</f>
        <v>1500</v>
      </c>
      <c r="G418" s="16">
        <f t="shared" si="8"/>
        <v>1050</v>
      </c>
    </row>
    <row r="419" spans="1:7" x14ac:dyDescent="0.25">
      <c r="A419" s="33" t="s">
        <v>300</v>
      </c>
      <c r="B419" s="45" t="s">
        <v>333</v>
      </c>
      <c r="C419" s="12">
        <v>1</v>
      </c>
      <c r="D419" s="29">
        <v>1</v>
      </c>
      <c r="E419" s="35" t="s">
        <v>52</v>
      </c>
      <c r="F419" s="10">
        <v>24000</v>
      </c>
      <c r="G419" s="16">
        <f t="shared" si="8"/>
        <v>24000</v>
      </c>
    </row>
    <row r="420" spans="1:7" x14ac:dyDescent="0.25">
      <c r="A420" s="33" t="s">
        <v>300</v>
      </c>
      <c r="B420" s="45" t="s">
        <v>333</v>
      </c>
      <c r="C420" s="12">
        <v>2</v>
      </c>
      <c r="D420" s="29">
        <v>1</v>
      </c>
      <c r="E420" s="35" t="s">
        <v>52</v>
      </c>
      <c r="F420" s="10">
        <v>18000</v>
      </c>
      <c r="G420" s="16">
        <f t="shared" si="8"/>
        <v>18000</v>
      </c>
    </row>
    <row r="421" spans="1:7" x14ac:dyDescent="0.25">
      <c r="A421" s="33" t="s">
        <v>300</v>
      </c>
      <c r="B421" s="45" t="s">
        <v>333</v>
      </c>
      <c r="C421" s="12">
        <v>3</v>
      </c>
      <c r="D421" s="29">
        <v>3</v>
      </c>
      <c r="E421" s="35" t="s">
        <v>21</v>
      </c>
      <c r="F421" s="10">
        <v>4000</v>
      </c>
      <c r="G421" s="16">
        <f t="shared" si="8"/>
        <v>12000</v>
      </c>
    </row>
    <row r="422" spans="1:7" x14ac:dyDescent="0.25">
      <c r="A422" s="33" t="s">
        <v>300</v>
      </c>
      <c r="B422" s="45" t="s">
        <v>333</v>
      </c>
      <c r="C422" s="12">
        <v>4</v>
      </c>
      <c r="D422" s="29">
        <v>1</v>
      </c>
      <c r="E422" s="35" t="s">
        <v>75</v>
      </c>
      <c r="F422" s="10">
        <f>IF($E:$E="MATOOKE KGS", 1500, IF($E:$E="SAUSAGES", 30000, IF($E:$E="MARINATED CHICKEN", 25000, IF($E:$E="MARINATED GOAT LEG", 28000, IF($E:$E="TOMATOES", 3000,  IF($E:$E="CHICKEN", 30000, IF($E:$E="LOCAL EGGS", 25000,  IF($E:$E="IRISH", 3000, IF($E:$E="MILK", 2000, IF($E:$E="ONIONS", 6000, IF($E:$E="YELLOW YOLK EGGS", 20000, IF($E:$E="AVOCADO", 1000, IF($E:$E="BEEF", 16000, IF($E:$E="PLAIN YOGHURT", 4000, IF($E:$E="DOG MEAT", 4000, IF($E:$E="GOAT", 19000, ""))))))))))))))))</f>
        <v>20000</v>
      </c>
      <c r="G422" s="16">
        <f t="shared" si="8"/>
        <v>20000</v>
      </c>
    </row>
    <row r="423" spans="1:7" x14ac:dyDescent="0.25">
      <c r="A423" s="33" t="s">
        <v>300</v>
      </c>
      <c r="B423" s="45" t="s">
        <v>333</v>
      </c>
      <c r="C423" s="12">
        <v>6</v>
      </c>
      <c r="D423" s="29">
        <v>2</v>
      </c>
      <c r="E423" s="35" t="s">
        <v>9</v>
      </c>
      <c r="F423" s="17">
        <f>IF($E:$E="MATOOKE KGS", 1500, IF($E:$E="MINCED BEEF", 22000, IF($E:$E="DOG BONES", 4000, IF($E:$E="DOG MINCE", 5000,IF($E:$E="ZIP LOCKS",30000, IF($E:$E="BONELESS BEEF", 22000, IF($E:$E="SAUSAGES", 30000, IF($E:$E="MARINATED CHICKEN", 25000, IF($E:$E="MARINATED GOAT LEG", 28000, IF($E:$E="TOMATOES", 3000,  IF($E:$E="CHICKEN", 30000, IF($E:$E="LOCAL EGGS", 25000,  IF($E:$E="IRISH", 3000, IF($E:$E="MILK", 2000, IF($E:$E="ONIONS", 6000, IF($E:$E="YELLOW YOLK EGGS", 20000, IF($E:$E="AVOCADO", 1000, IF($E:$E="BEEF", 16000,IF($E:$E="BEEF FILLET", 30000, IF($E:$E="PLAIN YOGHURT", 4000, IF($E:$E="DOG MEAT", 4000, IF($E:$E="BEEF SAUSAGES", 30000,IF($E:$E="GOAT", 19000, "")))))))))))))))))))))))</f>
        <v>16000</v>
      </c>
      <c r="G423" s="16">
        <f t="shared" si="8"/>
        <v>32000</v>
      </c>
    </row>
    <row r="424" spans="1:7" x14ac:dyDescent="0.25">
      <c r="A424" s="33" t="s">
        <v>300</v>
      </c>
      <c r="B424" s="45" t="s">
        <v>333</v>
      </c>
      <c r="C424" s="12">
        <v>7</v>
      </c>
      <c r="D424" s="29">
        <v>1</v>
      </c>
      <c r="E424" s="35" t="s">
        <v>52</v>
      </c>
      <c r="F424" s="10">
        <v>10500</v>
      </c>
      <c r="G424" s="16">
        <f t="shared" si="8"/>
        <v>10500</v>
      </c>
    </row>
    <row r="425" spans="1:7" x14ac:dyDescent="0.25">
      <c r="A425" s="33" t="s">
        <v>300</v>
      </c>
      <c r="B425" s="45" t="s">
        <v>333</v>
      </c>
      <c r="C425" s="12">
        <v>8</v>
      </c>
      <c r="D425" s="29">
        <v>0.3</v>
      </c>
      <c r="E425" s="36" t="s">
        <v>74</v>
      </c>
      <c r="F425" s="10">
        <f>IF($E:$E="MATOOKE KGS", 1500, IF($E:$E="SAUSAGES", 30000,  IF($E:$E="TOMATOES", 3000,  IF($E:$E="CHICKEN", 30000, IF($E:$E="LOCAL EGGS", 25000,  IF($E:$E="IRISH", 3000, IF($E:$E="MILK", 2000, IF($E:$E="ONIONS", 6000, IF($E:$E="YELLOW YOLK EGGS", 20000, IF($E:$E="AVOCADO", 1000, IF($E:$E="BEEF", 16000, IF($E:$E="PLAIN YOGHURT", 4000, IF($E:$E="GOAT", 19000, "")))))))))))))</f>
        <v>3000</v>
      </c>
      <c r="G425" s="16">
        <f t="shared" si="8"/>
        <v>900</v>
      </c>
    </row>
    <row r="426" spans="1:7" x14ac:dyDescent="0.25">
      <c r="A426" s="33" t="s">
        <v>300</v>
      </c>
      <c r="B426" s="45" t="s">
        <v>333</v>
      </c>
      <c r="C426" s="12">
        <v>9</v>
      </c>
      <c r="D426" s="29">
        <v>3.4</v>
      </c>
      <c r="E426" s="35" t="s">
        <v>52</v>
      </c>
      <c r="F426" s="10">
        <v>1500</v>
      </c>
      <c r="G426" s="16">
        <f t="shared" si="8"/>
        <v>5100</v>
      </c>
    </row>
    <row r="427" spans="1:7" x14ac:dyDescent="0.25">
      <c r="A427" s="33" t="s">
        <v>300</v>
      </c>
      <c r="B427" s="45" t="s">
        <v>333</v>
      </c>
      <c r="C427" s="12">
        <v>10</v>
      </c>
      <c r="D427" s="29">
        <v>1</v>
      </c>
      <c r="E427" s="35" t="s">
        <v>52</v>
      </c>
      <c r="F427" s="10">
        <v>13500</v>
      </c>
      <c r="G427" s="16">
        <f t="shared" si="8"/>
        <v>13500</v>
      </c>
    </row>
    <row r="428" spans="1:7" x14ac:dyDescent="0.25">
      <c r="A428" s="33" t="s">
        <v>300</v>
      </c>
      <c r="B428" s="45" t="s">
        <v>333</v>
      </c>
      <c r="C428" s="12">
        <v>11</v>
      </c>
      <c r="D428" s="29">
        <v>3</v>
      </c>
      <c r="E428" s="35" t="s">
        <v>29</v>
      </c>
      <c r="F428" s="10">
        <v>20000</v>
      </c>
      <c r="G428" s="16">
        <f t="shared" si="8"/>
        <v>60000</v>
      </c>
    </row>
    <row r="429" spans="1:7" x14ac:dyDescent="0.25">
      <c r="A429" s="33" t="s">
        <v>300</v>
      </c>
      <c r="B429" s="45" t="s">
        <v>333</v>
      </c>
      <c r="C429" s="12">
        <v>12</v>
      </c>
      <c r="D429" s="29">
        <v>1</v>
      </c>
      <c r="E429" s="36" t="s">
        <v>20</v>
      </c>
      <c r="F429" s="10">
        <f>IF($E:$E="MATOOKE KGS", 1500, IF($E:$E="SAUSAGES", 30000,  IF($E:$E="TOMATOES", 3000,  IF($E:$E="CHICKEN", 30000, IF($E:$E="LOCAL EGGS", 25000,  IF($E:$E="IRISH", 3000, IF($E:$E="MILK", 2000, IF($E:$E="ONIONS", 6000, IF($E:$E="YELLOW YOLK EGGS", 20000, IF($E:$E="AVOCADO", 1000, IF($E:$E="BEEF", 16000, IF($E:$E="PLAIN YOGHURT", 4000, IF($E:$E="GOAT", 19000, "")))))))))))))</f>
        <v>30000</v>
      </c>
      <c r="G429" s="16">
        <f t="shared" si="8"/>
        <v>30000</v>
      </c>
    </row>
    <row r="430" spans="1:7" x14ac:dyDescent="0.25">
      <c r="A430" s="33" t="s">
        <v>300</v>
      </c>
      <c r="B430" s="45" t="s">
        <v>333</v>
      </c>
      <c r="C430" s="12">
        <v>13</v>
      </c>
      <c r="D430" s="29">
        <v>5</v>
      </c>
      <c r="E430" s="36" t="s">
        <v>59</v>
      </c>
      <c r="F430" s="10">
        <f>IF($E:$E="MATOOKE KGS", 1500, IF($E:$E="MINCED BEEF", 22000, IF($E:$E="DOG BONES", 4000, IF($E:$E="DOG MINCE", 5000,IF($E:$E="ZIP LOCKS",30000, IF($E:$E="BONELESS BEEF", 22000, IF($E:$E="SAUSAGES", 30000, IF($E:$E="MARINATED CHICKEN", 25000, IF($E:$E="MARINATED GOAT LEG", 28000, IF($E:$E="TOMATOES", 3000,  IF($E:$E="CHICKEN", 30000, IF($E:$E="LOCAL EGGS", 25000,  IF($E:$E="IRISH", 3000, IF($E:$E="MILK", 2000, IF($E:$E="ONIONS", 6000, IF($E:$E="YELLOW YOLK EGGS", 20000, IF($E:$E="AVOCADO", 1000, IF($E:$E="BEEF", 16000,IF($E:$E="BEEF FILLET", 30000, IF($E:$E="PLAIN YOGHURT", 4000, IF($E:$E="DOG MEAT", 4000, IF($E:$E="BEEF SAUSAGES", 30000,IF($E:$E="GOAT", 19000, "")))))))))))))))))))))))</f>
        <v>2000</v>
      </c>
      <c r="G430" s="16">
        <f t="shared" si="8"/>
        <v>10000</v>
      </c>
    </row>
    <row r="431" spans="1:7" x14ac:dyDescent="0.25">
      <c r="A431" s="33" t="s">
        <v>300</v>
      </c>
      <c r="B431" s="45" t="s">
        <v>333</v>
      </c>
      <c r="C431" s="12">
        <v>14</v>
      </c>
      <c r="D431" s="29">
        <v>1</v>
      </c>
      <c r="E431" s="35" t="s">
        <v>52</v>
      </c>
      <c r="F431" s="10">
        <v>20000</v>
      </c>
      <c r="G431" s="16">
        <f t="shared" si="8"/>
        <v>20000</v>
      </c>
    </row>
    <row r="432" spans="1:7" x14ac:dyDescent="0.25">
      <c r="A432" s="33" t="s">
        <v>300</v>
      </c>
      <c r="B432" s="45" t="s">
        <v>333</v>
      </c>
      <c r="C432" s="12">
        <v>15</v>
      </c>
      <c r="D432" s="29">
        <v>1</v>
      </c>
      <c r="E432" s="36" t="s">
        <v>59</v>
      </c>
      <c r="F432" s="10">
        <f>IF($E:$E="MATOOKE KGS", 1500, IF($E:$E="MINCED BEEF", 22000, IF($E:$E="DOG BONES", 4000, IF($E:$E="DOG MINCE", 5000,IF($E:$E="ZIP LOCKS",30000, IF($E:$E="BONELESS BEEF", 22000, IF($E:$E="SAUSAGES", 30000, IF($E:$E="MARINATED CHICKEN", 25000, IF($E:$E="MARINATED GOAT LEG", 28000, IF($E:$E="TOMATOES", 3000,  IF($E:$E="CHICKEN", 30000, IF($E:$E="LOCAL EGGS", 25000,  IF($E:$E="IRISH", 3000, IF($E:$E="MILK", 2000, IF($E:$E="ONIONS", 6000, IF($E:$E="YELLOW YOLK EGGS", 20000, IF($E:$E="AVOCADO", 1000, IF($E:$E="BEEF", 16000,IF($E:$E="BEEF FILLET", 30000, IF($E:$E="PLAIN YOGHURT", 4000, IF($E:$E="DOG MEAT", 4000, IF($E:$E="BEEF SAUSAGES", 30000,IF($E:$E="GOAT", 19000, "")))))))))))))))))))))))</f>
        <v>2000</v>
      </c>
      <c r="G432" s="16">
        <f t="shared" si="8"/>
        <v>2000</v>
      </c>
    </row>
    <row r="433" spans="1:7" x14ac:dyDescent="0.25">
      <c r="A433" s="33" t="s">
        <v>300</v>
      </c>
      <c r="B433" s="45" t="s">
        <v>333</v>
      </c>
      <c r="C433" s="12">
        <v>16</v>
      </c>
      <c r="D433" s="29">
        <v>1</v>
      </c>
      <c r="E433" s="35" t="s">
        <v>75</v>
      </c>
      <c r="F433" s="10">
        <f>IF($E:$E="MATOOKE KGS", 1500, IF($E:$E="SAUSAGES", 30000, IF($E:$E="MARINATED CHICKEN", 25000, IF($E:$E="MARINATED GOAT LEG", 28000, IF($E:$E="TOMATOES", 3000,  IF($E:$E="CHICKEN", 30000, IF($E:$E="LOCAL EGGS", 25000,  IF($E:$E="IRISH", 3000, IF($E:$E="MILK", 2000, IF($E:$E="ONIONS", 6000, IF($E:$E="YELLOW YOLK EGGS", 20000, IF($E:$E="AVOCADO", 1000, IF($E:$E="BEEF", 16000, IF($E:$E="PLAIN YOGHURT", 4000, IF($E:$E="DOG MEAT", 4000, IF($E:$E="GOAT", 19000, ""))))))))))))))))</f>
        <v>20000</v>
      </c>
      <c r="G433" s="16">
        <f t="shared" si="8"/>
        <v>20000</v>
      </c>
    </row>
    <row r="434" spans="1:7" x14ac:dyDescent="0.25">
      <c r="A434" s="33" t="s">
        <v>300</v>
      </c>
      <c r="B434" s="45" t="s">
        <v>333</v>
      </c>
      <c r="C434" s="12">
        <v>17</v>
      </c>
      <c r="D434" s="29">
        <v>2.7</v>
      </c>
      <c r="E434" s="35" t="s">
        <v>52</v>
      </c>
      <c r="F434" s="10">
        <v>1500</v>
      </c>
      <c r="G434" s="16">
        <f t="shared" si="8"/>
        <v>4050.0000000000005</v>
      </c>
    </row>
    <row r="435" spans="1:7" x14ac:dyDescent="0.25">
      <c r="A435" s="33" t="s">
        <v>300</v>
      </c>
      <c r="B435" s="45" t="s">
        <v>333</v>
      </c>
      <c r="C435" s="12">
        <v>18</v>
      </c>
      <c r="D435" s="29">
        <v>1</v>
      </c>
      <c r="E435" s="35" t="s">
        <v>75</v>
      </c>
      <c r="F435" s="10">
        <f>IF($E:$E="MATOOKE KGS", 1500, IF($E:$E="SAUSAGES", 30000, IF($E:$E="MARINATED CHICKEN", 25000, IF($E:$E="MARINATED GOAT LEG", 28000, IF($E:$E="TOMATOES", 3000,  IF($E:$E="CHICKEN", 30000, IF($E:$E="LOCAL EGGS", 25000,  IF($E:$E="IRISH", 3000, IF($E:$E="MILK", 2000, IF($E:$E="ONIONS", 6000, IF($E:$E="YELLOW YOLK EGGS", 20000, IF($E:$E="AVOCADO", 1000, IF($E:$E="BEEF", 16000, IF($E:$E="PLAIN YOGHURT", 4000, IF($E:$E="DOG MEAT", 4000, IF($E:$E="GOAT", 19000, ""))))))))))))))))</f>
        <v>20000</v>
      </c>
      <c r="G435" s="16">
        <f t="shared" si="8"/>
        <v>20000</v>
      </c>
    </row>
    <row r="436" spans="1:7" x14ac:dyDescent="0.25">
      <c r="A436" s="33" t="s">
        <v>300</v>
      </c>
      <c r="B436" s="45" t="s">
        <v>333</v>
      </c>
      <c r="C436" s="12">
        <v>19</v>
      </c>
      <c r="D436" s="29">
        <v>1</v>
      </c>
      <c r="E436" s="35" t="s">
        <v>9</v>
      </c>
      <c r="F436" s="17">
        <f>IF($E:$E="MATOOKE KGS", 1500, IF($E:$E="MINCED BEEF", 22000, IF($E:$E="DOG BONES", 4000, IF($E:$E="DOG MINCE", 5000,IF($E:$E="ZIP LOCKS",30000, IF($E:$E="BONELESS BEEF", 22000, IF($E:$E="SAUSAGES", 30000, IF($E:$E="MARINATED CHICKEN", 25000, IF($E:$E="MARINATED GOAT LEG", 28000, IF($E:$E="TOMATOES", 3000,  IF($E:$E="CHICKEN", 30000, IF($E:$E="LOCAL EGGS", 25000,  IF($E:$E="IRISH", 3000, IF($E:$E="MILK", 2000, IF($E:$E="ONIONS", 6000, IF($E:$E="YELLOW YOLK EGGS", 20000, IF($E:$E="AVOCADO", 1000, IF($E:$E="BEEF", 16000,IF($E:$E="BEEF FILLET", 30000, IF($E:$E="PLAIN YOGHURT", 4000, IF($E:$E="DOG MEAT", 4000, IF($E:$E="BEEF SAUSAGES", 30000,IF($E:$E="GOAT", 19000, "")))))))))))))))))))))))</f>
        <v>16000</v>
      </c>
      <c r="G436" s="16">
        <f t="shared" si="8"/>
        <v>16000</v>
      </c>
    </row>
    <row r="437" spans="1:7" x14ac:dyDescent="0.25">
      <c r="A437" s="33" t="s">
        <v>300</v>
      </c>
      <c r="B437" s="45" t="s">
        <v>333</v>
      </c>
      <c r="C437" s="12">
        <v>20</v>
      </c>
      <c r="D437" s="29">
        <v>5</v>
      </c>
      <c r="E437" s="36" t="s">
        <v>40</v>
      </c>
      <c r="F437" s="10">
        <f>IF($E:$E="MATOOKE KGS", 1500, IF($E:$E="SAUSAGES", 30000, IF($E:$E="TOMATOES", 3000, IF($E:$E="CHICKEN", 30000, IF($E:$E="LOCAL EGGS", 25000, IF($E:$E="IRISH POTATOES", 3000, IF($E:$E="MILK", 2000, IF($E:$E="ONIONS", 6000, IF($E:$E="YELLOW YOLK EGGS", 20000, IF($E:$E="AVOCADO", 1000, IF($E:$E="BEEF", 16000, IF($E:$E="PLAIN YOGHURT", 4000, ""))))))))))))</f>
        <v>3000</v>
      </c>
      <c r="G437" s="16">
        <f t="shared" si="8"/>
        <v>15000</v>
      </c>
    </row>
    <row r="438" spans="1:7" x14ac:dyDescent="0.25">
      <c r="A438" s="33" t="s">
        <v>300</v>
      </c>
      <c r="B438" s="45" t="s">
        <v>333</v>
      </c>
      <c r="C438" s="12">
        <v>21</v>
      </c>
      <c r="D438" s="29">
        <v>1.6</v>
      </c>
      <c r="E438" s="36" t="s">
        <v>64</v>
      </c>
      <c r="F438" s="10">
        <f>IF($E:$E="MATOOKE KGS", 1500, IF($E:$E="SAUSAGES", 30000, IF($E:$E="MARINATED CHICKEN", 25000, IF($E:$E="MARINATED GOAT LEG", 28000, IF($E:$E="TOMATOES", 3000,  IF($E:$E="CHICKEN", 30000, IF($E:$E="LOCAL EGGS", 25000,  IF($E:$E="IRISH", 3000, IF($E:$E="MILK", 2000, IF($E:$E="ONIONS", 6000, IF($E:$E="YELLOW YOLK EGGS", 20000, IF($E:$E="AVOCADO", 1000, IF($E:$E="BEEF", 16000,IF($E:$E="BEEF FILLET", 30000, IF($E:$E="PLAIN YOGHURT", 4000, IF($E:$E="DOG MEAT", 4000, IF($E:$E="GOAT", 19000, "")))))))))))))))))</f>
        <v>6000</v>
      </c>
      <c r="G438" s="16">
        <f t="shared" si="8"/>
        <v>9600</v>
      </c>
    </row>
    <row r="439" spans="1:7" x14ac:dyDescent="0.25">
      <c r="A439" s="33" t="s">
        <v>300</v>
      </c>
      <c r="B439" s="45" t="s">
        <v>333</v>
      </c>
      <c r="C439" s="12">
        <v>22</v>
      </c>
      <c r="D439" s="29">
        <v>1</v>
      </c>
      <c r="E439" s="35" t="s">
        <v>52</v>
      </c>
      <c r="F439" s="10">
        <v>10000</v>
      </c>
      <c r="G439" s="16">
        <f t="shared" si="8"/>
        <v>10000</v>
      </c>
    </row>
    <row r="440" spans="1:7" x14ac:dyDescent="0.25">
      <c r="A440" s="33" t="s">
        <v>300</v>
      </c>
      <c r="B440" s="45" t="s">
        <v>333</v>
      </c>
      <c r="C440" s="12">
        <v>23</v>
      </c>
      <c r="D440" s="29">
        <v>1</v>
      </c>
      <c r="E440" s="35" t="s">
        <v>52</v>
      </c>
      <c r="F440" s="10">
        <v>13000</v>
      </c>
      <c r="G440" s="16">
        <f t="shared" si="8"/>
        <v>13000</v>
      </c>
    </row>
    <row r="441" spans="1:7" x14ac:dyDescent="0.25">
      <c r="A441" s="33" t="s">
        <v>300</v>
      </c>
      <c r="B441" s="45" t="s">
        <v>333</v>
      </c>
      <c r="C441" s="12">
        <v>24</v>
      </c>
      <c r="D441" s="29">
        <v>0.1</v>
      </c>
      <c r="E441" s="36" t="s">
        <v>77</v>
      </c>
      <c r="F441" s="10">
        <v>30000</v>
      </c>
      <c r="G441" s="16">
        <f t="shared" si="8"/>
        <v>3000</v>
      </c>
    </row>
    <row r="442" spans="1:7" x14ac:dyDescent="0.25">
      <c r="A442" s="33" t="s">
        <v>300</v>
      </c>
      <c r="B442" s="45" t="s">
        <v>333</v>
      </c>
      <c r="C442" s="12">
        <v>25</v>
      </c>
      <c r="D442" s="29">
        <v>1.5</v>
      </c>
      <c r="E442" s="35" t="s">
        <v>9</v>
      </c>
      <c r="F442" s="17">
        <f>IF($E:$E="MATOOKE KGS", 1500, IF($E:$E="MINCED BEEF", 22000, IF($E:$E="DOG BONES", 4000, IF($E:$E="DOG MINCE", 5000,IF($E:$E="ZIP LOCKS",30000, IF($E:$E="BONELESS BEEF", 22000, IF($E:$E="SAUSAGES", 30000, IF($E:$E="MARINATED CHICKEN", 25000, IF($E:$E="MARINATED GOAT LEG", 28000, IF($E:$E="TOMATOES", 3000,  IF($E:$E="CHICKEN", 30000, IF($E:$E="LOCAL EGGS", 25000,  IF($E:$E="IRISH", 3000, IF($E:$E="MILK", 2000, IF($E:$E="ONIONS", 6000, IF($E:$E="YELLOW YOLK EGGS", 20000, IF($E:$E="AVOCADO", 1000, IF($E:$E="BEEF", 16000,IF($E:$E="BEEF FILLET", 30000, IF($E:$E="PLAIN YOGHURT", 4000, IF($E:$E="DOG MEAT", 4000, IF($E:$E="BEEF SAUSAGES", 30000,IF($E:$E="GOAT", 19000, "")))))))))))))))))))))))</f>
        <v>16000</v>
      </c>
      <c r="G442" s="16">
        <f t="shared" si="8"/>
        <v>24000</v>
      </c>
    </row>
    <row r="443" spans="1:7" x14ac:dyDescent="0.25">
      <c r="A443" s="33" t="s">
        <v>300</v>
      </c>
      <c r="B443" s="45" t="s">
        <v>333</v>
      </c>
      <c r="C443" s="12">
        <v>26</v>
      </c>
      <c r="D443" s="29">
        <v>4</v>
      </c>
      <c r="E443" s="36" t="s">
        <v>56</v>
      </c>
      <c r="F443" s="10">
        <v>1500</v>
      </c>
      <c r="G443" s="16">
        <f t="shared" si="8"/>
        <v>6000</v>
      </c>
    </row>
    <row r="444" spans="1:7" x14ac:dyDescent="0.25">
      <c r="A444" s="33" t="s">
        <v>300</v>
      </c>
      <c r="B444" s="45" t="s">
        <v>333</v>
      </c>
      <c r="C444" s="12">
        <v>27</v>
      </c>
      <c r="D444" s="29">
        <v>1</v>
      </c>
      <c r="E444" s="36" t="s">
        <v>40</v>
      </c>
      <c r="F444" s="10">
        <f>IF($E:$E="MATOOKE KGS", 1500, IF($E:$E="SAUSAGES", 30000, IF($E:$E="TOMATOES", 3000, IF($E:$E="CHICKEN", 30000, IF($E:$E="LOCAL EGGS", 25000, IF($E:$E="IRISH POTATOES", 3000, IF($E:$E="MILK", 2000, IF($E:$E="ONIONS", 6000, IF($E:$E="YELLOW YOLK EGGS", 20000, IF($E:$E="AVOCADO", 1000, IF($E:$E="BEEF", 16000, IF($E:$E="PLAIN YOGHURT", 4000, ""))))))))))))</f>
        <v>3000</v>
      </c>
      <c r="G444" s="16">
        <f t="shared" si="8"/>
        <v>3000</v>
      </c>
    </row>
    <row r="445" spans="1:7" x14ac:dyDescent="0.25">
      <c r="A445" s="33" t="s">
        <v>300</v>
      </c>
      <c r="B445" s="45" t="s">
        <v>333</v>
      </c>
      <c r="C445" s="12">
        <v>28</v>
      </c>
      <c r="D445" s="29">
        <v>1</v>
      </c>
      <c r="E445" s="36" t="s">
        <v>61</v>
      </c>
      <c r="F445" s="10">
        <v>22000</v>
      </c>
      <c r="G445" s="16">
        <f t="shared" si="8"/>
        <v>22000</v>
      </c>
    </row>
    <row r="446" spans="1:7" x14ac:dyDescent="0.25">
      <c r="A446" s="33" t="s">
        <v>300</v>
      </c>
      <c r="B446" s="45" t="s">
        <v>333</v>
      </c>
      <c r="C446" s="12">
        <v>29</v>
      </c>
      <c r="D446" s="29">
        <v>0.5</v>
      </c>
      <c r="E446" s="35" t="s">
        <v>9</v>
      </c>
      <c r="F446" s="17">
        <f>IF($E:$E="MATOOKE KGS", 1500, IF($E:$E="MINCED BEEF", 22000, IF($E:$E="DOG BONES", 4000, IF($E:$E="DOG MINCE", 5000,IF($E:$E="ZIP LOCKS",30000, IF($E:$E="BONELESS BEEF", 22000, IF($E:$E="SAUSAGES", 30000, IF($E:$E="MARINATED CHICKEN", 25000, IF($E:$E="MARINATED GOAT LEG", 28000, IF($E:$E="TOMATOES", 3000,  IF($E:$E="CHICKEN", 30000, IF($E:$E="LOCAL EGGS", 25000,  IF($E:$E="IRISH", 3000, IF($E:$E="MILK", 2000, IF($E:$E="ONIONS", 6000, IF($E:$E="YELLOW YOLK EGGS", 20000, IF($E:$E="AVOCADO", 1000, IF($E:$E="BEEF", 16000,IF($E:$E="BEEF FILLET", 30000, IF($E:$E="PLAIN YOGHURT", 4000, IF($E:$E="DOG MEAT", 4000, IF($E:$E="BEEF SAUSAGES", 30000,IF($E:$E="GOAT", 19000, "")))))))))))))))))))))))</f>
        <v>16000</v>
      </c>
      <c r="G446" s="16">
        <f t="shared" si="8"/>
        <v>8000</v>
      </c>
    </row>
    <row r="447" spans="1:7" x14ac:dyDescent="0.25">
      <c r="A447" s="33" t="s">
        <v>300</v>
      </c>
      <c r="B447" s="45" t="s">
        <v>333</v>
      </c>
      <c r="C447" s="12">
        <v>30</v>
      </c>
      <c r="D447" s="29">
        <v>0.5</v>
      </c>
      <c r="E447" s="36" t="s">
        <v>61</v>
      </c>
      <c r="F447" s="10">
        <v>22000</v>
      </c>
      <c r="G447" s="16">
        <f t="shared" si="8"/>
        <v>11000</v>
      </c>
    </row>
    <row r="448" spans="1:7" x14ac:dyDescent="0.25">
      <c r="A448" s="33" t="s">
        <v>300</v>
      </c>
      <c r="B448" s="45" t="s">
        <v>333</v>
      </c>
      <c r="C448" s="12">
        <v>31</v>
      </c>
      <c r="D448" s="29">
        <v>1</v>
      </c>
      <c r="E448" s="35" t="s">
        <v>75</v>
      </c>
      <c r="F448" s="10">
        <f>IF($E:$E="MATOOKE KGS", 1500, IF($E:$E="SAUSAGES", 30000, IF($E:$E="MARINATED CHICKEN", 25000, IF($E:$E="MARINATED GOAT LEG", 28000, IF($E:$E="TOMATOES", 3000,  IF($E:$E="CHICKEN", 30000, IF($E:$E="LOCAL EGGS", 25000,  IF($E:$E="IRISH", 3000, IF($E:$E="MILK", 2000, IF($E:$E="ONIONS", 6000, IF($E:$E="YELLOW YOLK EGGS", 20000, IF($E:$E="AVOCADO", 1000, IF($E:$E="BEEF", 16000, IF($E:$E="PLAIN YOGHURT", 4000, IF($E:$E="DOG MEAT", 4000, IF($E:$E="GOAT", 19000, ""))))))))))))))))</f>
        <v>20000</v>
      </c>
      <c r="G448" s="16">
        <f t="shared" si="8"/>
        <v>20000</v>
      </c>
    </row>
    <row r="449" spans="1:7" x14ac:dyDescent="0.25">
      <c r="A449" s="33" t="s">
        <v>300</v>
      </c>
      <c r="B449" s="45" t="s">
        <v>333</v>
      </c>
      <c r="C449" s="12">
        <v>32</v>
      </c>
      <c r="D449" s="29">
        <v>1</v>
      </c>
      <c r="E449" s="35" t="s">
        <v>52</v>
      </c>
      <c r="F449" s="10">
        <v>23000</v>
      </c>
      <c r="G449" s="16">
        <f t="shared" si="8"/>
        <v>23000</v>
      </c>
    </row>
    <row r="450" spans="1:7" x14ac:dyDescent="0.25">
      <c r="A450" s="33" t="s">
        <v>300</v>
      </c>
      <c r="B450" s="45" t="s">
        <v>333</v>
      </c>
      <c r="C450" s="12">
        <v>33</v>
      </c>
      <c r="D450" s="29">
        <v>1</v>
      </c>
      <c r="E450" s="35" t="s">
        <v>52</v>
      </c>
      <c r="F450" s="10">
        <v>22000</v>
      </c>
      <c r="G450" s="16">
        <f t="shared" ref="G450:G513" si="9">(F450*D450)</f>
        <v>22000</v>
      </c>
    </row>
    <row r="451" spans="1:7" x14ac:dyDescent="0.25">
      <c r="A451" s="33" t="s">
        <v>300</v>
      </c>
      <c r="B451" s="45" t="s">
        <v>333</v>
      </c>
      <c r="C451" s="12">
        <v>34</v>
      </c>
      <c r="D451" s="29">
        <v>1</v>
      </c>
      <c r="E451" s="35" t="s">
        <v>52</v>
      </c>
      <c r="F451" s="10">
        <v>27000</v>
      </c>
      <c r="G451" s="16">
        <f t="shared" si="9"/>
        <v>27000</v>
      </c>
    </row>
    <row r="452" spans="1:7" x14ac:dyDescent="0.25">
      <c r="A452" s="33" t="s">
        <v>300</v>
      </c>
      <c r="B452" s="45" t="s">
        <v>333</v>
      </c>
      <c r="C452" s="12">
        <v>35</v>
      </c>
      <c r="D452" s="29">
        <v>1</v>
      </c>
      <c r="E452" s="35" t="s">
        <v>52</v>
      </c>
      <c r="F452" s="10">
        <v>18500</v>
      </c>
      <c r="G452" s="16">
        <f t="shared" si="9"/>
        <v>18500</v>
      </c>
    </row>
    <row r="453" spans="1:7" x14ac:dyDescent="0.25">
      <c r="A453" s="33" t="s">
        <v>300</v>
      </c>
      <c r="B453" s="45" t="s">
        <v>333</v>
      </c>
      <c r="C453" s="12">
        <v>36</v>
      </c>
      <c r="D453" s="29">
        <v>2</v>
      </c>
      <c r="E453" s="35" t="s">
        <v>21</v>
      </c>
      <c r="F453" s="10">
        <f>IF($E:$E="MATOOKE KGS", 1500, IF($E:$E="SAUSAGES", 30000, IF($E:$E="MARINATED CHICKEN", 25000, IF($E:$E="MARINATED GOAT", 28000, IF($E:$E="TOMATOES", 3000,  IF($E:$E="CHICKEN", 30000, IF($E:$E="LOCAL EGGS", 25000,  IF($E:$E="IRISH", 3000, IF($E:$E="MILK", 2000, IF($E:$E="ONIONS", 6000, IF($E:$E="YELLOW YOLK EGGS", 20000, IF($E:$E="AVOCADO", 1000, IF($E:$E="BEEF", 16000, IF($E:$E="PLAIN YOGHURT", 4000, IF($E:$E="DOG BONES", 4000, IF($E:$E="GOAT", 19000, ""))))))))))))))))</f>
        <v>4000</v>
      </c>
      <c r="G453" s="16">
        <f t="shared" si="9"/>
        <v>8000</v>
      </c>
    </row>
    <row r="454" spans="1:7" x14ac:dyDescent="0.25">
      <c r="A454" s="33" t="s">
        <v>300</v>
      </c>
      <c r="B454" s="45" t="s">
        <v>333</v>
      </c>
      <c r="C454" s="12">
        <v>37</v>
      </c>
      <c r="D454" s="29">
        <v>0.5</v>
      </c>
      <c r="E454" s="36" t="s">
        <v>59</v>
      </c>
      <c r="F454" s="10">
        <f>IF($E:$E="MATOOKE KGS", 1500, IF($E:$E="MINCED BEEF", 22000, IF($E:$E="DOG BONES", 4000, IF($E:$E="DOG MINCE", 5000,IF($E:$E="ZIP LOCKS",30000, IF($E:$E="BONELESS BEEF", 22000, IF($E:$E="SAUSAGES", 30000, IF($E:$E="MARINATED CHICKEN", 25000, IF($E:$E="MARINATED GOAT LEG", 28000, IF($E:$E="TOMATOES", 3000,  IF($E:$E="CHICKEN", 30000, IF($E:$E="LOCAL EGGS", 25000,  IF($E:$E="IRISH", 3000, IF($E:$E="MILK", 2000, IF($E:$E="ONIONS", 6000, IF($E:$E="YELLOW YOLK EGGS", 20000, IF($E:$E="AVOCADO", 1000, IF($E:$E="BEEF", 16000,IF($E:$E="BEEF FILLET", 30000, IF($E:$E="PLAIN YOGHURT", 4000, IF($E:$E="DOG MEAT", 4000, IF($E:$E="BEEF SAUSAGES", 30000,IF($E:$E="GOAT", 19000, "")))))))))))))))))))))))</f>
        <v>2000</v>
      </c>
      <c r="G454" s="16">
        <f t="shared" si="9"/>
        <v>1000</v>
      </c>
    </row>
    <row r="455" spans="1:7" x14ac:dyDescent="0.25">
      <c r="A455" s="33" t="s">
        <v>300</v>
      </c>
      <c r="B455" s="45" t="s">
        <v>333</v>
      </c>
      <c r="C455" s="12">
        <v>38</v>
      </c>
      <c r="D455" s="29">
        <v>1</v>
      </c>
      <c r="E455" s="35" t="s">
        <v>9</v>
      </c>
      <c r="F455" s="17">
        <f>IF($E:$E="MATOOKE KGS", 1500, IF($E:$E="MINCED BEEF", 22000, IF($E:$E="DOG BONES", 4000, IF($E:$E="DOG MINCE", 5000,IF($E:$E="ZIP LOCKS",30000, IF($E:$E="BONELESS BEEF", 22000, IF($E:$E="SAUSAGES", 30000, IF($E:$E="MARINATED CHICKEN", 25000, IF($E:$E="MARINATED GOAT LEG", 28000, IF($E:$E="TOMATOES", 3000,  IF($E:$E="CHICKEN", 30000, IF($E:$E="LOCAL EGGS", 25000,  IF($E:$E="IRISH", 3000, IF($E:$E="MILK", 2000, IF($E:$E="ONIONS", 6000, IF($E:$E="YELLOW YOLK EGGS", 20000, IF($E:$E="AVOCADO", 1000, IF($E:$E="BEEF", 16000,IF($E:$E="BEEF FILLET", 30000, IF($E:$E="PLAIN YOGHURT", 4000, IF($E:$E="DOG MEAT", 4000, IF($E:$E="BEEF SAUSAGES", 30000,IF($E:$E="GOAT", 19000, "")))))))))))))))))))))))</f>
        <v>16000</v>
      </c>
      <c r="G455" s="16">
        <f t="shared" si="9"/>
        <v>16000</v>
      </c>
    </row>
    <row r="456" spans="1:7" x14ac:dyDescent="0.25">
      <c r="A456" s="33" t="s">
        <v>300</v>
      </c>
      <c r="B456" s="45" t="s">
        <v>333</v>
      </c>
      <c r="C456" s="12">
        <v>39</v>
      </c>
      <c r="D456" s="29">
        <v>0.5</v>
      </c>
      <c r="E456" s="35" t="s">
        <v>29</v>
      </c>
      <c r="F456" s="10">
        <f>IF($E:$E="MATOOKE KGS", 1500, IF($E:$E="SAUSAGES", 30000, IF($E:$E="MARINATED CHICKEN", 25000, IF($E:$E="MARINATED GOAT", 28000, IF($E:$E="TOMATOES", 3000,  IF($E:$E="CHICKEN", 30000, IF($E:$E="LOCAL EGGS", 25000,  IF($E:$E="IRISH", 3000, IF($E:$E="MILK", 2000, IF($E:$E="ONIONS", 6000, IF($E:$E="YELLOW YOLK EGGS", 20000, IF($E:$E="AVOCADO", 1000, IF($E:$E="BEEF", 16000, IF($E:$E="PLAIN YOGHURT", 4000, IF($E:$E="DOG MEAT", 4000, IF($E:$E="GOAT", 19000, ""))))))))))))))))</f>
        <v>19000</v>
      </c>
      <c r="G456" s="16">
        <f t="shared" si="9"/>
        <v>9500</v>
      </c>
    </row>
    <row r="457" spans="1:7" x14ac:dyDescent="0.25">
      <c r="A457" s="33" t="s">
        <v>300</v>
      </c>
      <c r="B457" s="45" t="s">
        <v>333</v>
      </c>
      <c r="C457" s="12">
        <v>40</v>
      </c>
      <c r="D457" s="29">
        <v>2</v>
      </c>
      <c r="E457" s="36" t="s">
        <v>49</v>
      </c>
      <c r="F457" s="10">
        <f>IF($E:$E="MATOOKE KGS", 1500, IF($E:$E="SAUSAGES", 30000, IF($E:$E="MARINATED CHICKEN", 25000, IF($E:$E="MARINATED GOAT LEG", 28000, IF($E:$E="TOMATOES", 3000,  IF($E:$E="CHICKEN", 30000, IF($E:$E="LOCAL EGGS", 25000,  IF($E:$E="IRISH", 3000, IF($E:$E="MILK", 2000, IF($E:$E="ONIONS", 6000, IF($E:$E="YELLOW YOLK EGGS", 20000, IF($E:$E="AVOCADO", 1000, IF($E:$E="BEEF", 16000, IF($E:$E="PLAIN YOGHURT", 4000, IF($E:$E="DOG MEAT", 4000, IF($E:$E="GOAT", 19000, ""))))))))))))))))</f>
        <v>25000</v>
      </c>
      <c r="G457" s="16">
        <f t="shared" si="9"/>
        <v>50000</v>
      </c>
    </row>
    <row r="458" spans="1:7" x14ac:dyDescent="0.25">
      <c r="A458" s="33" t="s">
        <v>300</v>
      </c>
      <c r="B458" s="45" t="s">
        <v>333</v>
      </c>
      <c r="C458" s="12">
        <v>41</v>
      </c>
      <c r="D458" s="29">
        <v>2</v>
      </c>
      <c r="E458" s="36" t="s">
        <v>51</v>
      </c>
      <c r="F458" s="10">
        <f>IF($E:$E="MATOOKE KGS", 1500, IF($E:$E="SAUSAGES", 30000, IF($E:$E="MARINATED CHICKEN", 25000, IF($E:$E="MARINATED GOAT LEG", 28000, IF($E:$E="TOMATOES", 3000, IF($E:$E="CHICKEN", 30000, IF($E:$E="LOCAL EGGS", 25000, IF($E:$E="IRISH", 3000, IF($E:$E="MILK", 2000, IF($E:$E="ONIONS", 6000, IF($E:$E="YELLOW YOLK EGGS", 20000, IF($E:$E="AVOCADO", 1000, IF($E:$E="BEEF", 16000, IF($E:$E="PLAIN YOGHURT", 4000, IF($E:$E="DOG MEAT", 4000, IF($E:$E="GOAT", 19000, ""))))))))))))))))</f>
        <v>28000</v>
      </c>
      <c r="G458" s="16">
        <f t="shared" si="9"/>
        <v>56000</v>
      </c>
    </row>
    <row r="459" spans="1:7" x14ac:dyDescent="0.25">
      <c r="A459" s="33" t="s">
        <v>300</v>
      </c>
      <c r="B459" s="45" t="s">
        <v>333</v>
      </c>
      <c r="C459" s="12">
        <v>42</v>
      </c>
      <c r="D459" s="29">
        <v>1</v>
      </c>
      <c r="E459" s="36" t="s">
        <v>20</v>
      </c>
      <c r="F459" s="10">
        <f>IF($E:$E="MATOOKE KGS", 1500, IF($E:$E="SAUSAGES", 30000, IF($E:$E="MARINATED CHICKEN", 25000, IF($E:$E="MARINATED GOAT LEG", 28000, IF($E:$E="TOMATOES", 3000, IF($E:$E="CHICKEN", 30000, IF($E:$E="LOCAL EGGS", 25000, IF($E:$E="IRISH", 3000, IF($E:$E="MILK", 2000, IF($E:$E="ONIONS", 6000, IF($E:$E="YELLOW YOLK EGGS", 20000, IF($E:$E="AVOCADO", 1000, IF($E:$E="BEEF", 16000, IF($E:$E="PLAIN YOGHURT", 4000, IF($E:$E="DOG MEAT", 4000, IF($E:$E="GOAT", 19000, ""))))))))))))))))</f>
        <v>30000</v>
      </c>
      <c r="G459" s="16">
        <f t="shared" si="9"/>
        <v>30000</v>
      </c>
    </row>
    <row r="460" spans="1:7" x14ac:dyDescent="0.25">
      <c r="A460" s="33" t="s">
        <v>300</v>
      </c>
      <c r="B460" s="45" t="s">
        <v>333</v>
      </c>
      <c r="C460" s="12">
        <v>43</v>
      </c>
      <c r="D460" s="29">
        <v>10</v>
      </c>
      <c r="E460" s="36" t="s">
        <v>59</v>
      </c>
      <c r="F460" s="10">
        <f>IF($E:$E="MATOOKE KGS", 1500, IF($E:$E="MINCED BEEF", 22000, IF($E:$E="DOG BONES", 4000, IF($E:$E="DOG MINCE", 5000,IF($E:$E="ZIP LOCKS",30000, IF($E:$E="BONELESS BEEF", 22000, IF($E:$E="SAUSAGES", 30000, IF($E:$E="MARINATED CHICKEN", 25000, IF($E:$E="MARINATED GOAT LEG", 28000, IF($E:$E="TOMATOES", 3000,  IF($E:$E="CHICKEN", 30000, IF($E:$E="LOCAL EGGS", 25000,  IF($E:$E="IRISH", 3000, IF($E:$E="MILK", 2000, IF($E:$E="ONIONS", 6000, IF($E:$E="YELLOW YOLK EGGS", 20000, IF($E:$E="AVOCADO", 1000, IF($E:$E="BEEF", 16000,IF($E:$E="BEEF FILLET", 30000, IF($E:$E="PLAIN YOGHURT", 4000, IF($E:$E="DOG MEAT", 4000, IF($E:$E="BEEF SAUSAGES", 30000,IF($E:$E="GOAT", 19000, "")))))))))))))))))))))))</f>
        <v>2000</v>
      </c>
      <c r="G460" s="16">
        <f t="shared" si="9"/>
        <v>20000</v>
      </c>
    </row>
    <row r="461" spans="1:7" x14ac:dyDescent="0.25">
      <c r="A461" s="33" t="s">
        <v>300</v>
      </c>
      <c r="B461" s="45" t="s">
        <v>333</v>
      </c>
      <c r="C461" s="12">
        <v>44</v>
      </c>
      <c r="D461" s="29">
        <v>2</v>
      </c>
      <c r="E461" s="35" t="s">
        <v>29</v>
      </c>
      <c r="F461" s="10">
        <f>IF($E:$E="MATOOKE KGS", 1500, IF($E:$E="SAUSAGES", 30000, IF($E:$E="MARINATED CHICKEN", 25000, IF($E:$E="MARINATED GOAT LEG", 28000, IF($E:$E="TOMATOES", 3000, IF($E:$E="CHICKEN", 30000, IF($E:$E="LOCAL EGGS", 25000, IF($E:$E="IRISH", 3000, IF($E:$E="MILK", 2000, IF($E:$E="ONIONS", 6000, IF($E:$E="YELLOW YOLK EGGS", 20000, IF($E:$E="AVOCADO", 1000, IF($E:$E="BEEF", 16000, IF($E:$E="PLAIN YOGHURT", 4000, IF($E:$E="DOG MEAT", 4000, IF($E:$E="GOAT", 19000, ""))))))))))))))))</f>
        <v>19000</v>
      </c>
      <c r="G461" s="16">
        <f t="shared" si="9"/>
        <v>38000</v>
      </c>
    </row>
    <row r="462" spans="1:7" x14ac:dyDescent="0.25">
      <c r="A462" s="33" t="s">
        <v>300</v>
      </c>
      <c r="B462" s="45" t="s">
        <v>333</v>
      </c>
      <c r="C462" s="12">
        <v>45</v>
      </c>
      <c r="D462" s="29">
        <v>2</v>
      </c>
      <c r="E462" s="35" t="s">
        <v>9</v>
      </c>
      <c r="F462" s="17">
        <f>IF($E:$E="MATOOKE KGS", 1500, IF($E:$E="MINCED BEEF", 22000, IF($E:$E="DOG BONES", 4000, IF($E:$E="DOG MINCE", 5000,IF($E:$E="ZIP LOCKS",30000, IF($E:$E="BONELESS BEEF", 22000, IF($E:$E="SAUSAGES", 30000, IF($E:$E="MARINATED CHICKEN", 25000, IF($E:$E="MARINATED GOAT LEG", 28000, IF($E:$E="TOMATOES", 3000,  IF($E:$E="CHICKEN", 30000, IF($E:$E="LOCAL EGGS", 25000,  IF($E:$E="IRISH", 3000, IF($E:$E="MILK", 2000, IF($E:$E="ONIONS", 6000, IF($E:$E="YELLOW YOLK EGGS", 20000, IF($E:$E="AVOCADO", 1000, IF($E:$E="BEEF", 16000,IF($E:$E="BEEF FILLET", 30000, IF($E:$E="PLAIN YOGHURT", 4000, IF($E:$E="DOG MEAT", 4000, IF($E:$E="BEEF SAUSAGES", 30000,IF($E:$E="GOAT", 19000, "")))))))))))))))))))))))</f>
        <v>16000</v>
      </c>
      <c r="G462" s="16">
        <f t="shared" si="9"/>
        <v>32000</v>
      </c>
    </row>
    <row r="463" spans="1:7" x14ac:dyDescent="0.25">
      <c r="A463" s="33" t="s">
        <v>300</v>
      </c>
      <c r="B463" s="45" t="s">
        <v>333</v>
      </c>
      <c r="C463" s="12">
        <v>46</v>
      </c>
      <c r="D463" s="29">
        <v>2</v>
      </c>
      <c r="E463" s="36" t="s">
        <v>36</v>
      </c>
      <c r="F463" s="10">
        <v>5000</v>
      </c>
      <c r="G463" s="16">
        <f t="shared" si="9"/>
        <v>10000</v>
      </c>
    </row>
    <row r="464" spans="1:7" x14ac:dyDescent="0.25">
      <c r="A464" s="33" t="s">
        <v>300</v>
      </c>
      <c r="B464" s="45" t="s">
        <v>333</v>
      </c>
      <c r="C464" s="12">
        <v>47</v>
      </c>
      <c r="D464" s="29">
        <v>1</v>
      </c>
      <c r="E464" s="35" t="s">
        <v>52</v>
      </c>
      <c r="F464" s="10">
        <v>10000</v>
      </c>
      <c r="G464" s="16">
        <f t="shared" si="9"/>
        <v>10000</v>
      </c>
    </row>
    <row r="465" spans="1:7" x14ac:dyDescent="0.25">
      <c r="A465" s="33" t="s">
        <v>300</v>
      </c>
      <c r="B465" s="45" t="s">
        <v>333</v>
      </c>
      <c r="C465" s="12">
        <v>48</v>
      </c>
      <c r="D465" s="29">
        <v>3</v>
      </c>
      <c r="E465" s="35" t="s">
        <v>21</v>
      </c>
      <c r="F465" s="10">
        <v>4000</v>
      </c>
      <c r="G465" s="16">
        <f t="shared" si="9"/>
        <v>12000</v>
      </c>
    </row>
    <row r="466" spans="1:7" x14ac:dyDescent="0.25">
      <c r="A466" s="33" t="s">
        <v>300</v>
      </c>
      <c r="B466" s="45" t="s">
        <v>333</v>
      </c>
      <c r="C466" s="12">
        <v>49</v>
      </c>
      <c r="D466" s="29">
        <v>0.5</v>
      </c>
      <c r="E466" s="36" t="s">
        <v>59</v>
      </c>
      <c r="F466" s="10">
        <f>IF($E:$E="MATOOKE KGS", 1500, IF($E:$E="MINCED BEEF", 22000, IF($E:$E="DOG BONES", 4000, IF($E:$E="DOG MINCE", 5000,IF($E:$E="ZIP LOCKS",30000, IF($E:$E="BONELESS BEEF", 22000, IF($E:$E="SAUSAGES", 30000, IF($E:$E="MARINATED CHICKEN", 25000, IF($E:$E="MARINATED GOAT LEG", 28000, IF($E:$E="TOMATOES", 3000,  IF($E:$E="CHICKEN", 30000, IF($E:$E="LOCAL EGGS", 25000,  IF($E:$E="IRISH", 3000, IF($E:$E="MILK", 2000, IF($E:$E="ONIONS", 6000, IF($E:$E="YELLOW YOLK EGGS", 20000, IF($E:$E="AVOCADO", 1000, IF($E:$E="BEEF", 16000,IF($E:$E="BEEF FILLET", 30000, IF($E:$E="PLAIN YOGHURT", 4000, IF($E:$E="DOG MEAT", 4000, IF($E:$E="BEEF SAUSAGES", 30000,IF($E:$E="GOAT", 19000, "")))))))))))))))))))))))</f>
        <v>2000</v>
      </c>
      <c r="G466" s="16">
        <f t="shared" si="9"/>
        <v>1000</v>
      </c>
    </row>
    <row r="467" spans="1:7" x14ac:dyDescent="0.25">
      <c r="A467" s="33" t="s">
        <v>300</v>
      </c>
      <c r="B467" s="45" t="s">
        <v>333</v>
      </c>
      <c r="C467" s="12">
        <v>50</v>
      </c>
      <c r="D467" s="29">
        <v>10</v>
      </c>
      <c r="E467" s="36" t="s">
        <v>59</v>
      </c>
      <c r="F467" s="10">
        <f>IF($E:$E="MATOOKE KGS", 1500, IF($E:$E="MINCED BEEF", 22000, IF($E:$E="DOG BONES", 4000, IF($E:$E="DOG MINCE", 5000,IF($E:$E="ZIP LOCKS",30000, IF($E:$E="BONELESS BEEF", 22000, IF($E:$E="SAUSAGES", 30000, IF($E:$E="MARINATED CHICKEN", 25000, IF($E:$E="MARINATED GOAT LEG", 28000, IF($E:$E="TOMATOES", 3000,  IF($E:$E="CHICKEN", 30000, IF($E:$E="LOCAL EGGS", 25000,  IF($E:$E="IRISH", 3000, IF($E:$E="MILK", 2000, IF($E:$E="ONIONS", 6000, IF($E:$E="YELLOW YOLK EGGS", 20000, IF($E:$E="AVOCADO", 1000, IF($E:$E="BEEF", 16000,IF($E:$E="BEEF FILLET", 30000, IF($E:$E="PLAIN YOGHURT", 4000, IF($E:$E="DOG MEAT", 4000, IF($E:$E="BEEF SAUSAGES", 30000,IF($E:$E="GOAT", 19000, "")))))))))))))))))))))))</f>
        <v>2000</v>
      </c>
      <c r="G467" s="16">
        <f t="shared" si="9"/>
        <v>20000</v>
      </c>
    </row>
    <row r="468" spans="1:7" x14ac:dyDescent="0.25">
      <c r="A468" s="33" t="s">
        <v>300</v>
      </c>
      <c r="B468" s="45" t="s">
        <v>333</v>
      </c>
      <c r="C468" s="12">
        <v>51</v>
      </c>
      <c r="D468" s="29">
        <v>1</v>
      </c>
      <c r="E468" s="35" t="s">
        <v>52</v>
      </c>
      <c r="F468" s="10">
        <v>22000</v>
      </c>
      <c r="G468" s="16">
        <f t="shared" si="9"/>
        <v>22000</v>
      </c>
    </row>
    <row r="469" spans="1:7" x14ac:dyDescent="0.25">
      <c r="A469" s="33" t="s">
        <v>300</v>
      </c>
      <c r="B469" s="45" t="s">
        <v>333</v>
      </c>
      <c r="C469" s="12">
        <v>52</v>
      </c>
      <c r="D469" s="29">
        <v>4</v>
      </c>
      <c r="E469" s="36" t="s">
        <v>56</v>
      </c>
      <c r="F469" s="10">
        <f>IF($E:$E="MATOOKE KGS", 1500, IF($E:$E="SAUSAGES", 30000, IF($E:$E="MARINATED CHICKEN", 25000, IF($E:$E="MARINATED GOAT LEG", 28000, IF($E:$E="TOMATOES", 3000,  IF($E:$E="CHICKEN", 30000, IF($E:$E="LOCAL EGGS", 25000,  IF($E:$E="IRISH", 3000, IF($E:$E="MILK", 2000, IF($E:$E="ONIONS", 6000, IF($E:$E="YELLOW YOLK EGGS", 20000, IF($E:$E="AVOCADO", 1000, IF($E:$E="BEEF", 16000, IF($E:$E="PLAIN YOGHURT", 4000, IF($E:$E="DOG MEAT", 4000, IF($E:$E="GOAT", 19000, ""))))))))))))))))</f>
        <v>1500</v>
      </c>
      <c r="G469" s="16">
        <f t="shared" si="9"/>
        <v>6000</v>
      </c>
    </row>
    <row r="470" spans="1:7" x14ac:dyDescent="0.25">
      <c r="A470" s="33" t="s">
        <v>300</v>
      </c>
      <c r="B470" s="45" t="s">
        <v>333</v>
      </c>
      <c r="C470" s="12">
        <v>53</v>
      </c>
      <c r="D470" s="29">
        <v>3</v>
      </c>
      <c r="E470" s="36" t="s">
        <v>56</v>
      </c>
      <c r="F470" s="10">
        <f>IF($E:$E="MATOOKE KGS", 1500, IF($E:$E="SAUSAGES", 30000, IF($E:$E="MARINATED CHICKEN", 25000, IF($E:$E="MARINATED GOAT LEG", 28000, IF($E:$E="TOMATOES", 3000,  IF($E:$E="CHICKEN", 30000, IF($E:$E="LOCAL EGGS", 25000,  IF($E:$E="IRISH", 3000, IF($E:$E="MILK", 2000, IF($E:$E="ONIONS", 6000, IF($E:$E="YELLOW YOLK EGGS", 20000, IF($E:$E="AVOCADO", 1000, IF($E:$E="BEEF", 16000, IF($E:$E="PLAIN YOGHURT", 4000, IF($E:$E="DOG MEAT", 4000, IF($E:$E="GOAT", 19000, ""))))))))))))))))</f>
        <v>1500</v>
      </c>
      <c r="G470" s="16">
        <f t="shared" si="9"/>
        <v>4500</v>
      </c>
    </row>
    <row r="471" spans="1:7" x14ac:dyDescent="0.25">
      <c r="A471" s="33" t="s">
        <v>300</v>
      </c>
      <c r="B471" s="45" t="s">
        <v>333</v>
      </c>
      <c r="C471" s="12">
        <v>54</v>
      </c>
      <c r="D471" s="29">
        <v>0.8</v>
      </c>
      <c r="E471" s="36" t="s">
        <v>56</v>
      </c>
      <c r="F471" s="10">
        <f>IF($E:$E="MATOOKE KGS", 1500, IF($E:$E="SAUSAGES", 30000, IF($E:$E="MARINATED CHICKEN", 25000, IF($E:$E="MARINATED GOAT LEG", 28000, IF($E:$E="TOMATOES", 3000,  IF($E:$E="CHICKEN", 30000, IF($E:$E="LOCAL EGGS", 25000,  IF($E:$E="IRISH", 3000, IF($E:$E="MILK", 2000, IF($E:$E="ONIONS", 6000, IF($E:$E="YELLOW YOLK EGGS", 20000, IF($E:$E="AVOCADO", 1000, IF($E:$E="BEEF", 16000, IF($E:$E="PLAIN YOGHURT", 4000, IF($E:$E="DOG MEAT", 4000, IF($E:$E="GOAT", 19000, ""))))))))))))))))</f>
        <v>1500</v>
      </c>
      <c r="G471" s="16">
        <f t="shared" si="9"/>
        <v>1200</v>
      </c>
    </row>
    <row r="472" spans="1:7" x14ac:dyDescent="0.25">
      <c r="A472" s="33" t="s">
        <v>300</v>
      </c>
      <c r="B472" s="45" t="s">
        <v>333</v>
      </c>
      <c r="C472" s="12">
        <v>55</v>
      </c>
      <c r="D472" s="29">
        <v>1</v>
      </c>
      <c r="E472" s="35" t="s">
        <v>52</v>
      </c>
      <c r="F472" s="10">
        <v>21000</v>
      </c>
      <c r="G472" s="16">
        <f t="shared" si="9"/>
        <v>21000</v>
      </c>
    </row>
    <row r="473" spans="1:7" x14ac:dyDescent="0.25">
      <c r="A473" s="33" t="s">
        <v>300</v>
      </c>
      <c r="B473" s="45" t="s">
        <v>333</v>
      </c>
      <c r="C473" s="12">
        <v>56</v>
      </c>
      <c r="D473" s="29">
        <v>1</v>
      </c>
      <c r="E473" s="35" t="s">
        <v>52</v>
      </c>
      <c r="F473" s="10">
        <v>19000</v>
      </c>
      <c r="G473" s="16">
        <f t="shared" si="9"/>
        <v>19000</v>
      </c>
    </row>
    <row r="474" spans="1:7" x14ac:dyDescent="0.25">
      <c r="A474" s="33" t="s">
        <v>300</v>
      </c>
      <c r="B474" s="45" t="s">
        <v>333</v>
      </c>
      <c r="C474" s="12">
        <v>57</v>
      </c>
      <c r="D474" s="29">
        <v>1</v>
      </c>
      <c r="E474" s="36" t="s">
        <v>40</v>
      </c>
      <c r="F474" s="10">
        <f>IF($E:$E="MATOOKE KGS", 1500, IF($E:$E="SAUSAGES", 30000, IF($E:$E="TOMATOES", 3000, IF($E:$E="CHICKEN", 30000, IF($E:$E="LOCAL EGGS", 25000, IF($E:$E="IRISH POTATOES", 3000, IF($E:$E="MILK", 2000, IF($E:$E="ONIONS", 6000, IF($E:$E="YELLOW YOLK EGGS", 20000, IF($E:$E="AVOCADO", 1000, IF($E:$E="BEEF", 16000, IF($E:$E="PLAIN YOGHURT", 4000, ""))))))))))))</f>
        <v>3000</v>
      </c>
      <c r="G474" s="16">
        <f t="shared" si="9"/>
        <v>3000</v>
      </c>
    </row>
    <row r="475" spans="1:7" x14ac:dyDescent="0.25">
      <c r="A475" s="33" t="s">
        <v>301</v>
      </c>
      <c r="B475" s="45" t="s">
        <v>335</v>
      </c>
      <c r="C475" s="12">
        <v>58</v>
      </c>
      <c r="D475" s="29">
        <v>2</v>
      </c>
      <c r="E475" s="36" t="s">
        <v>56</v>
      </c>
      <c r="F475" s="10">
        <f>IF($E:$E="MATOOKE KGS", 1500, IF($E:$E="SAUSAGES", 30000, IF($E:$E="MARINATED CHICKEN", 25000, IF($E:$E="MARINATED GOAT LEG", 28000, IF($E:$E="TOMATOES", 3000,  IF($E:$E="CHICKEN", 30000, IF($E:$E="LOCAL EGGS", 25000,  IF($E:$E="IRISH", 3000, IF($E:$E="MILK", 2000, IF($E:$E="ONIONS", 6000, IF($E:$E="YELLOW YOLK EGGS", 20000, IF($E:$E="AVOCADO", 1000, IF($E:$E="BEEF", 16000, IF($E:$E="PLAIN YOGHURT", 4000, IF($E:$E="DOG MEAT", 4000, IF($E:$E="GOAT", 19000, ""))))))))))))))))</f>
        <v>1500</v>
      </c>
      <c r="G475" s="16">
        <f t="shared" si="9"/>
        <v>3000</v>
      </c>
    </row>
    <row r="476" spans="1:7" x14ac:dyDescent="0.25">
      <c r="A476" s="33" t="s">
        <v>301</v>
      </c>
      <c r="B476" s="45" t="s">
        <v>335</v>
      </c>
      <c r="C476" s="12">
        <v>59</v>
      </c>
      <c r="D476" s="29">
        <v>1</v>
      </c>
      <c r="E476" s="35" t="s">
        <v>52</v>
      </c>
      <c r="F476" s="10">
        <v>17000</v>
      </c>
      <c r="G476" s="16">
        <f t="shared" si="9"/>
        <v>17000</v>
      </c>
    </row>
    <row r="477" spans="1:7" x14ac:dyDescent="0.25">
      <c r="A477" s="33" t="s">
        <v>301</v>
      </c>
      <c r="B477" s="45" t="s">
        <v>335</v>
      </c>
      <c r="C477" s="12">
        <v>1</v>
      </c>
      <c r="D477" s="29">
        <v>1</v>
      </c>
      <c r="E477" s="36" t="s">
        <v>56</v>
      </c>
      <c r="F477" s="10">
        <f>IF($E:$E="MATOOKE KGS", 1500, IF($E:$E="SAUSAGES", 30000, IF($E:$E="MARINATED CHICKEN", 25000, IF($E:$E="MARINATED GOAT LEG", 28000, IF($E:$E="TOMATOES", 3000,  IF($E:$E="CHICKEN", 30000, IF($E:$E="LOCAL EGGS", 25000,  IF($E:$E="IRISH", 3000, IF($E:$E="MILK", 2000, IF($E:$E="ONIONS", 6000, IF($E:$E="YELLOW YOLK EGGS", 20000, IF($E:$E="AVOCADO", 1000, IF($E:$E="BEEF", 16000, IF($E:$E="PLAIN YOGHURT", 4000, IF($E:$E="DOG MEAT", 4000, IF($E:$E="GOAT", 19000, ""))))))))))))))))</f>
        <v>1500</v>
      </c>
      <c r="G477" s="16">
        <f t="shared" si="9"/>
        <v>1500</v>
      </c>
    </row>
    <row r="478" spans="1:7" x14ac:dyDescent="0.25">
      <c r="A478" s="33" t="s">
        <v>301</v>
      </c>
      <c r="B478" s="45" t="s">
        <v>335</v>
      </c>
      <c r="C478" s="12">
        <v>2</v>
      </c>
      <c r="D478" s="29">
        <v>4</v>
      </c>
      <c r="E478" s="36" t="s">
        <v>56</v>
      </c>
      <c r="F478" s="10">
        <f>IF($E:$E="MATOOKE KGS", 1500, IF($E:$E="SAUSAGES", 30000, IF($E:$E="MARINATED CHICKEN", 25000, IF($E:$E="MARINATED GOAT LEG", 28000, IF($E:$E="TOMATOES", 3000, IF($E:$E="CHICKEN", 30000, IF($E:$E="LOCAL EGGS", 25000, IF($E:$E="IRISH", 3000, IF($E:$E="MILK", 2000, IF($E:$E="ONIONS", 6000, IF($E:$E="YELLOW YOLK EGGS", 20000, IF($E:$E="AVOCADO", 1000, IF($E:$E="BEEF", 16000, IF($E:$E="PLAIN YOGHURT", 4000, IF($E:$E="DOG MEAT", 4000, IF($E:$E="GOAT", 19000, ""))))))))))))))))</f>
        <v>1500</v>
      </c>
      <c r="G478" s="16">
        <f t="shared" si="9"/>
        <v>6000</v>
      </c>
    </row>
    <row r="479" spans="1:7" x14ac:dyDescent="0.25">
      <c r="A479" s="33" t="s">
        <v>301</v>
      </c>
      <c r="B479" s="45" t="s">
        <v>335</v>
      </c>
      <c r="C479" s="12">
        <v>3</v>
      </c>
      <c r="D479" s="29">
        <v>0.5</v>
      </c>
      <c r="E479" s="35" t="s">
        <v>75</v>
      </c>
      <c r="F479" s="10">
        <f>IF($E:$E="MATOOKE KGS", 1500, IF($E:$E="SAUSAGES", 30000, IF($E:$E="MARINATED CHICKEN", 25000, IF($E:$E="MARINATED GOAT LEG", 28000, IF($E:$E="TOMATOES", 3000,  IF($E:$E="CHICKEN", 30000, IF($E:$E="LOCAL EGGS", 25000,  IF($E:$E="IRISH", 3000, IF($E:$E="MILK", 2000, IF($E:$E="ONIONS", 6000, IF($E:$E="YELLOW YOLK EGGS", 20000, IF($E:$E="AVOCADO", 1000, IF($E:$E="BEEF", 16000, IF($E:$E="PLAIN YOGHURT", 4000, IF($E:$E="DOG MEAT", 4000, IF($E:$E="GOAT", 19000, ""))))))))))))))))</f>
        <v>20000</v>
      </c>
      <c r="G479" s="16">
        <f t="shared" si="9"/>
        <v>10000</v>
      </c>
    </row>
    <row r="480" spans="1:7" x14ac:dyDescent="0.25">
      <c r="A480" s="33" t="s">
        <v>301</v>
      </c>
      <c r="B480" s="45" t="s">
        <v>335</v>
      </c>
      <c r="C480" s="12">
        <v>4</v>
      </c>
      <c r="D480" s="29">
        <v>1</v>
      </c>
      <c r="E480" s="35" t="s">
        <v>75</v>
      </c>
      <c r="F480" s="10">
        <f>IF($E:$E="MATOOKE KGS", 1500, IF($E:$E="SAUSAGES", 30000, IF($E:$E="MARINATED CHICKEN", 25000, IF($E:$E="MARINATED GOAT LEG", 28000, IF($E:$E="TOMATOES", 3000,  IF($E:$E="CHICKEN", 30000, IF($E:$E="LOCAL EGGS", 25000,  IF($E:$E="IRISH", 3000, IF($E:$E="MILK", 2000, IF($E:$E="ONIONS", 6000, IF($E:$E="YELLOW YOLK EGGS", 20000, IF($E:$E="AVOCADO", 1000, IF($E:$E="BEEF", 16000, IF($E:$E="PLAIN YOGHURT", 4000, IF($E:$E="DOG MEAT", 4000, IF($E:$E="GOAT", 19000, ""))))))))))))))))</f>
        <v>20000</v>
      </c>
      <c r="G480" s="16">
        <f t="shared" si="9"/>
        <v>20000</v>
      </c>
    </row>
    <row r="481" spans="1:7" x14ac:dyDescent="0.25">
      <c r="A481" s="33" t="s">
        <v>301</v>
      </c>
      <c r="B481" s="45" t="s">
        <v>335</v>
      </c>
      <c r="C481" s="12">
        <v>5</v>
      </c>
      <c r="D481" s="29">
        <v>4</v>
      </c>
      <c r="E481" s="36" t="s">
        <v>56</v>
      </c>
      <c r="F481" s="10">
        <f>IF($E:$E="MATOOKE KGS", 1500, IF($E:$E="SAUSAGES", 30000, IF($E:$E="MARINATED CHICKEN", 25000, IF($E:$E="MARINATED GOAT LEG", 28000, IF($E:$E="TOMATOES", 3000, IF($E:$E="CHICKEN", 30000, IF($E:$E="LOCAL EGGS", 25000, IF($E:$E="IRISH", 3000, IF($E:$E="MILK", 2000, IF($E:$E="ONIONS", 6000, IF($E:$E="YELLOW YOLK EGGS", 20000, IF($E:$E="AVOCADO", 1000, IF($E:$E="BEEF", 16000, IF($E:$E="PLAIN YOGHURT", 4000, IF($E:$E="DOG MEAT", 4000, IF($E:$E="GOAT", 19000, ""))))))))))))))))</f>
        <v>1500</v>
      </c>
      <c r="G481" s="16">
        <f t="shared" si="9"/>
        <v>6000</v>
      </c>
    </row>
    <row r="482" spans="1:7" x14ac:dyDescent="0.25">
      <c r="A482" s="33" t="s">
        <v>301</v>
      </c>
      <c r="B482" s="45" t="s">
        <v>335</v>
      </c>
      <c r="C482" s="12">
        <v>6</v>
      </c>
      <c r="D482" s="29">
        <v>1</v>
      </c>
      <c r="E482" s="36" t="s">
        <v>59</v>
      </c>
      <c r="F482" s="10">
        <f>IF($E:$E="MATOOKE KGS", 1500, IF($E:$E="MINCED BEEF", 22000, IF($E:$E="DOG BONES", 4000, IF($E:$E="DOG MINCE", 5000,IF($E:$E="ZIP LOCKS",30000, IF($E:$E="BONELESS BEEF", 22000, IF($E:$E="SAUSAGES", 30000, IF($E:$E="MARINATED CHICKEN", 25000, IF($E:$E="MARINATED GOAT LEG", 28000, IF($E:$E="TOMATOES", 3000,  IF($E:$E="CHICKEN", 30000, IF($E:$E="LOCAL EGGS", 25000,  IF($E:$E="IRISH", 3000, IF($E:$E="MILK", 2000, IF($E:$E="ONIONS", 6000, IF($E:$E="YELLOW YOLK EGGS", 20000, IF($E:$E="AVOCADO", 1000, IF($E:$E="BEEF", 16000,IF($E:$E="BEEF FILLET", 30000, IF($E:$E="PLAIN YOGHURT", 4000, IF($E:$E="DOG MEAT", 4000, IF($E:$E="BEEF SAUSAGES", 30000,IF($E:$E="GOAT", 19000, "")))))))))))))))))))))))</f>
        <v>2000</v>
      </c>
      <c r="G482" s="16">
        <f t="shared" si="9"/>
        <v>2000</v>
      </c>
    </row>
    <row r="483" spans="1:7" x14ac:dyDescent="0.25">
      <c r="A483" s="33" t="s">
        <v>301</v>
      </c>
      <c r="B483" s="45" t="s">
        <v>335</v>
      </c>
      <c r="C483" s="12">
        <v>7</v>
      </c>
      <c r="D483" s="29">
        <v>1</v>
      </c>
      <c r="E483" s="36" t="s">
        <v>74</v>
      </c>
      <c r="F483" s="10">
        <f>IF($E:$E="MATOOKE KGS", 1500, IF($E:$E="SAUSAGES", 30000, IF($E:$E="MARINATED CHICKEN", 25000, IF($E:$E="MARINATED GOAT LEG", 28000, IF($E:$E="TOMATOES", 3000, IF($E:$E="CHICKEN", 30000, IF($E:$E="LOCAL EGGS", 25000, IF($E:$E="IRISH", 3000, IF($E:$E="MILK", 2000, IF($E:$E="ONIONS", 6000, IF($E:$E="YELLOW YOLK EGGS", 20000, IF($E:$E="AVOCADO", 1000, IF($E:$E="BEEF", 16000, IF($E:$E="PLAIN YOGHURT", 4000, IF($E:$E="DOG MEAT", 4000, IF($E:$E="GOAT", 19000, ""))))))))))))))))</f>
        <v>3000</v>
      </c>
      <c r="G483" s="16">
        <f t="shared" si="9"/>
        <v>3000</v>
      </c>
    </row>
    <row r="484" spans="1:7" x14ac:dyDescent="0.25">
      <c r="A484" s="33" t="s">
        <v>301</v>
      </c>
      <c r="B484" s="45" t="s">
        <v>335</v>
      </c>
      <c r="C484" s="12">
        <v>8</v>
      </c>
      <c r="D484" s="29">
        <v>1</v>
      </c>
      <c r="E484" s="36" t="s">
        <v>40</v>
      </c>
      <c r="F484" s="10">
        <f>IF($E:$E="MATOOKE KGS", 1500, IF($E:$E="SAUSAGES", 30000, IF($E:$E="TOMATOES", 3000, IF($E:$E="CHICKEN", 30000, IF($E:$E="LOCAL EGGS", 25000, IF($E:$E="IRISH POTATOES", 3000, IF($E:$E="MILK", 2000, IF($E:$E="ONIONS", 6000, IF($E:$E="YELLOW YOLK EGGS", 20000, IF($E:$E="AVOCADO", 1000, IF($E:$E="BEEF", 16000, IF($E:$E="PLAIN YOGHURT", 4000, ""))))))))))))</f>
        <v>3000</v>
      </c>
      <c r="G484" s="16">
        <f t="shared" si="9"/>
        <v>3000</v>
      </c>
    </row>
    <row r="485" spans="1:7" x14ac:dyDescent="0.25">
      <c r="A485" s="33" t="s">
        <v>301</v>
      </c>
      <c r="B485" s="45" t="s">
        <v>335</v>
      </c>
      <c r="C485" s="12">
        <v>9</v>
      </c>
      <c r="D485" s="29">
        <v>1</v>
      </c>
      <c r="E485" s="35" t="s">
        <v>52</v>
      </c>
      <c r="F485" s="10">
        <v>14500</v>
      </c>
      <c r="G485" s="16">
        <f t="shared" si="9"/>
        <v>14500</v>
      </c>
    </row>
    <row r="486" spans="1:7" x14ac:dyDescent="0.25">
      <c r="A486" s="33" t="s">
        <v>301</v>
      </c>
      <c r="B486" s="45" t="s">
        <v>335</v>
      </c>
      <c r="C486" s="12">
        <v>10</v>
      </c>
      <c r="D486" s="29">
        <v>1</v>
      </c>
      <c r="E486" s="35" t="s">
        <v>75</v>
      </c>
      <c r="F486" s="10">
        <f>IF($E:$E="MATOOKE KGS", 1500, IF($E:$E="SAUSAGES", 30000, IF($E:$E="MARINATED CHICKEN", 25000, IF($E:$E="MARINATED GOAT LEG", 28000, IF($E:$E="TOMATOES", 3000,  IF($E:$E="CHICKEN", 30000, IF($E:$E="LOCAL EGGS", 25000,  IF($E:$E="IRISH", 3000, IF($E:$E="MILK", 2000, IF($E:$E="ONIONS", 6000, IF($E:$E="YELLOW YOLK EGGS", 20000, IF($E:$E="AVOCADO", 1000, IF($E:$E="BEEF", 16000, IF($E:$E="PLAIN YOGHURT", 4000, IF($E:$E="DOG MEAT", 4000, IF($E:$E="GOAT", 19000, ""))))))))))))))))</f>
        <v>20000</v>
      </c>
      <c r="G486" s="16">
        <f t="shared" si="9"/>
        <v>20000</v>
      </c>
    </row>
    <row r="487" spans="1:7" x14ac:dyDescent="0.25">
      <c r="A487" s="33" t="s">
        <v>301</v>
      </c>
      <c r="B487" s="45" t="s">
        <v>335</v>
      </c>
      <c r="C487" s="12">
        <v>11</v>
      </c>
      <c r="D487" s="29">
        <v>1</v>
      </c>
      <c r="E487" s="36" t="s">
        <v>59</v>
      </c>
      <c r="F487" s="10">
        <f>IF($E:$E="MATOOKE KGS", 1500, IF($E:$E="MINCED BEEF", 22000, IF($E:$E="DOG BONES", 4000, IF($E:$E="DOG MINCE", 5000,IF($E:$E="ZIP LOCKS",30000, IF($E:$E="BONELESS BEEF", 22000, IF($E:$E="SAUSAGES", 30000, IF($E:$E="MARINATED CHICKEN", 25000, IF($E:$E="MARINATED GOAT LEG", 28000, IF($E:$E="TOMATOES", 3000,  IF($E:$E="CHICKEN", 30000, IF($E:$E="LOCAL EGGS", 25000,  IF($E:$E="IRISH", 3000, IF($E:$E="MILK", 2000, IF($E:$E="ONIONS", 6000, IF($E:$E="YELLOW YOLK EGGS", 20000, IF($E:$E="AVOCADO", 1000, IF($E:$E="BEEF", 16000,IF($E:$E="BEEF FILLET", 30000, IF($E:$E="PLAIN YOGHURT", 4000, IF($E:$E="DOG MEAT", 4000, IF($E:$E="BEEF SAUSAGES", 30000,IF($E:$E="GOAT", 19000, "")))))))))))))))))))))))</f>
        <v>2000</v>
      </c>
      <c r="G487" s="16">
        <f t="shared" si="9"/>
        <v>2000</v>
      </c>
    </row>
    <row r="488" spans="1:7" x14ac:dyDescent="0.25">
      <c r="A488" s="33" t="s">
        <v>301</v>
      </c>
      <c r="B488" s="45" t="s">
        <v>335</v>
      </c>
      <c r="C488" s="12">
        <v>12</v>
      </c>
      <c r="D488" s="29">
        <v>2</v>
      </c>
      <c r="E488" s="36" t="s">
        <v>56</v>
      </c>
      <c r="F488" s="10">
        <f>IF($E:$E="MATOOKE KGS", 1500, IF($E:$E="SAUSAGES", 30000, IF($E:$E="MARINATED CHICKEN", 25000, IF($E:$E="MARINATED GOAT LEG", 28000, IF($E:$E="TOMATOES", 3000,  IF($E:$E="CHICKEN", 30000, IF($E:$E="LOCAL EGGS", 25000,  IF($E:$E="IRISH", 3000, IF($E:$E="MILK", 2000, IF($E:$E="ONIONS", 6000, IF($E:$E="YELLOW YOLK EGGS", 20000, IF($E:$E="AVOCADO", 1000, IF($E:$E="BEEF", 16000, IF($E:$E="PLAIN YOGHURT", 4000, IF($E:$E="DOG MEAT", 4000, IF($E:$E="GOAT", 19000, ""))))))))))))))))</f>
        <v>1500</v>
      </c>
      <c r="G488" s="16">
        <f t="shared" si="9"/>
        <v>3000</v>
      </c>
    </row>
    <row r="489" spans="1:7" x14ac:dyDescent="0.25">
      <c r="A489" s="33" t="s">
        <v>301</v>
      </c>
      <c r="B489" s="45" t="s">
        <v>335</v>
      </c>
      <c r="C489" s="12">
        <v>13</v>
      </c>
      <c r="D489" s="29">
        <v>1</v>
      </c>
      <c r="E489" s="35" t="s">
        <v>52</v>
      </c>
      <c r="F489" s="10">
        <v>18500</v>
      </c>
      <c r="G489" s="16">
        <f t="shared" si="9"/>
        <v>18500</v>
      </c>
    </row>
    <row r="490" spans="1:7" x14ac:dyDescent="0.25">
      <c r="A490" s="33" t="s">
        <v>301</v>
      </c>
      <c r="B490" s="45" t="s">
        <v>335</v>
      </c>
      <c r="C490" s="12">
        <v>14</v>
      </c>
      <c r="D490" s="29">
        <v>1</v>
      </c>
      <c r="E490" s="35" t="s">
        <v>52</v>
      </c>
      <c r="F490" s="10">
        <v>13000</v>
      </c>
      <c r="G490" s="16">
        <f t="shared" si="9"/>
        <v>13000</v>
      </c>
    </row>
    <row r="491" spans="1:7" x14ac:dyDescent="0.25">
      <c r="A491" s="33" t="s">
        <v>301</v>
      </c>
      <c r="B491" s="45" t="s">
        <v>335</v>
      </c>
      <c r="C491" s="12">
        <v>15</v>
      </c>
      <c r="D491" s="29">
        <v>1</v>
      </c>
      <c r="E491" s="35" t="s">
        <v>52</v>
      </c>
      <c r="F491" s="10">
        <v>9500</v>
      </c>
      <c r="G491" s="16">
        <f t="shared" si="9"/>
        <v>9500</v>
      </c>
    </row>
    <row r="492" spans="1:7" x14ac:dyDescent="0.25">
      <c r="A492" s="33" t="s">
        <v>301</v>
      </c>
      <c r="B492" s="45" t="s">
        <v>335</v>
      </c>
      <c r="C492" s="12">
        <v>16</v>
      </c>
      <c r="D492" s="29">
        <v>1</v>
      </c>
      <c r="E492" s="35" t="s">
        <v>52</v>
      </c>
      <c r="F492" s="10">
        <v>11500</v>
      </c>
      <c r="G492" s="16">
        <f t="shared" si="9"/>
        <v>11500</v>
      </c>
    </row>
    <row r="493" spans="1:7" x14ac:dyDescent="0.25">
      <c r="A493" s="33" t="s">
        <v>301</v>
      </c>
      <c r="B493" s="45" t="s">
        <v>335</v>
      </c>
      <c r="C493" s="12">
        <v>17</v>
      </c>
      <c r="D493" s="29">
        <v>1</v>
      </c>
      <c r="E493" s="35" t="s">
        <v>9</v>
      </c>
      <c r="F493" s="17">
        <f>IF($E:$E="MATOOKE KGS", 1500, IF($E:$E="MINCED BEEF", 22000, IF($E:$E="DOG BONES", 4000, IF($E:$E="DOG MINCE", 5000,IF($E:$E="ZIP LOCKS",30000, IF($E:$E="BONELESS BEEF", 22000, IF($E:$E="SAUSAGES", 30000, IF($E:$E="MARINATED CHICKEN", 25000, IF($E:$E="MARINATED GOAT LEG", 28000, IF($E:$E="TOMATOES", 3000,  IF($E:$E="CHICKEN", 30000, IF($E:$E="LOCAL EGGS", 25000,  IF($E:$E="IRISH", 3000, IF($E:$E="MILK", 2000, IF($E:$E="ONIONS", 6000, IF($E:$E="YELLOW YOLK EGGS", 20000, IF($E:$E="AVOCADO", 1000, IF($E:$E="BEEF", 16000,IF($E:$E="BEEF FILLET", 30000, IF($E:$E="PLAIN YOGHURT", 4000, IF($E:$E="DOG MEAT", 4000, IF($E:$E="BEEF SAUSAGES", 30000,IF($E:$E="GOAT", 19000, "")))))))))))))))))))))))</f>
        <v>16000</v>
      </c>
      <c r="G493" s="16">
        <f t="shared" si="9"/>
        <v>16000</v>
      </c>
    </row>
    <row r="494" spans="1:7" x14ac:dyDescent="0.25">
      <c r="A494" s="33" t="s">
        <v>301</v>
      </c>
      <c r="B494" s="45" t="s">
        <v>335</v>
      </c>
      <c r="C494" s="12">
        <v>18</v>
      </c>
      <c r="D494" s="29">
        <v>1</v>
      </c>
      <c r="E494" s="35" t="s">
        <v>52</v>
      </c>
      <c r="F494" s="10">
        <v>11000</v>
      </c>
      <c r="G494" s="16">
        <f t="shared" si="9"/>
        <v>11000</v>
      </c>
    </row>
    <row r="495" spans="1:7" x14ac:dyDescent="0.25">
      <c r="A495" s="33" t="s">
        <v>301</v>
      </c>
      <c r="B495" s="45" t="s">
        <v>335</v>
      </c>
      <c r="C495" s="12">
        <v>19</v>
      </c>
      <c r="D495" s="29">
        <v>10</v>
      </c>
      <c r="E495" s="36" t="s">
        <v>59</v>
      </c>
      <c r="F495" s="10">
        <f>IF($E:$E="MATOOKE KGS", 1500, IF($E:$E="MINCED BEEF", 22000, IF($E:$E="DOG BONES", 4000, IF($E:$E="DOG MINCE", 5000,IF($E:$E="ZIP LOCKS",30000, IF($E:$E="BONELESS BEEF", 22000, IF($E:$E="SAUSAGES", 30000, IF($E:$E="MARINATED CHICKEN", 25000, IF($E:$E="MARINATED GOAT LEG", 28000, IF($E:$E="TOMATOES", 3000,  IF($E:$E="CHICKEN", 30000, IF($E:$E="LOCAL EGGS", 25000,  IF($E:$E="IRISH", 3000, IF($E:$E="MILK", 2000, IF($E:$E="ONIONS", 6000, IF($E:$E="YELLOW YOLK EGGS", 20000, IF($E:$E="AVOCADO", 1000, IF($E:$E="BEEF", 16000,IF($E:$E="BEEF FILLET", 30000, IF($E:$E="PLAIN YOGHURT", 4000, IF($E:$E="DOG MEAT", 4000, IF($E:$E="BEEF SAUSAGES", 30000,IF($E:$E="GOAT", 19000, "")))))))))))))))))))))))</f>
        <v>2000</v>
      </c>
      <c r="G495" s="16">
        <f t="shared" si="9"/>
        <v>20000</v>
      </c>
    </row>
    <row r="496" spans="1:7" x14ac:dyDescent="0.25">
      <c r="A496" s="33" t="s">
        <v>301</v>
      </c>
      <c r="B496" s="45" t="s">
        <v>335</v>
      </c>
      <c r="C496" s="12">
        <v>20</v>
      </c>
      <c r="D496" s="29">
        <v>1</v>
      </c>
      <c r="E496" s="36" t="s">
        <v>11</v>
      </c>
      <c r="F496" s="10">
        <f>IF($E:$E="MATOOKE KGS", 1500, IF($E:$E="SAUSAGES", 30000, IF($E:$E="MARINATED CHICKEN", 25000, IF($E:$E="MARINATED GOAT LEG", 28000, IF($E:$E="TOMATOES", 3000,  IF($E:$E="CHICKEN", 30000, IF($E:$E="LOCAL EGGS", 25000,  IF($E:$E="IRISH", 3000, IF($E:$E="MILK", 2000, IF($E:$E="ONIONS", 6000, IF($E:$E="YELLOW YOLK EGGS", 20000, IF($E:$E="AVOCADO", 1000, IF($E:$E="BEEF", 16000,IF($E:$E="BEEF FILLET", 30000, IF($E:$E="PLAIN YOGHURT", 4000, IF($E:$E="DOG MEAT", 4000, IF($E:$E="GOAT", 19000, "")))))))))))))))))</f>
        <v>30000</v>
      </c>
      <c r="G496" s="16">
        <f t="shared" si="9"/>
        <v>30000</v>
      </c>
    </row>
    <row r="497" spans="1:7" x14ac:dyDescent="0.25">
      <c r="A497" s="33" t="s">
        <v>301</v>
      </c>
      <c r="B497" s="45" t="s">
        <v>335</v>
      </c>
      <c r="C497" s="12">
        <v>21</v>
      </c>
      <c r="D497" s="29">
        <v>1</v>
      </c>
      <c r="E497" s="36" t="s">
        <v>74</v>
      </c>
      <c r="F497" s="10">
        <f>IF($E:$E="MATOOKE KGS", 1500, IF($E:$E="SAUSAGES", 30000, IF($E:$E="MARINATED CHICKEN", 25000, IF($E:$E="MARINATED GOAT LEG", 28000, IF($E:$E="TOMATOES", 3000,  IF($E:$E="CHICKEN", 30000, IF($E:$E="LOCAL EGGS", 25000,  IF($E:$E="IRISH", 3000, IF($E:$E="MILK", 2000, IF($E:$E="ONIONS", 6000, IF($E:$E="YELLOW YOLK EGGS", 20000, IF($E:$E="AVOCADO", 1000, IF($E:$E="BEEF", 16000,IF($E:$E="BEEF FILLET", 30000, IF($E:$E="PLAIN YOGHURT", 4000, IF($E:$E="DOG MEAT", 4000, IF($E:$E="GOAT", 19000, "")))))))))))))))))</f>
        <v>3000</v>
      </c>
      <c r="G497" s="16">
        <f t="shared" si="9"/>
        <v>3000</v>
      </c>
    </row>
    <row r="498" spans="1:7" x14ac:dyDescent="0.25">
      <c r="A498" s="33" t="s">
        <v>301</v>
      </c>
      <c r="B498" s="45" t="s">
        <v>335</v>
      </c>
      <c r="C498" s="12">
        <v>22</v>
      </c>
      <c r="D498" s="29">
        <v>0.5</v>
      </c>
      <c r="E498" s="36" t="s">
        <v>64</v>
      </c>
      <c r="F498" s="10">
        <f>IF($E:$E="MATOOKE KGS", 1500, IF($E:$E="SAUSAGES", 30000, IF($E:$E="MARINATED CHICKEN", 25000, IF($E:$E="MARINATED GOAT LEG", 28000, IF($E:$E="TOMATOES", 3000,  IF($E:$E="CHICKEN", 30000, IF($E:$E="LOCAL EGGS", 25000,  IF($E:$E="IRISH", 3000, IF($E:$E="MILK", 2000, IF($E:$E="ONIONS", 6000, IF($E:$E="YELLOW YOLK EGGS", 20000, IF($E:$E="AVOCADO", 1000, IF($E:$E="BEEF", 16000,IF($E:$E="BEEF FILLET", 30000, IF($E:$E="PLAIN YOGHURT", 4000, IF($E:$E="DOG MEAT", 4000, IF($E:$E="GOAT", 19000, "")))))))))))))))))</f>
        <v>6000</v>
      </c>
      <c r="G498" s="16">
        <f t="shared" si="9"/>
        <v>3000</v>
      </c>
    </row>
    <row r="499" spans="1:7" x14ac:dyDescent="0.25">
      <c r="A499" s="33" t="s">
        <v>301</v>
      </c>
      <c r="B499" s="45" t="s">
        <v>335</v>
      </c>
      <c r="C499" s="12">
        <v>23</v>
      </c>
      <c r="D499" s="29">
        <v>1</v>
      </c>
      <c r="E499" s="36" t="s">
        <v>82</v>
      </c>
      <c r="F499" s="10">
        <f>IF($E:$E="MATOOKE KGS", 1500, IF($E:$E="SAUSAGES", 30000, IF($E:$E="MARINATED CHICKEN", 25000, IF($E:$E="MARINATED GOAT LEG", 28000, IF($E:$E="TOMATOES", 3000,  IF($E:$E="CHICKEN", 30000, IF($E:$E="LOCAL EGGS", 25000,  IF($E:$E="IRISH", 3000, IF($E:$E="MILK", 2000, IF($E:$E="ONIONS", 6000, IF($E:$E="YELLOW YOLK EGGS", 20000, IF($E:$E="AVOCADO", 1000, IF($E:$E="BEEF", 16000,IF($E:$E="BEEF FILLET", 30000, IF($E:$E="PLAIN YOGHURT", 4000, IF($E:$E="DOG MEAT", 4000, IF($E:$E="BEEF SAUSAGES", 30000,IF($E:$E="GOAT", 19000, ""))))))))))))))))))</f>
        <v>30000</v>
      </c>
      <c r="G499" s="16">
        <f t="shared" si="9"/>
        <v>30000</v>
      </c>
    </row>
    <row r="500" spans="1:7" x14ac:dyDescent="0.25">
      <c r="A500" s="33" t="s">
        <v>301</v>
      </c>
      <c r="B500" s="45" t="s">
        <v>335</v>
      </c>
      <c r="C500" s="12">
        <v>24</v>
      </c>
      <c r="D500" s="29">
        <v>2</v>
      </c>
      <c r="E500" s="36" t="s">
        <v>77</v>
      </c>
      <c r="F500" s="10">
        <f>IF($E:$E="MATOOKE KGS", 1500, IF($E:$E="ZIP LOCKS", 30000, IF($E:$E="SAUSAGES", 30000, IF($E:$E="MARINATED CHICKEN", 25000, IF($E:$E="MARINATED GOAT LEG", 28000, IF($E:$E="TOMATOES", 3000,  IF($E:$E="CHICKEN", 30000, IF($E:$E="LOCAL EGGS", 25000,  IF($E:$E="IRISH", 3000, IF($E:$E="MILK", 2000, IF($E:$E="ONIONS", 6000, IF($E:$E="YELLOW YOLK EGGS", 20000, IF($E:$E="AVOCADO", 1000, IF($E:$E="BEEF", 16000,IF($E:$E="BEEF FILLET", 30000, IF($E:$E="PLAIN YOGHURT", 4000, IF($E:$E="DOG MEAT", 4000, IF($E:$E="BEEF SAUSAGES", 30000,IF($E:$E="GOAT", 19000, "")))))))))))))))))))</f>
        <v>30000</v>
      </c>
      <c r="G500" s="16">
        <f t="shared" si="9"/>
        <v>60000</v>
      </c>
    </row>
    <row r="501" spans="1:7" x14ac:dyDescent="0.25">
      <c r="A501" s="33" t="s">
        <v>301</v>
      </c>
      <c r="B501" s="45" t="s">
        <v>335</v>
      </c>
      <c r="C501" s="12">
        <v>25</v>
      </c>
      <c r="D501" s="29">
        <v>1</v>
      </c>
      <c r="E501" s="35" t="s">
        <v>75</v>
      </c>
      <c r="F501" s="10">
        <f>IF($E:$E="MATOOKE KGS", 1500, IF($E:$E="SAUSAGES", 30000, IF($E:$E="MARINATED CHICKEN", 25000, IF($E:$E="MARINATED GOAT LEG", 28000, IF($E:$E="TOMATOES", 3000,  IF($E:$E="CHICKEN", 30000, IF($E:$E="LOCAL EGGS", 25000,  IF($E:$E="IRISH", 3000, IF($E:$E="MILK", 2000, IF($E:$E="ONIONS", 6000, IF($E:$E="YELLOW YOLK EGGS", 20000, IF($E:$E="AVOCADO", 1000, IF($E:$E="BEEF", 16000, IF($E:$E="PLAIN YOGHURT", 4000, IF($E:$E="DOG MEAT", 4000, IF($E:$E="GOAT", 19000, ""))))))))))))))))</f>
        <v>20000</v>
      </c>
      <c r="G501" s="16">
        <f t="shared" si="9"/>
        <v>20000</v>
      </c>
    </row>
    <row r="502" spans="1:7" x14ac:dyDescent="0.25">
      <c r="A502" s="33" t="s">
        <v>301</v>
      </c>
      <c r="B502" s="45" t="s">
        <v>335</v>
      </c>
      <c r="C502" s="12">
        <v>26</v>
      </c>
      <c r="D502" s="29">
        <v>1</v>
      </c>
      <c r="E502" s="35" t="s">
        <v>52</v>
      </c>
      <c r="F502" s="10">
        <v>15500</v>
      </c>
      <c r="G502" s="16">
        <f t="shared" si="9"/>
        <v>15500</v>
      </c>
    </row>
    <row r="503" spans="1:7" x14ac:dyDescent="0.25">
      <c r="A503" s="33" t="s">
        <v>301</v>
      </c>
      <c r="B503" s="45" t="s">
        <v>335</v>
      </c>
      <c r="C503" s="12">
        <v>27</v>
      </c>
      <c r="D503" s="29">
        <v>1</v>
      </c>
      <c r="E503" s="36" t="s">
        <v>14</v>
      </c>
      <c r="F503" s="10">
        <f>IF($E:$E="MATOOKE KGS", 1500,IF($E:$E="DOG BONES", 4000, IF($E:$E="DOG MINCE", 5000,IF($E:$E="ZIP LOCKS",30000, IF($E:$E="BONELESS BEEF", 22000, IF($E:$E="SAUSAGES", 30000, IF($E:$E="MARINATED CHICKEN", 25000, IF($E:$E="MARINATED GOAT LEG", 28000, IF($E:$E="TOMATOES", 3000,  IF($E:$E="CHICKEN", 30000, IF($E:$E="LOCAL EGGS", 25000,  IF($E:$E="IRISH", 3000, IF($E:$E="MILK", 2000, IF($E:$E="ONIONS", 6000, IF($E:$E="YELLOW YOLK EGGS", 20000, IF($E:$E="AVOCADO", 1000, IF($E:$E="BEEF", 16000,IF($E:$E="BEEF FILLET", 30000, IF($E:$E="PLAIN YOGHURT", 4000, IF($E:$E="DOG MEAT", 4000, IF($E:$E="BEEF SAUSAGES", 30000,IF($E:$E="GOAT", 19000, ""))))))))))))))))))))))</f>
        <v>22000</v>
      </c>
      <c r="G503" s="16">
        <f t="shared" si="9"/>
        <v>22000</v>
      </c>
    </row>
    <row r="504" spans="1:7" x14ac:dyDescent="0.25">
      <c r="A504" s="33" t="s">
        <v>301</v>
      </c>
      <c r="B504" s="45" t="s">
        <v>335</v>
      </c>
      <c r="C504" s="12">
        <v>28</v>
      </c>
      <c r="D504" s="29">
        <v>1</v>
      </c>
      <c r="E504" s="35" t="s">
        <v>9</v>
      </c>
      <c r="F504" s="17">
        <f>IF($E:$E="MATOOKE KGS", 1500, IF($E:$E="MINCED BEEF", 22000, IF($E:$E="DOG BONES", 4000, IF($E:$E="DOG MINCE", 5000,IF($E:$E="ZIP LOCKS",30000, IF($E:$E="BONELESS BEEF", 22000, IF($E:$E="SAUSAGES", 30000, IF($E:$E="MARINATED CHICKEN", 25000, IF($E:$E="MARINATED GOAT LEG", 28000, IF($E:$E="TOMATOES", 3000,  IF($E:$E="CHICKEN", 30000, IF($E:$E="LOCAL EGGS", 25000,  IF($E:$E="IRISH", 3000, IF($E:$E="MILK", 2000, IF($E:$E="ONIONS", 6000, IF($E:$E="YELLOW YOLK EGGS", 20000, IF($E:$E="AVOCADO", 1000, IF($E:$E="BEEF", 16000,IF($E:$E="BEEF FILLET", 30000, IF($E:$E="PLAIN YOGHURT", 4000, IF($E:$E="DOG MEAT", 4000, IF($E:$E="BEEF SAUSAGES", 30000,IF($E:$E="GOAT", 19000, "")))))))))))))))))))))))</f>
        <v>16000</v>
      </c>
      <c r="G504" s="16">
        <f t="shared" si="9"/>
        <v>16000</v>
      </c>
    </row>
    <row r="505" spans="1:7" x14ac:dyDescent="0.25">
      <c r="A505" s="33" t="s">
        <v>301</v>
      </c>
      <c r="B505" s="45" t="s">
        <v>335</v>
      </c>
      <c r="C505" s="12">
        <v>29</v>
      </c>
      <c r="D505" s="29">
        <v>1</v>
      </c>
      <c r="E505" s="36" t="s">
        <v>59</v>
      </c>
      <c r="F505" s="10">
        <f>IF($E:$E="MATOOKE KGS", 1500, IF($E:$E="MINCED BEEF", 22000, IF($E:$E="DOG BONES", 4000, IF($E:$E="DOG MINCE", 5000,IF($E:$E="ZIP LOCKS",30000, IF($E:$E="BONELESS BEEF", 22000, IF($E:$E="SAUSAGES", 30000, IF($E:$E="MARINATED CHICKEN", 25000, IF($E:$E="MARINATED GOAT LEG", 28000, IF($E:$E="TOMATOES", 3000,  IF($E:$E="CHICKEN", 30000, IF($E:$E="LOCAL EGGS", 25000,  IF($E:$E="IRISH", 3000, IF($E:$E="MILK", 2000, IF($E:$E="ONIONS", 6000, IF($E:$E="YELLOW YOLK EGGS", 20000, IF($E:$E="AVOCADO", 1000, IF($E:$E="BEEF", 16000,IF($E:$E="BEEF FILLET", 30000, IF($E:$E="PLAIN YOGHURT", 4000, IF($E:$E="DOG MEAT", 4000, IF($E:$E="BEEF SAUSAGES", 30000,IF($E:$E="GOAT", 19000, "")))))))))))))))))))))))</f>
        <v>2000</v>
      </c>
      <c r="G505" s="16">
        <f t="shared" si="9"/>
        <v>2000</v>
      </c>
    </row>
    <row r="506" spans="1:7" x14ac:dyDescent="0.25">
      <c r="A506" s="33" t="s">
        <v>301</v>
      </c>
      <c r="B506" s="45" t="s">
        <v>335</v>
      </c>
      <c r="C506" s="12">
        <v>30</v>
      </c>
      <c r="D506" s="29">
        <v>1</v>
      </c>
      <c r="E506" s="35" t="s">
        <v>75</v>
      </c>
      <c r="F506" s="10">
        <f>IF($E:$E="MATOOKE KGS", 1500, IF($E:$E="SAUSAGES", 30000, IF($E:$E="MARINATED CHICKEN", 25000, IF($E:$E="MARINATED GOAT LEG", 28000, IF($E:$E="TOMATOES", 3000,  IF($E:$E="CHICKEN", 30000, IF($E:$E="LOCAL EGGS", 25000,  IF($E:$E="IRISH", 3000, IF($E:$E="MILK", 2000, IF($E:$E="ONIONS", 6000, IF($E:$E="YELLOW YOLK EGGS", 20000, IF($E:$E="AVOCADO", 1000, IF($E:$E="BEEF", 16000, IF($E:$E="PLAIN YOGHURT", 4000, IF($E:$E="DOG MEAT", 4000, IF($E:$E="GOAT", 19000, ""))))))))))))))))</f>
        <v>20000</v>
      </c>
      <c r="G506" s="16">
        <f t="shared" si="9"/>
        <v>20000</v>
      </c>
    </row>
    <row r="507" spans="1:7" x14ac:dyDescent="0.25">
      <c r="A507" s="33" t="s">
        <v>301</v>
      </c>
      <c r="B507" s="45" t="s">
        <v>335</v>
      </c>
      <c r="C507" s="12">
        <v>31</v>
      </c>
      <c r="D507" s="29">
        <v>1</v>
      </c>
      <c r="E507" s="35" t="s">
        <v>29</v>
      </c>
      <c r="F507" s="10">
        <f>IF($E:$E="MATOOKE KGS", 1500,IF($E:$E="DOG BONES", 4000, IF($E:$E="DOG MINCE", 5000,IF($E:$E="ZIP LOCKS",30000, IF($E:$E="BONELESS BEEF", 22000, IF($E:$E="SAUSAGES", 30000, IF($E:$E="MARINATED CHICKEN", 25000, IF($E:$E="MARINATED GOAT LEG", 28000, IF($E:$E="TOMATOES", 3000,  IF($E:$E="CHICKEN", 30000, IF($E:$E="LOCAL EGGS", 25000,  IF($E:$E="IRISH", 3000, IF($E:$E="MILK", 2000, IF($E:$E="ONIONS", 6000, IF($E:$E="YELLOW YOLK EGGS", 20000, IF($E:$E="AVOCADO", 1000, IF($E:$E="BEEF", 16000,IF($E:$E="BEEF FILLET", 30000, IF($E:$E="PLAIN YOGHURT", 4000, IF($E:$E="DOG MEAT", 4000, IF($E:$E="BEEF SAUSAGES", 30000,IF($E:$E="GOAT", 19000, ""))))))))))))))))))))))</f>
        <v>19000</v>
      </c>
      <c r="G507" s="16">
        <f t="shared" si="9"/>
        <v>19000</v>
      </c>
    </row>
    <row r="508" spans="1:7" x14ac:dyDescent="0.25">
      <c r="A508" s="33" t="s">
        <v>301</v>
      </c>
      <c r="B508" s="45" t="s">
        <v>335</v>
      </c>
      <c r="C508" s="12">
        <v>32</v>
      </c>
      <c r="D508" s="29">
        <v>1</v>
      </c>
      <c r="E508" s="36" t="s">
        <v>61</v>
      </c>
      <c r="F508" s="10">
        <f>IF($E:$E="MATOOKE KGS", 1500, IF($E:$E="MINCED BEEF", 22000, IF($E:$E="DOG BONES", 4000, IF($E:$E="DOG MINCE", 5000,IF($E:$E="ZIP LOCKS",30000, IF($E:$E="BONELESS BEEF", 22000, IF($E:$E="SAUSAGES", 30000, IF($E:$E="MARINATED CHICKEN", 25000, IF($E:$E="MARINATED GOAT LEG", 28000, IF($E:$E="TOMATOES", 3000,  IF($E:$E="CHICKEN", 30000, IF($E:$E="LOCAL EGGS", 25000,  IF($E:$E="IRISH", 3000, IF($E:$E="MILK", 2000, IF($E:$E="ONIONS", 6000, IF($E:$E="YELLOW YOLK EGGS", 20000, IF($E:$E="AVOCADO", 1000, IF($E:$E="BEEF", 16000,IF($E:$E="BEEF FILLET", 30000, IF($E:$E="PLAIN YOGHURT", 4000, IF($E:$E="DOG MEAT", 4000, IF($E:$E="BEEF SAUSAGES", 30000,IF($E:$E="GOAT", 19000, "")))))))))))))))))))))))</f>
        <v>22000</v>
      </c>
      <c r="G508" s="16">
        <f t="shared" si="9"/>
        <v>22000</v>
      </c>
    </row>
    <row r="509" spans="1:7" x14ac:dyDescent="0.25">
      <c r="A509" s="33" t="s">
        <v>301</v>
      </c>
      <c r="B509" s="45" t="s">
        <v>335</v>
      </c>
      <c r="C509" s="12">
        <v>36</v>
      </c>
      <c r="D509" s="29">
        <v>4</v>
      </c>
      <c r="E509" s="35" t="s">
        <v>21</v>
      </c>
      <c r="F509" s="10">
        <f>IF($E:$E="MATOOKE KGS", 1500, IF($E:$E="MINCED BEEF", 22000, IF($E:$E="DOG BONES", 4000, IF($E:$E="DOG MINCE", 5000,IF($E:$E="ZIP LOCKS",30000, IF($E:$E="BONELESS BEEF", 22000, IF($E:$E="SAUSAGES", 30000, IF($E:$E="MARINATED CHICKEN", 25000, IF($E:$E="MARINATED GOAT LEG", 28000, IF($E:$E="TOMATOES", 3000,  IF($E:$E="CHICKEN", 30000, IF($E:$E="LOCAL EGGS", 25000,  IF($E:$E="IRISH", 3000, IF($E:$E="MILK", 2000, IF($E:$E="ONIONS", 6000, IF($E:$E="YELLOW YOLK EGGS", 20000, IF($E:$E="AVOCADO", 1000, IF($E:$E="BEEF", 16000,IF($E:$E="BEEF FILLET", 30000, IF($E:$E="PLAIN YOGHURT", 4000, IF($E:$E="DOG MEAT", 4000, IF($E:$E="BEEF SAUSAGES", 30000,IF($E:$E="GOAT", 19000, "")))))))))))))))))))))))</f>
        <v>4000</v>
      </c>
      <c r="G509" s="16">
        <f t="shared" si="9"/>
        <v>16000</v>
      </c>
    </row>
    <row r="510" spans="1:7" x14ac:dyDescent="0.25">
      <c r="A510" s="33" t="s">
        <v>301</v>
      </c>
      <c r="B510" s="45" t="s">
        <v>335</v>
      </c>
      <c r="C510" s="12">
        <v>37</v>
      </c>
      <c r="D510" s="29">
        <v>1</v>
      </c>
      <c r="E510" s="36" t="s">
        <v>36</v>
      </c>
      <c r="F510" s="10">
        <v>5000</v>
      </c>
      <c r="G510" s="16">
        <f t="shared" si="9"/>
        <v>5000</v>
      </c>
    </row>
    <row r="511" spans="1:7" x14ac:dyDescent="0.25">
      <c r="A511" s="33" t="s">
        <v>301</v>
      </c>
      <c r="B511" s="45" t="s">
        <v>335</v>
      </c>
      <c r="C511" s="12">
        <v>38</v>
      </c>
      <c r="D511" s="29">
        <v>1</v>
      </c>
      <c r="E511" s="35" t="s">
        <v>9</v>
      </c>
      <c r="F511" s="17">
        <f>IF($E:$E="MATOOKE KGS", 1500, IF($E:$E="MINCED BEEF", 22000, IF($E:$E="DOG BONES", 4000, IF($E:$E="DOG MINCE", 5000,IF($E:$E="ZIP LOCKS",30000, IF($E:$E="BONELESS BEEF", 22000, IF($E:$E="SAUSAGES", 30000, IF($E:$E="MARINATED CHICKEN", 25000, IF($E:$E="MARINATED GOAT LEG", 28000, IF($E:$E="TOMATOES", 3000,  IF($E:$E="CHICKEN", 30000, IF($E:$E="LOCAL EGGS", 25000,  IF($E:$E="IRISH", 3000, IF($E:$E="MILK", 2000, IF($E:$E="ONIONS", 6000, IF($E:$E="YELLOW YOLK EGGS", 20000, IF($E:$E="AVOCADO", 1000, IF($E:$E="BEEF", 16000,IF($E:$E="BEEF FILLET", 30000, IF($E:$E="PLAIN YOGHURT", 4000, IF($E:$E="DOG MEAT", 4000, IF($E:$E="BEEF SAUSAGES", 30000,IF($E:$E="GOAT", 19000, "")))))))))))))))))))))))</f>
        <v>16000</v>
      </c>
      <c r="G511" s="16">
        <f t="shared" si="9"/>
        <v>16000</v>
      </c>
    </row>
    <row r="512" spans="1:7" x14ac:dyDescent="0.25">
      <c r="A512" s="33" t="s">
        <v>301</v>
      </c>
      <c r="B512" s="45" t="s">
        <v>335</v>
      </c>
      <c r="C512" s="12">
        <v>39</v>
      </c>
      <c r="D512" s="29">
        <v>1</v>
      </c>
      <c r="E512" s="35" t="s">
        <v>52</v>
      </c>
      <c r="F512" s="10">
        <v>27500</v>
      </c>
      <c r="G512" s="16">
        <f t="shared" si="9"/>
        <v>27500</v>
      </c>
    </row>
    <row r="513" spans="1:7" x14ac:dyDescent="0.25">
      <c r="A513" s="33" t="s">
        <v>301</v>
      </c>
      <c r="B513" s="45" t="s">
        <v>335</v>
      </c>
      <c r="C513" s="12">
        <v>40</v>
      </c>
      <c r="D513" s="29">
        <v>2</v>
      </c>
      <c r="E513" s="36" t="s">
        <v>56</v>
      </c>
      <c r="F513" s="10">
        <f>IF($E:$E="MATOOKE KGS", 1500, IF($E:$E="MINCED BEEF", 22000, IF($E:$E="DOG BONES", 4000, IF($E:$E="DOG MINCE", 5000,IF($E:$E="ZIP LOCKS",30000, IF($E:$E="BONELESS BEEF", 22000, IF($E:$E="SAUSAGES", 30000, IF($E:$E="MARINATED CHICKEN", 25000, IF($E:$E="MARINATED GOAT LEG", 28000, IF($E:$E="TOMATOES", 3000,  IF($E:$E="CHICKEN", 30000, IF($E:$E="LOCAL EGGS", 25000,  IF($E:$E="IRISH", 3000, IF($E:$E="MILK", 2000, IF($E:$E="ONIONS", 6000, IF($E:$E="YELLOW YOLK EGGS", 20000, IF($E:$E="AVOCADO", 1000, IF($E:$E="BEEF", 16000,IF($E:$E="BEEF FILLET", 30000, IF($E:$E="PLAIN YOGHURT", 4000, IF($E:$E="DOG MEAT", 4000, IF($E:$E="BEEF SAUSAGES", 30000,IF($E:$E="GOAT", 19000, "")))))))))))))))))))))))</f>
        <v>1500</v>
      </c>
      <c r="G513" s="16">
        <f t="shared" si="9"/>
        <v>3000</v>
      </c>
    </row>
    <row r="514" spans="1:7" x14ac:dyDescent="0.25">
      <c r="A514" s="33" t="s">
        <v>301</v>
      </c>
      <c r="B514" s="45" t="s">
        <v>335</v>
      </c>
      <c r="C514" s="12">
        <v>41</v>
      </c>
      <c r="D514" s="29">
        <v>2</v>
      </c>
      <c r="E514" s="36" t="s">
        <v>59</v>
      </c>
      <c r="F514" s="10">
        <f>IF($E:$E="MATOOKE KGS", 1500, IF($E:$E="MINCED BEEF", 22000, IF($E:$E="DOG BONES", 4000, IF($E:$E="DOG MINCE", 5000,IF($E:$E="ZIP LOCKS",30000, IF($E:$E="BONELESS BEEF", 22000, IF($E:$E="SAUSAGES", 30000, IF($E:$E="MARINATED CHICKEN", 25000, IF($E:$E="MARINATED GOAT LEG", 28000, IF($E:$E="TOMATOES", 3000,  IF($E:$E="CHICKEN", 30000, IF($E:$E="LOCAL EGGS", 25000,  IF($E:$E="IRISH", 3000, IF($E:$E="MILK", 2000, IF($E:$E="ONIONS", 6000, IF($E:$E="YELLOW YOLK EGGS", 20000, IF($E:$E="AVOCADO", 1000, IF($E:$E="BEEF", 16000,IF($E:$E="BEEF FILLET", 30000, IF($E:$E="PLAIN YOGHURT", 4000, IF($E:$E="DOG MEAT", 4000, IF($E:$E="BEEF SAUSAGES", 30000,IF($E:$E="GOAT", 19000, "")))))))))))))))))))))))</f>
        <v>2000</v>
      </c>
      <c r="G514" s="16">
        <f t="shared" ref="G514:G552" si="10">(F514*D514)</f>
        <v>4000</v>
      </c>
    </row>
    <row r="515" spans="1:7" x14ac:dyDescent="0.25">
      <c r="A515" s="33" t="s">
        <v>301</v>
      </c>
      <c r="B515" s="45" t="s">
        <v>335</v>
      </c>
      <c r="C515" s="12">
        <v>42</v>
      </c>
      <c r="D515" s="29">
        <v>2</v>
      </c>
      <c r="E515" s="36" t="s">
        <v>56</v>
      </c>
      <c r="F515" s="10">
        <f>IF($E:$E="MATOOKE KGS", 1500, IF($E:$E="MINCED BEEF", 22000, IF($E:$E="DOG BONES", 4000, IF($E:$E="DOG MINCE", 5000,IF($E:$E="ZIP LOCKS",30000, IF($E:$E="BONELESS BEEF", 22000, IF($E:$E="SAUSAGES", 30000, IF($E:$E="MARINATED CHICKEN", 25000, IF($E:$E="MARINATED GOAT LEG", 28000, IF($E:$E="TOMATOES", 3000,  IF($E:$E="CHICKEN", 30000, IF($E:$E="LOCAL EGGS", 25000,  IF($E:$E="IRISH", 3000, IF($E:$E="MILK", 2000, IF($E:$E="ONIONS", 6000, IF($E:$E="YELLOW YOLK EGGS", 20000, IF($E:$E="AVOCADO", 1000, IF($E:$E="BEEF", 16000,IF($E:$E="BEEF FILLET", 30000, IF($E:$E="PLAIN YOGHURT", 4000, IF($E:$E="DOG MEAT", 4000, IF($E:$E="BEEF SAUSAGES", 30000,IF($E:$E="GOAT", 19000, "")))))))))))))))))))))))</f>
        <v>1500</v>
      </c>
      <c r="G515" s="16">
        <f t="shared" si="10"/>
        <v>3000</v>
      </c>
    </row>
    <row r="516" spans="1:7" x14ac:dyDescent="0.25">
      <c r="A516" s="33" t="s">
        <v>301</v>
      </c>
      <c r="B516" s="45" t="s">
        <v>335</v>
      </c>
      <c r="C516" s="12">
        <v>43</v>
      </c>
      <c r="D516" s="29">
        <v>2</v>
      </c>
      <c r="E516" s="36" t="s">
        <v>25</v>
      </c>
      <c r="F516" s="10">
        <f>IF($E:$E="MATOOKE KGS", 1500, IF($E:$E="MINCED BEEF", 22000, IF($E:$E="DOG BONES", 4000, IF($E:$E="DOG MINCE", 5000,IF($E:$E="ZIP LOCKS",30000, IF($E:$E="BONELESS BEEF", 22000, IF($E:$E="SAUSAGES", 30000, IF($E:$E="MARINATED CHICKEN", 25000, IF($E:$E="MARINATED GOAT LEG", 28000, IF($E:$E="TOMATOES", 3000,  IF($E:$E="CHICKEN", 30000, IF($E:$E="LOCAL EGGS", 25000,  IF($E:$E="IRISH", 3000, IF($E:$E="MILK", 2000, IF($E:$E="ONIONS", 6000, IF($E:$E="YELLOW YOLK EGGS", 20000, IF($E:$E="AVOCADO", 1000, IF($E:$E="BEEF", 16000,IF($E:$E="BEEF FILLET", 30000, IF($E:$E="PLAIN YOGHURT", 4000, IF($E:$E="DOG MEAT", 4000, IF($E:$E="BEEF SAUSAGES", 30000,IF($E:$E="GOAT", 19000, "")))))))))))))))))))))))</f>
        <v>5000</v>
      </c>
      <c r="G516" s="16">
        <f t="shared" si="10"/>
        <v>10000</v>
      </c>
    </row>
    <row r="517" spans="1:7" x14ac:dyDescent="0.25">
      <c r="A517" s="33" t="s">
        <v>301</v>
      </c>
      <c r="B517" s="45" t="s">
        <v>335</v>
      </c>
      <c r="C517" s="12">
        <v>44</v>
      </c>
      <c r="D517" s="29">
        <v>2.2999999999999998</v>
      </c>
      <c r="E517" s="36" t="s">
        <v>56</v>
      </c>
      <c r="F517" s="10">
        <f>IF($E:$E="MATOOKE KGS", 1500, IF($E:$E="MINCED BEEF", 22000, IF($E:$E="DOG BONES", 4000, IF($E:$E="DOG MINCE", 5000,IF($E:$E="ZIP LOCKS",30000, IF($E:$E="BONELESS BEEF", 22000, IF($E:$E="SAUSAGES", 30000, IF($E:$E="MARINATED CHICKEN", 25000, IF($E:$E="MARINATED GOAT LEG", 28000, IF($E:$E="TOMATOES", 3000,  IF($E:$E="CHICKEN", 30000, IF($E:$E="LOCAL EGGS", 25000,  IF($E:$E="IRISH", 3000, IF($E:$E="MILK", 2000, IF($E:$E="ONIONS", 6000, IF($E:$E="YELLOW YOLK EGGS", 20000, IF($E:$E="AVOCADO", 1000, IF($E:$E="BEEF", 16000,IF($E:$E="BEEF FILLET", 30000, IF($E:$E="PLAIN YOGHURT", 4000, IF($E:$E="DOG MEAT", 4000, IF($E:$E="BEEF SAUSAGES", 30000,IF($E:$E="GOAT", 19000, "")))))))))))))))))))))))</f>
        <v>1500</v>
      </c>
      <c r="G517" s="16">
        <f t="shared" si="10"/>
        <v>3449.9999999999995</v>
      </c>
    </row>
    <row r="518" spans="1:7" x14ac:dyDescent="0.25">
      <c r="A518" s="33" t="s">
        <v>301</v>
      </c>
      <c r="B518" s="45" t="s">
        <v>335</v>
      </c>
      <c r="C518" s="12">
        <v>45</v>
      </c>
      <c r="D518" s="29">
        <v>1</v>
      </c>
      <c r="E518" s="35" t="s">
        <v>52</v>
      </c>
      <c r="F518" s="10">
        <v>21000</v>
      </c>
      <c r="G518" s="16">
        <f t="shared" si="10"/>
        <v>21000</v>
      </c>
    </row>
    <row r="519" spans="1:7" x14ac:dyDescent="0.25">
      <c r="A519" s="33" t="s">
        <v>301</v>
      </c>
      <c r="B519" s="45" t="s">
        <v>335</v>
      </c>
      <c r="C519" s="12">
        <v>46</v>
      </c>
      <c r="D519" s="29">
        <v>1</v>
      </c>
      <c r="E519" s="36" t="s">
        <v>36</v>
      </c>
      <c r="F519" s="10">
        <v>5000</v>
      </c>
      <c r="G519" s="16">
        <f t="shared" si="10"/>
        <v>5000</v>
      </c>
    </row>
    <row r="520" spans="1:7" x14ac:dyDescent="0.25">
      <c r="A520" s="33" t="s">
        <v>301</v>
      </c>
      <c r="B520" s="45" t="s">
        <v>335</v>
      </c>
      <c r="C520" s="12">
        <v>47</v>
      </c>
      <c r="D520" s="29">
        <v>1</v>
      </c>
      <c r="E520" s="36" t="s">
        <v>56</v>
      </c>
      <c r="F520" s="10">
        <f>IF($E:$E="MATOOKE KGS", 1500, IF($E:$E="MINCED BEEF", 22000, IF($E:$E="DOG BONES", 4000, IF($E:$E="DOG MINCE", 5000,IF($E:$E="ZIP LOCKS",30000, IF($E:$E="BONELESS BEEF", 22000, IF($E:$E="SAUSAGES", 30000, IF($E:$E="MARINATED CHICKEN", 25000, IF($E:$E="MARINATED GOAT LEG", 28000, IF($E:$E="TOMATOES", 3000,  IF($E:$E="CHICKEN", 30000, IF($E:$E="LOCAL EGGS", 25000,  IF($E:$E="IRISH", 3000, IF($E:$E="MILK", 2000, IF($E:$E="ONIONS", 6000, IF($E:$E="YELLOW YOLK EGGS", 20000, IF($E:$E="AVOCADO", 1000, IF($E:$E="BEEF", 16000,IF($E:$E="BEEF FILLET", 30000, IF($E:$E="PLAIN YOGHURT", 4000, IF($E:$E="DOG MEAT", 4000, IF($E:$E="BEEF SAUSAGES", 30000,IF($E:$E="GOAT", 19000, "")))))))))))))))))))))))</f>
        <v>1500</v>
      </c>
      <c r="G520" s="16">
        <f t="shared" si="10"/>
        <v>1500</v>
      </c>
    </row>
    <row r="521" spans="1:7" x14ac:dyDescent="0.25">
      <c r="A521" s="33" t="s">
        <v>301</v>
      </c>
      <c r="B521" s="45" t="s">
        <v>335</v>
      </c>
      <c r="C521" s="12">
        <v>48</v>
      </c>
      <c r="D521" s="29">
        <v>1</v>
      </c>
      <c r="E521" s="35" t="s">
        <v>75</v>
      </c>
      <c r="F521" s="10">
        <f>IF($E:$E="MATOOKE KGS", 1500, IF($E:$E="SAUSAGES", 30000, IF($E:$E="MARINATED CHICKEN", 25000, IF($E:$E="MARINATED GOAT LEG", 28000, IF($E:$E="TOMATOES", 3000,  IF($E:$E="CHICKEN", 30000, IF($E:$E="LOCAL EGGS", 25000,  IF($E:$E="IRISH", 3000, IF($E:$E="MILK", 2000, IF($E:$E="ONIONS", 6000, IF($E:$E="YELLOW YOLK EGGS", 20000, IF($E:$E="AVOCADO", 1000, IF($E:$E="BEEF", 16000, IF($E:$E="PLAIN YOGHURT", 4000, IF($E:$E="DOG MEAT", 4000, IF($E:$E="GOAT", 19000, ""))))))))))))))))</f>
        <v>20000</v>
      </c>
      <c r="G521" s="16">
        <f t="shared" si="10"/>
        <v>20000</v>
      </c>
    </row>
    <row r="522" spans="1:7" x14ac:dyDescent="0.25">
      <c r="A522" s="33" t="s">
        <v>301</v>
      </c>
      <c r="B522" s="45" t="s">
        <v>335</v>
      </c>
      <c r="C522" s="12">
        <v>49</v>
      </c>
      <c r="D522" s="29">
        <v>1</v>
      </c>
      <c r="E522" s="36" t="s">
        <v>64</v>
      </c>
      <c r="F522" s="10">
        <f>IF($E:$E="MATOOKE KGS", 1500, IF($E:$E="SAUSAGES", 30000, IF($E:$E="MARINATED CHICKEN", 25000, IF($E:$E="MARINATED GOAT LEG", 28000, IF($E:$E="TOMATOES", 3000,  IF($E:$E="CHICKEN", 30000, IF($E:$E="LOCAL EGGS", 25000,  IF($E:$E="IRISH", 3000, IF($E:$E="MILK", 2000, IF($E:$E="ONIONS", 6000, IF($E:$E="YELLOW YOLK EGGS", 20000, IF($E:$E="AVOCADO", 1000, IF($E:$E="BEEF", 16000,IF($E:$E="BEEF FILLET", 30000, IF($E:$E="PLAIN YOGHURT", 4000, IF($E:$E="DOG MEAT", 4000, IF($E:$E="GOAT", 19000, "")))))))))))))))))</f>
        <v>6000</v>
      </c>
      <c r="G522" s="16">
        <f t="shared" si="10"/>
        <v>6000</v>
      </c>
    </row>
    <row r="523" spans="1:7" x14ac:dyDescent="0.25">
      <c r="A523" s="33" t="s">
        <v>301</v>
      </c>
      <c r="B523" s="45" t="s">
        <v>335</v>
      </c>
      <c r="C523" s="12">
        <v>50</v>
      </c>
      <c r="D523" s="29">
        <v>1</v>
      </c>
      <c r="E523" s="35" t="s">
        <v>52</v>
      </c>
      <c r="F523" s="10">
        <v>21000</v>
      </c>
      <c r="G523" s="16">
        <f t="shared" si="10"/>
        <v>21000</v>
      </c>
    </row>
    <row r="524" spans="1:7" x14ac:dyDescent="0.25">
      <c r="A524" s="33" t="s">
        <v>302</v>
      </c>
      <c r="B524" s="45" t="s">
        <v>329</v>
      </c>
      <c r="C524" s="12">
        <v>51</v>
      </c>
      <c r="D524" s="29">
        <v>5</v>
      </c>
      <c r="E524" s="36" t="s">
        <v>59</v>
      </c>
      <c r="F524" s="10">
        <f>IF($E:$E="MATOOKE KGS", 1500, IF($E:$E="MINCED BEEF", 22000, IF($E:$E="DOG BONES", 4000, IF($E:$E="DOG MINCE", 5000,IF($E:$E="ZIP LOCKS",30000, IF($E:$E="BONELESS BEEF", 22000, IF($E:$E="SAUSAGES", 30000, IF($E:$E="MARINATED CHICKEN", 25000, IF($E:$E="MARINATED GOAT LEG", 28000, IF($E:$E="TOMATOES", 3000,  IF($E:$E="CHICKEN", 30000, IF($E:$E="LOCAL EGGS", 25000,  IF($E:$E="IRISH", 3000, IF($E:$E="MILK", 2000, IF($E:$E="ONIONS", 6000, IF($E:$E="YELLOW YOLK EGGS", 20000, IF($E:$E="AVOCADO", 1000, IF($E:$E="BEEF", 16000,IF($E:$E="BEEF FILLET", 30000, IF($E:$E="PLAIN YOGHURT", 4000, IF($E:$E="DOG MEAT", 4000, IF($E:$E="BEEF SAUSAGES", 30000,IF($E:$E="GOAT", 19000, "")))))))))))))))))))))))</f>
        <v>2000</v>
      </c>
      <c r="G524" s="16">
        <f t="shared" si="10"/>
        <v>10000</v>
      </c>
    </row>
    <row r="525" spans="1:7" x14ac:dyDescent="0.25">
      <c r="A525" s="33" t="s">
        <v>302</v>
      </c>
      <c r="B525" s="45" t="s">
        <v>329</v>
      </c>
      <c r="C525" s="12">
        <v>54</v>
      </c>
      <c r="D525" s="29">
        <v>2</v>
      </c>
      <c r="E525" s="35" t="s">
        <v>75</v>
      </c>
      <c r="F525" s="10">
        <f>IF($E:$E="MATOOKE KGS", 1500, IF($E:$E="SAUSAGES", 30000, IF($E:$E="MARINATED CHICKEN", 25000, IF($E:$E="MARINATED GOAT LEG", 28000, IF($E:$E="TOMATOES", 3000,  IF($E:$E="CHICKEN", 30000, IF($E:$E="LOCAL EGGS", 25000,  IF($E:$E="IRISH", 3000, IF($E:$E="MILK", 2000, IF($E:$E="ONIONS", 6000, IF($E:$E="YELLOW YOLK EGGS", 20000, IF($E:$E="AVOCADO", 1000, IF($E:$E="BEEF", 16000, IF($E:$E="PLAIN YOGHURT", 4000, IF($E:$E="DOG MEAT", 4000, IF($E:$E="GOAT", 19000, ""))))))))))))))))</f>
        <v>20000</v>
      </c>
      <c r="G525" s="16">
        <f t="shared" si="10"/>
        <v>40000</v>
      </c>
    </row>
    <row r="526" spans="1:7" x14ac:dyDescent="0.25">
      <c r="A526" s="33" t="s">
        <v>302</v>
      </c>
      <c r="B526" s="45" t="s">
        <v>329</v>
      </c>
      <c r="C526" s="7">
        <v>12</v>
      </c>
      <c r="D526" s="28">
        <v>1</v>
      </c>
      <c r="E526" s="35" t="s">
        <v>9</v>
      </c>
      <c r="F526" s="17">
        <f>IF($E:$E="MATOOKE KGS", 1500, IF($E:$E="MINCED BEEF", 22000, IF($E:$E="DOG BONES", 4000, IF($E:$E="DOG MINCE", 5000,IF($E:$E="ZIP LOCKS",30000, IF($E:$E="BONELESS BEEF", 22000, IF($E:$E="SAUSAGES", 30000, IF($E:$E="MARINATED CHICKEN", 25000, IF($E:$E="MARINATED GOAT LEG", 28000, IF($E:$E="TOMATOES", 3000,  IF($E:$E="CHICKEN", 30000, IF($E:$E="LOCAL EGGS", 25000,  IF($E:$E="IRISH", 3000, IF($E:$E="MILK", 2000, IF($E:$E="ONIONS", 6000, IF($E:$E="YELLOW YOLK EGGS", 20000, IF($E:$E="AVOCADO", 1000, IF($E:$E="BEEF", 16000,IF($E:$E="BEEF FILLET", 30000, IF($E:$E="PLAIN YOGHURT", 4000, IF($E:$E="DOG MEAT", 4000, IF($E:$E="BEEF SAUSAGES", 30000,IF($E:$E="GOAT", 19000, "")))))))))))))))))))))))</f>
        <v>16000</v>
      </c>
      <c r="G526" s="16">
        <f t="shared" si="10"/>
        <v>16000</v>
      </c>
    </row>
    <row r="527" spans="1:7" x14ac:dyDescent="0.25">
      <c r="A527" s="33" t="s">
        <v>302</v>
      </c>
      <c r="B527" s="45" t="s">
        <v>329</v>
      </c>
      <c r="C527" s="7">
        <v>11</v>
      </c>
      <c r="D527" s="28">
        <v>1</v>
      </c>
      <c r="E527" s="35" t="s">
        <v>14</v>
      </c>
      <c r="F527" s="4">
        <v>22000</v>
      </c>
      <c r="G527" s="16">
        <f t="shared" si="10"/>
        <v>22000</v>
      </c>
    </row>
    <row r="528" spans="1:7" x14ac:dyDescent="0.25">
      <c r="A528" s="33" t="s">
        <v>302</v>
      </c>
      <c r="B528" s="45" t="s">
        <v>329</v>
      </c>
      <c r="C528" s="7">
        <v>9</v>
      </c>
      <c r="D528" s="28">
        <v>1</v>
      </c>
      <c r="E528" s="35" t="s">
        <v>20</v>
      </c>
      <c r="F528" s="4">
        <v>30000</v>
      </c>
      <c r="G528" s="16">
        <f t="shared" si="10"/>
        <v>30000</v>
      </c>
    </row>
    <row r="529" spans="1:7" x14ac:dyDescent="0.25">
      <c r="A529" s="33" t="s">
        <v>302</v>
      </c>
      <c r="B529" s="45" t="s">
        <v>329</v>
      </c>
      <c r="C529" s="7">
        <v>10</v>
      </c>
      <c r="D529" s="28">
        <v>2</v>
      </c>
      <c r="E529" s="35" t="s">
        <v>32</v>
      </c>
      <c r="F529" s="4">
        <v>22000</v>
      </c>
      <c r="G529" s="16">
        <f t="shared" si="10"/>
        <v>44000</v>
      </c>
    </row>
    <row r="530" spans="1:7" x14ac:dyDescent="0.25">
      <c r="A530" s="33" t="s">
        <v>302</v>
      </c>
      <c r="B530" s="45" t="s">
        <v>329</v>
      </c>
      <c r="C530" s="7">
        <v>9</v>
      </c>
      <c r="D530" s="28">
        <v>1</v>
      </c>
      <c r="E530" s="35" t="s">
        <v>9</v>
      </c>
      <c r="F530" s="17">
        <f>IF($E:$E="MATOOKE KGS", 1500, IF($E:$E="MINCED BEEF", 22000, IF($E:$E="DOG BONES", 4000, IF($E:$E="DOG MINCE", 5000,IF($E:$E="ZIP LOCKS",30000, IF($E:$E="BONELESS BEEF", 22000, IF($E:$E="SAUSAGES", 30000, IF($E:$E="MARINATED CHICKEN", 25000, IF($E:$E="MARINATED GOAT LEG", 28000, IF($E:$E="TOMATOES", 3000,  IF($E:$E="CHICKEN", 30000, IF($E:$E="LOCAL EGGS", 25000,  IF($E:$E="IRISH", 3000, IF($E:$E="MILK", 2000, IF($E:$E="ONIONS", 6000, IF($E:$E="YELLOW YOLK EGGS", 20000, IF($E:$E="AVOCADO", 1000, IF($E:$E="BEEF", 16000,IF($E:$E="BEEF FILLET", 30000, IF($E:$E="PLAIN YOGHURT", 4000, IF($E:$E="DOG MEAT", 4000, IF($E:$E="BEEF SAUSAGES", 30000,IF($E:$E="GOAT", 19000, "")))))))))))))))))))))))</f>
        <v>16000</v>
      </c>
      <c r="G530" s="16">
        <f t="shared" si="10"/>
        <v>16000</v>
      </c>
    </row>
    <row r="531" spans="1:7" x14ac:dyDescent="0.25">
      <c r="A531" s="33" t="s">
        <v>302</v>
      </c>
      <c r="B531" s="45" t="s">
        <v>329</v>
      </c>
      <c r="C531" s="7">
        <v>45</v>
      </c>
      <c r="D531" s="28">
        <v>2</v>
      </c>
      <c r="E531" s="35" t="s">
        <v>9</v>
      </c>
      <c r="F531" s="17">
        <f>IF($E:$E="MATOOKE KGS", 1500, IF($E:$E="MINCED BEEF", 22000, IF($E:$E="DOG BONES", 4000, IF($E:$E="DOG MINCE", 5000,IF($E:$E="ZIP LOCKS",30000, IF($E:$E="BONELESS BEEF", 22000, IF($E:$E="SAUSAGES", 30000, IF($E:$E="MARINATED CHICKEN", 25000, IF($E:$E="MARINATED GOAT LEG", 28000, IF($E:$E="TOMATOES", 3000,  IF($E:$E="CHICKEN", 30000, IF($E:$E="LOCAL EGGS", 25000,  IF($E:$E="IRISH", 3000, IF($E:$E="MILK", 2000, IF($E:$E="ONIONS", 6000, IF($E:$E="YELLOW YOLK EGGS", 20000, IF($E:$E="AVOCADO", 1000, IF($E:$E="BEEF", 16000,IF($E:$E="BEEF FILLET", 30000, IF($E:$E="PLAIN YOGHURT", 4000, IF($E:$E="DOG MEAT", 4000, IF($E:$E="BEEF SAUSAGES", 30000,IF($E:$E="GOAT", 19000, "")))))))))))))))))))))))</f>
        <v>16000</v>
      </c>
      <c r="G531" s="16">
        <f t="shared" si="10"/>
        <v>32000</v>
      </c>
    </row>
    <row r="532" spans="1:7" x14ac:dyDescent="0.25">
      <c r="A532" s="33" t="s">
        <v>302</v>
      </c>
      <c r="B532" s="45" t="s">
        <v>329</v>
      </c>
      <c r="C532" s="7">
        <v>44</v>
      </c>
      <c r="D532" s="28">
        <v>1</v>
      </c>
      <c r="E532" s="35" t="s">
        <v>52</v>
      </c>
      <c r="F532" s="10">
        <v>10000</v>
      </c>
      <c r="G532" s="16">
        <f t="shared" si="10"/>
        <v>10000</v>
      </c>
    </row>
    <row r="533" spans="1:7" x14ac:dyDescent="0.25">
      <c r="A533" s="33" t="s">
        <v>302</v>
      </c>
      <c r="B533" s="45" t="s">
        <v>329</v>
      </c>
      <c r="C533" s="7">
        <v>53</v>
      </c>
      <c r="D533" s="28">
        <v>1</v>
      </c>
      <c r="E533" s="35" t="s">
        <v>52</v>
      </c>
      <c r="F533" s="10">
        <v>25000</v>
      </c>
      <c r="G533" s="16">
        <f t="shared" si="10"/>
        <v>25000</v>
      </c>
    </row>
    <row r="534" spans="1:7" x14ac:dyDescent="0.25">
      <c r="A534" s="33" t="s">
        <v>302</v>
      </c>
      <c r="B534" s="45" t="s">
        <v>329</v>
      </c>
      <c r="C534" s="7">
        <v>21</v>
      </c>
      <c r="D534" s="28">
        <v>2</v>
      </c>
      <c r="E534" s="35" t="s">
        <v>52</v>
      </c>
      <c r="F534" s="10">
        <v>20000</v>
      </c>
      <c r="G534" s="16">
        <f t="shared" si="10"/>
        <v>40000</v>
      </c>
    </row>
    <row r="535" spans="1:7" x14ac:dyDescent="0.25">
      <c r="A535" s="33" t="s">
        <v>302</v>
      </c>
      <c r="B535" s="45" t="s">
        <v>329</v>
      </c>
      <c r="C535" s="7">
        <v>8</v>
      </c>
      <c r="D535" s="28">
        <v>3</v>
      </c>
      <c r="E535" s="35" t="s">
        <v>56</v>
      </c>
      <c r="F535" s="10">
        <v>1500</v>
      </c>
      <c r="G535" s="16">
        <f t="shared" si="10"/>
        <v>4500</v>
      </c>
    </row>
    <row r="536" spans="1:7" x14ac:dyDescent="0.25">
      <c r="A536" s="33" t="s">
        <v>302</v>
      </c>
      <c r="B536" s="45" t="s">
        <v>329</v>
      </c>
      <c r="C536" s="7">
        <v>21</v>
      </c>
      <c r="D536" s="28">
        <v>3</v>
      </c>
      <c r="E536" s="35" t="s">
        <v>9</v>
      </c>
      <c r="F536" s="17">
        <f>IF($E:$E="MATOOKE KGS", 1500, IF($E:$E="MINCED BEEF", 22000, IF($E:$E="DOG BONES", 4000, IF($E:$E="DOG MINCE", 5000,IF($E:$E="ZIP LOCKS",30000, IF($E:$E="BONELESS BEEF", 22000, IF($E:$E="SAUSAGES", 30000, IF($E:$E="MARINATED CHICKEN", 25000, IF($E:$E="MARINATED GOAT LEG", 28000, IF($E:$E="TOMATOES", 3000,  IF($E:$E="CHICKEN", 30000, IF($E:$E="LOCAL EGGS", 25000,  IF($E:$E="IRISH", 3000, IF($E:$E="MILK", 2000, IF($E:$E="ONIONS", 6000, IF($E:$E="YELLOW YOLK EGGS", 20000, IF($E:$E="AVOCADO", 1000, IF($E:$E="BEEF", 16000,IF($E:$E="BEEF FILLET", 30000, IF($E:$E="PLAIN YOGHURT", 4000, IF($E:$E="DOG MEAT", 4000, IF($E:$E="BEEF SAUSAGES", 30000,IF($E:$E="GOAT", 19000, "")))))))))))))))))))))))</f>
        <v>16000</v>
      </c>
      <c r="G536" s="16">
        <f t="shared" si="10"/>
        <v>48000</v>
      </c>
    </row>
    <row r="537" spans="1:7" x14ac:dyDescent="0.25">
      <c r="A537" s="33" t="s">
        <v>302</v>
      </c>
      <c r="B537" s="45" t="s">
        <v>329</v>
      </c>
      <c r="C537" s="7">
        <v>16</v>
      </c>
      <c r="D537" s="28">
        <v>1</v>
      </c>
      <c r="E537" s="35" t="s">
        <v>52</v>
      </c>
      <c r="F537" s="10">
        <v>10000</v>
      </c>
      <c r="G537" s="16">
        <f t="shared" si="10"/>
        <v>10000</v>
      </c>
    </row>
    <row r="538" spans="1:7" x14ac:dyDescent="0.25">
      <c r="A538" s="33" t="s">
        <v>302</v>
      </c>
      <c r="B538" s="45" t="s">
        <v>329</v>
      </c>
      <c r="C538" s="7">
        <v>34</v>
      </c>
      <c r="D538" s="28">
        <v>1</v>
      </c>
      <c r="E538" s="35" t="s">
        <v>61</v>
      </c>
      <c r="F538" s="10">
        <v>20000</v>
      </c>
      <c r="G538" s="16">
        <f t="shared" si="10"/>
        <v>20000</v>
      </c>
    </row>
    <row r="539" spans="1:7" x14ac:dyDescent="0.25">
      <c r="A539" s="33" t="s">
        <v>302</v>
      </c>
      <c r="B539" s="45" t="s">
        <v>329</v>
      </c>
      <c r="C539" s="7">
        <v>32</v>
      </c>
      <c r="D539" s="28">
        <v>1</v>
      </c>
      <c r="E539" s="35" t="s">
        <v>75</v>
      </c>
      <c r="F539" s="10">
        <f>IF($E:$E="MATOOKE KGS", 1500, IF($E:$E="SAUSAGES", 30000, IF($E:$E="MARINATED CHICKEN", 25000, IF($E:$E="MARINATED GOAT LEG", 28000, IF($E:$E="TOMATOES", 3000,  IF($E:$E="CHICKEN", 30000, IF($E:$E="LOCAL EGGS", 25000,  IF($E:$E="IRISH", 3000, IF($E:$E="MILK", 2000, IF($E:$E="ONIONS", 6000, IF($E:$E="YELLOW YOLK EGGS", 20000, IF($E:$E="AVOCADO", 1000, IF($E:$E="BEEF", 16000, IF($E:$E="PLAIN YOGHURT", 4000, IF($E:$E="DOG MEAT", 4000, IF($E:$E="GOAT", 19000, ""))))))))))))))))</f>
        <v>20000</v>
      </c>
      <c r="G539" s="16">
        <f t="shared" si="10"/>
        <v>20000</v>
      </c>
    </row>
    <row r="540" spans="1:7" x14ac:dyDescent="0.25">
      <c r="A540" s="33" t="s">
        <v>302</v>
      </c>
      <c r="B540" s="45" t="s">
        <v>329</v>
      </c>
      <c r="C540" s="7">
        <v>41</v>
      </c>
      <c r="D540" s="28">
        <v>1</v>
      </c>
      <c r="E540" s="35" t="s">
        <v>9</v>
      </c>
      <c r="F540" s="17">
        <f>IF($E:$E="MATOOKE KGS", 1500, IF($E:$E="MINCED BEEF", 22000, IF($E:$E="DOG BONES", 4000, IF($E:$E="DOG MINCE", 5000,IF($E:$E="ZIP LOCKS",30000, IF($E:$E="BONELESS BEEF", 22000, IF($E:$E="SAUSAGES", 30000, IF($E:$E="MARINATED CHICKEN", 25000, IF($E:$E="MARINATED GOAT LEG", 28000, IF($E:$E="TOMATOES", 3000,  IF($E:$E="CHICKEN", 30000, IF($E:$E="LOCAL EGGS", 25000,  IF($E:$E="IRISH", 3000, IF($E:$E="MILK", 2000, IF($E:$E="ONIONS", 6000, IF($E:$E="YELLOW YOLK EGGS", 20000, IF($E:$E="AVOCADO", 1000, IF($E:$E="BEEF", 16000,IF($E:$E="BEEF FILLET", 30000, IF($E:$E="PLAIN YOGHURT", 4000, IF($E:$E="DOG MEAT", 4000, IF($E:$E="BEEF SAUSAGES", 30000,IF($E:$E="GOAT", 19000, "")))))))))))))))))))))))</f>
        <v>16000</v>
      </c>
      <c r="G540" s="16">
        <f t="shared" si="10"/>
        <v>16000</v>
      </c>
    </row>
    <row r="541" spans="1:7" x14ac:dyDescent="0.25">
      <c r="A541" s="33" t="s">
        <v>302</v>
      </c>
      <c r="B541" s="45" t="s">
        <v>329</v>
      </c>
      <c r="C541" s="7">
        <v>49</v>
      </c>
      <c r="D541" s="28">
        <v>1</v>
      </c>
      <c r="E541" s="35" t="s">
        <v>25</v>
      </c>
      <c r="F541" s="10">
        <v>5000</v>
      </c>
      <c r="G541" s="16">
        <f t="shared" si="10"/>
        <v>5000</v>
      </c>
    </row>
    <row r="542" spans="1:7" x14ac:dyDescent="0.25">
      <c r="A542" s="33" t="s">
        <v>302</v>
      </c>
      <c r="B542" s="45" t="s">
        <v>329</v>
      </c>
      <c r="C542" s="7">
        <v>42</v>
      </c>
      <c r="D542" s="28">
        <v>7</v>
      </c>
      <c r="E542" s="35" t="s">
        <v>47</v>
      </c>
      <c r="F542" s="17">
        <v>900</v>
      </c>
      <c r="G542" s="16">
        <f t="shared" si="10"/>
        <v>6300</v>
      </c>
    </row>
    <row r="543" spans="1:7" x14ac:dyDescent="0.25">
      <c r="A543" s="33" t="s">
        <v>302</v>
      </c>
      <c r="B543" s="45" t="s">
        <v>329</v>
      </c>
      <c r="C543" s="7">
        <v>46</v>
      </c>
      <c r="D543" s="28">
        <v>6.7</v>
      </c>
      <c r="E543" s="36" t="s">
        <v>56</v>
      </c>
      <c r="F543" s="12">
        <v>1500</v>
      </c>
      <c r="G543" s="16">
        <f t="shared" si="10"/>
        <v>10050</v>
      </c>
    </row>
    <row r="544" spans="1:7" x14ac:dyDescent="0.25">
      <c r="A544" s="33" t="s">
        <v>302</v>
      </c>
      <c r="B544" s="45" t="s">
        <v>329</v>
      </c>
      <c r="C544" s="7">
        <v>47</v>
      </c>
      <c r="D544" s="28">
        <v>1</v>
      </c>
      <c r="E544" s="35" t="s">
        <v>52</v>
      </c>
      <c r="F544" s="12">
        <v>18000</v>
      </c>
      <c r="G544" s="16">
        <f t="shared" si="10"/>
        <v>18000</v>
      </c>
    </row>
    <row r="545" spans="1:7" x14ac:dyDescent="0.25">
      <c r="A545" s="33" t="s">
        <v>302</v>
      </c>
      <c r="B545" s="45" t="s">
        <v>329</v>
      </c>
      <c r="C545" s="7">
        <v>48</v>
      </c>
      <c r="D545" s="28">
        <v>1.3</v>
      </c>
      <c r="E545" s="36" t="s">
        <v>56</v>
      </c>
      <c r="F545" s="12">
        <v>1500</v>
      </c>
      <c r="G545" s="16">
        <f t="shared" si="10"/>
        <v>1950</v>
      </c>
    </row>
    <row r="546" spans="1:7" x14ac:dyDescent="0.25">
      <c r="A546" s="33" t="s">
        <v>302</v>
      </c>
      <c r="B546" s="45" t="s">
        <v>329</v>
      </c>
      <c r="C546" s="7">
        <v>25</v>
      </c>
      <c r="D546" s="28">
        <v>1.6</v>
      </c>
      <c r="E546" s="36" t="s">
        <v>13</v>
      </c>
      <c r="F546" s="12">
        <v>18000</v>
      </c>
      <c r="G546" s="16">
        <f t="shared" si="10"/>
        <v>28800</v>
      </c>
    </row>
    <row r="547" spans="1:7" x14ac:dyDescent="0.25">
      <c r="A547" s="33" t="s">
        <v>302</v>
      </c>
      <c r="B547" s="45" t="s">
        <v>329</v>
      </c>
      <c r="C547" s="7">
        <v>23</v>
      </c>
      <c r="D547" s="28">
        <v>0.5</v>
      </c>
      <c r="E547" s="36" t="s">
        <v>40</v>
      </c>
      <c r="F547" s="10">
        <f>IF($E:$E="MATOOKE KGS", 1500, IF($E:$E="SAUSAGES", 30000, IF($E:$E="TOMATOES", 3000, IF($E:$E="CHICKEN", 30000, IF($E:$E="LOCAL EGGS", 25000, IF($E:$E="IRISH POTATOES", 3000, IF($E:$E="MILK", 2000, IF($E:$E="ONIONS", 6000, IF($E:$E="YELLOW YOLK EGGS", 20000, IF($E:$E="AVOCADO", 1000, IF($E:$E="BEEF", 16000, IF($E:$E="PLAIN YOGHURT", 4000, ""))))))))))))</f>
        <v>3000</v>
      </c>
      <c r="G547" s="16">
        <f t="shared" si="10"/>
        <v>1500</v>
      </c>
    </row>
    <row r="548" spans="1:7" x14ac:dyDescent="0.25">
      <c r="A548" s="33" t="s">
        <v>302</v>
      </c>
      <c r="B548" s="45" t="s">
        <v>329</v>
      </c>
      <c r="C548" s="7">
        <v>34</v>
      </c>
      <c r="D548" s="28">
        <v>1</v>
      </c>
      <c r="E548" s="35" t="s">
        <v>44</v>
      </c>
      <c r="F548" s="16">
        <v>25000</v>
      </c>
      <c r="G548" s="16">
        <f t="shared" si="10"/>
        <v>25000</v>
      </c>
    </row>
    <row r="549" spans="1:7" x14ac:dyDescent="0.25">
      <c r="A549" s="33" t="s">
        <v>302</v>
      </c>
      <c r="B549" s="45" t="s">
        <v>329</v>
      </c>
      <c r="C549" s="7">
        <v>37</v>
      </c>
      <c r="D549" s="28">
        <v>1</v>
      </c>
      <c r="E549" s="35" t="s">
        <v>44</v>
      </c>
      <c r="F549" s="16">
        <v>25000</v>
      </c>
      <c r="G549" s="16">
        <f t="shared" si="10"/>
        <v>25000</v>
      </c>
    </row>
    <row r="550" spans="1:7" x14ac:dyDescent="0.25">
      <c r="A550" s="33" t="s">
        <v>302</v>
      </c>
      <c r="B550" s="45" t="s">
        <v>329</v>
      </c>
      <c r="C550" s="7">
        <v>36</v>
      </c>
      <c r="D550" s="28">
        <v>1</v>
      </c>
      <c r="E550" s="35" t="s">
        <v>52</v>
      </c>
      <c r="F550" s="12">
        <v>8000</v>
      </c>
      <c r="G550" s="16">
        <f t="shared" si="10"/>
        <v>8000</v>
      </c>
    </row>
    <row r="551" spans="1:7" x14ac:dyDescent="0.25">
      <c r="A551" s="33" t="s">
        <v>302</v>
      </c>
      <c r="B551" s="45" t="s">
        <v>329</v>
      </c>
      <c r="C551" s="7">
        <v>39</v>
      </c>
      <c r="D551" s="28">
        <v>1</v>
      </c>
      <c r="E551" s="35" t="s">
        <v>52</v>
      </c>
      <c r="F551" s="12">
        <v>22500</v>
      </c>
      <c r="G551" s="16">
        <f t="shared" si="10"/>
        <v>22500</v>
      </c>
    </row>
    <row r="552" spans="1:7" x14ac:dyDescent="0.25">
      <c r="A552" s="33" t="s">
        <v>302</v>
      </c>
      <c r="B552" s="45" t="s">
        <v>329</v>
      </c>
      <c r="C552" s="7">
        <v>33</v>
      </c>
      <c r="D552" s="28">
        <v>1</v>
      </c>
      <c r="E552" s="35" t="s">
        <v>52</v>
      </c>
      <c r="F552" s="12">
        <v>23000</v>
      </c>
      <c r="G552" s="16">
        <f t="shared" si="10"/>
        <v>23000</v>
      </c>
    </row>
    <row r="553" spans="1:7" x14ac:dyDescent="0.25">
      <c r="A553" s="33" t="s">
        <v>302</v>
      </c>
      <c r="B553" s="45" t="s">
        <v>329</v>
      </c>
      <c r="C553" s="7">
        <v>35</v>
      </c>
      <c r="D553" s="28">
        <v>1</v>
      </c>
      <c r="E553" s="36" t="s">
        <v>59</v>
      </c>
      <c r="F553" s="10">
        <f>IF($E:$E="MATOOKE KGS", 1500, IF($E:$E="MINCED BEEF", 22000, IF($E:$E="DOG BONES", 4000, IF($E:$E="DOG MINCE", 5000,IF($E:$E="ZIP LOCKS",30000, IF($E:$E="BONELESS BEEF", 22000, IF($E:$E="SAUSAGES", 30000, IF($E:$E="MARINATED CHICKEN", 25000, IF($E:$E="MARINATED GOAT LEG", 28000, IF($E:$E="TOMATOES", 3000,  IF($E:$E="CHICKEN", 30000, IF($E:$E="LOCAL EGGS", 25000,  IF($E:$E="IRISH", 3000, IF($E:$E="MILK", 2000, IF($E:$E="ONIONS", 6000, IF($E:$E="YELLOW YOLK EGGS", 20000, IF($E:$E="AVOCADO", 1000, IF($E:$E="BEEF", 16000,IF($E:$E="BEEF FILLET", 30000, IF($E:$E="PLAIN YOGHURT", 4000, IF($E:$E="DOG MEAT", 4000, IF($E:$E="BEEF SAUSAGES", 30000,IF($E:$E="GOAT", 19000, "")))))))))))))))))))))))</f>
        <v>2000</v>
      </c>
      <c r="G553" s="16">
        <f t="shared" ref="G553:G570" si="11">(F553*D553)</f>
        <v>2000</v>
      </c>
    </row>
    <row r="554" spans="1:7" x14ac:dyDescent="0.25">
      <c r="A554" s="33" t="s">
        <v>302</v>
      </c>
      <c r="B554" s="45" t="s">
        <v>329</v>
      </c>
      <c r="C554" s="7">
        <v>38</v>
      </c>
      <c r="D554" s="28">
        <v>1</v>
      </c>
      <c r="E554" s="36" t="s">
        <v>64</v>
      </c>
      <c r="F554" s="10">
        <f>IF($E:$E="MATOOKE KGS", 1500, IF($E:$E="SAUSAGES", 30000, IF($E:$E="MARINATED CHICKEN", 25000, IF($E:$E="MARINATED GOAT LEG", 28000, IF($E:$E="TOMATOES", 3000,  IF($E:$E="CHICKEN", 30000, IF($E:$E="LOCAL EGGS", 25000,  IF($E:$E="IRISH", 3000, IF($E:$E="MILK", 2000, IF($E:$E="ONIONS", 6000, IF($E:$E="YELLOW YOLK EGGS", 20000, IF($E:$E="AVOCADO", 1000, IF($E:$E="BEEF", 16000,IF($E:$E="BEEF FILLET", 30000, IF($E:$E="PLAIN YOGHURT", 4000, IF($E:$E="DOG MEAT", 4000, IF($E:$E="GOAT", 19000, "")))))))))))))))))</f>
        <v>6000</v>
      </c>
      <c r="G554" s="16">
        <f t="shared" si="11"/>
        <v>6000</v>
      </c>
    </row>
    <row r="555" spans="1:7" x14ac:dyDescent="0.25">
      <c r="A555" s="33" t="s">
        <v>302</v>
      </c>
      <c r="B555" s="45" t="s">
        <v>329</v>
      </c>
      <c r="C555" s="7">
        <v>22</v>
      </c>
      <c r="D555" s="28">
        <v>0.6</v>
      </c>
      <c r="E555" s="36" t="s">
        <v>74</v>
      </c>
      <c r="F555" s="12">
        <v>3000</v>
      </c>
      <c r="G555" s="16">
        <f t="shared" si="11"/>
        <v>1800</v>
      </c>
    </row>
    <row r="556" spans="1:7" x14ac:dyDescent="0.25">
      <c r="A556" s="33" t="s">
        <v>302</v>
      </c>
      <c r="B556" s="45" t="s">
        <v>329</v>
      </c>
      <c r="C556" s="7">
        <v>24</v>
      </c>
      <c r="D556" s="28">
        <v>0.5</v>
      </c>
      <c r="E556" s="36" t="s">
        <v>74</v>
      </c>
      <c r="F556" s="12">
        <v>3000</v>
      </c>
      <c r="G556" s="16">
        <f t="shared" si="11"/>
        <v>1500</v>
      </c>
    </row>
    <row r="557" spans="1:7" x14ac:dyDescent="0.25">
      <c r="A557" s="33" t="s">
        <v>302</v>
      </c>
      <c r="B557" s="45" t="s">
        <v>329</v>
      </c>
      <c r="C557" s="7">
        <v>19</v>
      </c>
      <c r="D557" s="28">
        <v>1</v>
      </c>
      <c r="E557" s="35" t="s">
        <v>9</v>
      </c>
      <c r="F557" s="17">
        <f>IF($E:$E="MATOOKE KGS", 1500, IF($E:$E="MINCED BEEF", 22000, IF($E:$E="DOG BONES", 4000, IF($E:$E="DOG MINCE", 5000,IF($E:$E="ZIP LOCKS",30000, IF($E:$E="BONELESS BEEF", 22000, IF($E:$E="SAUSAGES", 30000, IF($E:$E="MARINATED CHICKEN", 25000, IF($E:$E="MARINATED GOAT LEG", 28000, IF($E:$E="TOMATOES", 3000,  IF($E:$E="CHICKEN", 30000, IF($E:$E="LOCAL EGGS", 25000,  IF($E:$E="IRISH", 3000, IF($E:$E="MILK", 2000, IF($E:$E="ONIONS", 6000, IF($E:$E="YELLOW YOLK EGGS", 20000, IF($E:$E="AVOCADO", 1000, IF($E:$E="BEEF", 16000,IF($E:$E="BEEF FILLET", 30000, IF($E:$E="PLAIN YOGHURT", 4000, IF($E:$E="DOG MEAT", 4000, IF($E:$E="BEEF SAUSAGES", 30000,IF($E:$E="GOAT", 19000, "")))))))))))))))))))))))</f>
        <v>16000</v>
      </c>
      <c r="G557" s="16">
        <f t="shared" si="11"/>
        <v>16000</v>
      </c>
    </row>
    <row r="558" spans="1:7" x14ac:dyDescent="0.25">
      <c r="A558" s="33" t="s">
        <v>302</v>
      </c>
      <c r="B558" s="45" t="s">
        <v>329</v>
      </c>
      <c r="C558" s="7">
        <v>32</v>
      </c>
      <c r="D558" s="28">
        <v>2</v>
      </c>
      <c r="E558" s="35" t="s">
        <v>9</v>
      </c>
      <c r="F558" s="17">
        <f>IF($E:$E="MATOOKE KGS", 1500, IF($E:$E="MINCED BEEF", 22000, IF($E:$E="DOG BONES", 4000, IF($E:$E="DOG MINCE", 5000,IF($E:$E="ZIP LOCKS",30000, IF($E:$E="BONELESS BEEF", 22000, IF($E:$E="SAUSAGES", 30000, IF($E:$E="MARINATED CHICKEN", 25000, IF($E:$E="MARINATED GOAT LEG", 28000, IF($E:$E="TOMATOES", 3000,  IF($E:$E="CHICKEN", 30000, IF($E:$E="LOCAL EGGS", 25000,  IF($E:$E="IRISH", 3000, IF($E:$E="MILK", 2000, IF($E:$E="ONIONS", 6000, IF($E:$E="YELLOW YOLK EGGS", 20000, IF($E:$E="AVOCADO", 1000, IF($E:$E="BEEF", 16000,IF($E:$E="BEEF FILLET", 30000, IF($E:$E="PLAIN YOGHURT", 4000, IF($E:$E="DOG MEAT", 4000, IF($E:$E="BEEF SAUSAGES", 30000,IF($E:$E="GOAT", 19000, "")))))))))))))))))))))))</f>
        <v>16000</v>
      </c>
      <c r="G558" s="16">
        <f t="shared" si="11"/>
        <v>32000</v>
      </c>
    </row>
    <row r="559" spans="1:7" x14ac:dyDescent="0.25">
      <c r="A559" s="33" t="s">
        <v>302</v>
      </c>
      <c r="B559" s="45" t="s">
        <v>329</v>
      </c>
      <c r="C559" s="7">
        <v>33</v>
      </c>
      <c r="D559" s="28">
        <v>1</v>
      </c>
      <c r="E559" s="36" t="s">
        <v>14</v>
      </c>
      <c r="F559" s="12">
        <v>22000</v>
      </c>
      <c r="G559" s="16">
        <f t="shared" si="11"/>
        <v>22000</v>
      </c>
    </row>
    <row r="560" spans="1:7" x14ac:dyDescent="0.25">
      <c r="A560" s="33" t="s">
        <v>302</v>
      </c>
      <c r="B560" s="45" t="s">
        <v>329</v>
      </c>
      <c r="C560" s="7">
        <v>46</v>
      </c>
      <c r="D560" s="28">
        <v>1</v>
      </c>
      <c r="E560" s="36" t="s">
        <v>14</v>
      </c>
      <c r="F560" s="12">
        <v>22000</v>
      </c>
      <c r="G560" s="16">
        <f t="shared" si="11"/>
        <v>22000</v>
      </c>
    </row>
    <row r="561" spans="1:7" x14ac:dyDescent="0.25">
      <c r="A561" s="33" t="s">
        <v>302</v>
      </c>
      <c r="B561" s="45" t="s">
        <v>329</v>
      </c>
      <c r="C561" s="7">
        <v>47</v>
      </c>
      <c r="D561" s="28">
        <v>1</v>
      </c>
      <c r="E561" s="36" t="s">
        <v>20</v>
      </c>
      <c r="F561" s="12">
        <v>30000</v>
      </c>
      <c r="G561" s="16">
        <f t="shared" si="11"/>
        <v>30000</v>
      </c>
    </row>
    <row r="562" spans="1:7" x14ac:dyDescent="0.25">
      <c r="A562" s="33" t="s">
        <v>302</v>
      </c>
      <c r="B562" s="45" t="s">
        <v>329</v>
      </c>
      <c r="C562" s="7">
        <v>30</v>
      </c>
      <c r="D562" s="28">
        <v>1</v>
      </c>
      <c r="E562" s="35" t="s">
        <v>29</v>
      </c>
      <c r="F562" s="12">
        <v>20000</v>
      </c>
      <c r="G562" s="16">
        <f t="shared" si="11"/>
        <v>20000</v>
      </c>
    </row>
    <row r="563" spans="1:7" x14ac:dyDescent="0.25">
      <c r="A563" s="33" t="s">
        <v>302</v>
      </c>
      <c r="B563" s="45" t="s">
        <v>329</v>
      </c>
      <c r="C563" s="7">
        <v>45</v>
      </c>
      <c r="D563" s="28">
        <v>1</v>
      </c>
      <c r="E563" s="35" t="s">
        <v>44</v>
      </c>
      <c r="F563" s="16">
        <v>25000</v>
      </c>
      <c r="G563" s="16">
        <f t="shared" si="11"/>
        <v>25000</v>
      </c>
    </row>
    <row r="564" spans="1:7" x14ac:dyDescent="0.25">
      <c r="A564" s="33" t="s">
        <v>302</v>
      </c>
      <c r="B564" s="45" t="s">
        <v>329</v>
      </c>
      <c r="C564" s="7">
        <v>18</v>
      </c>
      <c r="D564" s="28">
        <v>1</v>
      </c>
      <c r="E564" s="35" t="s">
        <v>52</v>
      </c>
      <c r="F564" s="12">
        <v>24500</v>
      </c>
      <c r="G564" s="16">
        <f t="shared" si="11"/>
        <v>24500</v>
      </c>
    </row>
    <row r="565" spans="1:7" x14ac:dyDescent="0.25">
      <c r="A565" s="33" t="s">
        <v>302</v>
      </c>
      <c r="B565" s="45" t="s">
        <v>329</v>
      </c>
      <c r="C565" s="7">
        <v>26</v>
      </c>
      <c r="D565" s="28">
        <v>2</v>
      </c>
      <c r="E565" s="36" t="s">
        <v>58</v>
      </c>
      <c r="F565" s="12">
        <v>30000</v>
      </c>
      <c r="G565" s="16">
        <f t="shared" si="11"/>
        <v>60000</v>
      </c>
    </row>
    <row r="566" spans="1:7" x14ac:dyDescent="0.25">
      <c r="A566" s="33" t="s">
        <v>302</v>
      </c>
      <c r="B566" s="45" t="s">
        <v>329</v>
      </c>
      <c r="C566" s="12">
        <v>33</v>
      </c>
      <c r="D566" s="29">
        <v>1</v>
      </c>
      <c r="E566" s="35" t="s">
        <v>52</v>
      </c>
      <c r="F566" s="10">
        <v>11000</v>
      </c>
      <c r="G566" s="16">
        <f t="shared" si="11"/>
        <v>11000</v>
      </c>
    </row>
    <row r="567" spans="1:7" x14ac:dyDescent="0.25">
      <c r="A567" s="33" t="s">
        <v>302</v>
      </c>
      <c r="B567" s="45" t="s">
        <v>329</v>
      </c>
      <c r="C567" s="12">
        <v>34</v>
      </c>
      <c r="D567" s="29">
        <v>2</v>
      </c>
      <c r="E567" s="35" t="s">
        <v>52</v>
      </c>
      <c r="F567" s="10">
        <v>11000</v>
      </c>
      <c r="G567" s="16">
        <f t="shared" si="11"/>
        <v>22000</v>
      </c>
    </row>
    <row r="568" spans="1:7" x14ac:dyDescent="0.25">
      <c r="A568" s="33" t="s">
        <v>302</v>
      </c>
      <c r="B568" s="45" t="s">
        <v>329</v>
      </c>
      <c r="C568" s="12">
        <v>35</v>
      </c>
      <c r="D568" s="29">
        <v>1</v>
      </c>
      <c r="E568" s="36" t="s">
        <v>25</v>
      </c>
      <c r="F568" s="10">
        <f>IF($E:$E="MATOOKE KGS", 1500, IF($E:$E="MINCED BEEF", 22000, IF($E:$E="DOG BONES", 4000, IF($E:$E="DOG MINCE", 5000,IF($E:$E="ZIP LOCKS",30000, IF($E:$E="BONELESS BEEF", 22000, IF($E:$E="SAUSAGES", 30000, IF($E:$E="MARINATED CHICKEN", 25000, IF($E:$E="MARINATED GOAT LEG", 28000, IF($E:$E="TOMATOES", 3000,  IF($E:$E="CHICKEN", 30000, IF($E:$E="LOCAL EGGS", 25000,  IF($E:$E="IRISH", 3000, IF($E:$E="MILK", 2000, IF($E:$E="ONIONS", 6000, IF($E:$E="YELLOW YOLK EGGS", 20000, IF($E:$E="AVOCADO", 1000, IF($E:$E="BEEF", 16000,IF($E:$E="BEEF FILLET", 30000, IF($E:$E="PLAIN YOGHURT", 4000, IF($E:$E="DOG MEAT", 4000, IF($E:$E="BEEF SAUSAGES", 30000,IF($E:$E="GOAT", 19000, "")))))))))))))))))))))))</f>
        <v>5000</v>
      </c>
      <c r="G568" s="16">
        <f t="shared" si="11"/>
        <v>5000</v>
      </c>
    </row>
    <row r="569" spans="1:7" x14ac:dyDescent="0.25">
      <c r="A569" s="33" t="s">
        <v>302</v>
      </c>
      <c r="B569" s="45" t="s">
        <v>329</v>
      </c>
      <c r="C569" s="12">
        <v>52</v>
      </c>
      <c r="D569" s="29">
        <v>1</v>
      </c>
      <c r="E569" s="35" t="s">
        <v>52</v>
      </c>
      <c r="F569" s="10">
        <v>14000</v>
      </c>
      <c r="G569" s="16">
        <f t="shared" si="11"/>
        <v>14000</v>
      </c>
    </row>
    <row r="570" spans="1:7" x14ac:dyDescent="0.25">
      <c r="A570" s="33" t="s">
        <v>302</v>
      </c>
      <c r="B570" s="45" t="s">
        <v>329</v>
      </c>
      <c r="C570" s="12">
        <v>53</v>
      </c>
      <c r="D570" s="29">
        <v>1</v>
      </c>
      <c r="E570" s="35" t="s">
        <v>9</v>
      </c>
      <c r="F570" s="17">
        <f>IF($E:$E="MATOOKE KGS", 1500, IF($E:$E="MINCED BEEF", 22000, IF($E:$E="DOG BONES", 4000, IF($E:$E="DOG MINCE", 5000,IF($E:$E="ZIP LOCKS",30000, IF($E:$E="BONELESS BEEF", 22000, IF($E:$E="SAUSAGES", 30000, IF($E:$E="MARINATED CHICKEN", 25000, IF($E:$E="MARINATED GOAT LEG", 28000, IF($E:$E="TOMATOES", 3000,  IF($E:$E="CHICKEN", 30000, IF($E:$E="LOCAL EGGS", 25000,  IF($E:$E="IRISH", 3000, IF($E:$E="MILK", 2000, IF($E:$E="ONIONS", 6000, IF($E:$E="YELLOW YOLK EGGS", 20000, IF($E:$E="AVOCADO", 1000, IF($E:$E="BEEF", 16000,IF($E:$E="BEEF FILLET", 30000, IF($E:$E="PLAIN YOGHURT", 4000, IF($E:$E="DOG MEAT", 4000, IF($E:$E="BEEF SAUSAGES", 30000,IF($E:$E="GOAT", 19000, "")))))))))))))))))))))))</f>
        <v>16000</v>
      </c>
      <c r="G570" s="16">
        <f t="shared" si="11"/>
        <v>16000</v>
      </c>
    </row>
    <row r="571" spans="1:7" x14ac:dyDescent="0.25">
      <c r="B571" s="46"/>
      <c r="D571" s="29"/>
    </row>
    <row r="572" spans="1:7" x14ac:dyDescent="0.25">
      <c r="B572" s="46"/>
      <c r="D572" s="29"/>
    </row>
    <row r="573" spans="1:7" x14ac:dyDescent="0.25">
      <c r="B573" s="46"/>
      <c r="D573" s="29"/>
    </row>
    <row r="574" spans="1:7" x14ac:dyDescent="0.25">
      <c r="B574" s="46"/>
      <c r="D574" s="29"/>
    </row>
    <row r="575" spans="1:7" x14ac:dyDescent="0.25">
      <c r="B575" s="46"/>
      <c r="D575" s="29"/>
    </row>
    <row r="576" spans="1:7" x14ac:dyDescent="0.25">
      <c r="B576" s="46"/>
      <c r="D576" s="29"/>
    </row>
    <row r="577" spans="2:4" x14ac:dyDescent="0.25">
      <c r="B577" s="46"/>
      <c r="D577" s="29"/>
    </row>
    <row r="578" spans="2:4" x14ac:dyDescent="0.25">
      <c r="B578" s="46"/>
      <c r="D578" s="29"/>
    </row>
    <row r="579" spans="2:4" x14ac:dyDescent="0.25">
      <c r="B579" s="46"/>
      <c r="D579" s="29"/>
    </row>
    <row r="580" spans="2:4" x14ac:dyDescent="0.25">
      <c r="B580" s="46"/>
      <c r="D580" s="29"/>
    </row>
    <row r="581" spans="2:4" x14ac:dyDescent="0.25">
      <c r="B581" s="46"/>
      <c r="D581" s="29"/>
    </row>
    <row r="582" spans="2:4" x14ac:dyDescent="0.25">
      <c r="B582" s="46"/>
      <c r="D582" s="29"/>
    </row>
    <row r="583" spans="2:4" x14ac:dyDescent="0.25">
      <c r="B583" s="46"/>
      <c r="D583" s="29"/>
    </row>
    <row r="584" spans="2:4" x14ac:dyDescent="0.25">
      <c r="B584" s="46"/>
      <c r="D584" s="29"/>
    </row>
    <row r="585" spans="2:4" x14ac:dyDescent="0.25">
      <c r="B585" s="46"/>
      <c r="D585" s="29"/>
    </row>
    <row r="586" spans="2:4" x14ac:dyDescent="0.25">
      <c r="B586" s="46"/>
      <c r="D586" s="29"/>
    </row>
    <row r="587" spans="2:4" x14ac:dyDescent="0.25">
      <c r="B587" s="46"/>
      <c r="D587" s="29"/>
    </row>
    <row r="588" spans="2:4" x14ac:dyDescent="0.25">
      <c r="B588" s="46"/>
      <c r="D588" s="29"/>
    </row>
    <row r="589" spans="2:4" x14ac:dyDescent="0.25">
      <c r="B589" s="46"/>
      <c r="D589" s="29"/>
    </row>
    <row r="590" spans="2:4" x14ac:dyDescent="0.25">
      <c r="B590" s="46"/>
      <c r="D590" s="29"/>
    </row>
    <row r="591" spans="2:4" x14ac:dyDescent="0.25">
      <c r="B591" s="46"/>
      <c r="D591" s="29"/>
    </row>
    <row r="592" spans="2:4" x14ac:dyDescent="0.25">
      <c r="B592" s="46"/>
      <c r="D592" s="29"/>
    </row>
    <row r="593" spans="2:4" x14ac:dyDescent="0.25">
      <c r="B593" s="46"/>
      <c r="D593" s="29"/>
    </row>
    <row r="594" spans="2:4" x14ac:dyDescent="0.25">
      <c r="B594" s="46"/>
      <c r="D594" s="29"/>
    </row>
    <row r="595" spans="2:4" x14ac:dyDescent="0.25">
      <c r="B595" s="46"/>
      <c r="D595" s="29"/>
    </row>
    <row r="596" spans="2:4" x14ac:dyDescent="0.25">
      <c r="B596" s="46"/>
      <c r="D596" s="29"/>
    </row>
    <row r="597" spans="2:4" x14ac:dyDescent="0.25">
      <c r="B597" s="46"/>
      <c r="D597" s="29"/>
    </row>
    <row r="598" spans="2:4" x14ac:dyDescent="0.25">
      <c r="B598" s="46"/>
      <c r="D598" s="29"/>
    </row>
    <row r="599" spans="2:4" x14ac:dyDescent="0.25">
      <c r="B599" s="46"/>
      <c r="D599" s="29"/>
    </row>
    <row r="600" spans="2:4" x14ac:dyDescent="0.25">
      <c r="B600" s="46"/>
      <c r="D600" s="29"/>
    </row>
    <row r="601" spans="2:4" x14ac:dyDescent="0.25">
      <c r="B601" s="46"/>
      <c r="D601" s="29"/>
    </row>
    <row r="602" spans="2:4" x14ac:dyDescent="0.25">
      <c r="B602" s="46"/>
      <c r="D602" s="29"/>
    </row>
    <row r="603" spans="2:4" x14ac:dyDescent="0.25">
      <c r="B603" s="46"/>
      <c r="D603" s="29"/>
    </row>
    <row r="604" spans="2:4" x14ac:dyDescent="0.25">
      <c r="B604" s="46"/>
      <c r="D604" s="29"/>
    </row>
    <row r="605" spans="2:4" x14ac:dyDescent="0.25">
      <c r="B605" s="46"/>
      <c r="D605" s="29"/>
    </row>
    <row r="606" spans="2:4" x14ac:dyDescent="0.25">
      <c r="B606" s="46"/>
      <c r="D606" s="29"/>
    </row>
    <row r="607" spans="2:4" x14ac:dyDescent="0.25">
      <c r="B607" s="46"/>
      <c r="D607" s="29"/>
    </row>
    <row r="608" spans="2:4" x14ac:dyDescent="0.25">
      <c r="B608" s="46"/>
      <c r="D608" s="29"/>
    </row>
    <row r="609" spans="2:4" x14ac:dyDescent="0.25">
      <c r="B609" s="46"/>
      <c r="D609" s="29"/>
    </row>
    <row r="610" spans="2:4" x14ac:dyDescent="0.25">
      <c r="B610" s="46"/>
      <c r="D610" s="29"/>
    </row>
    <row r="611" spans="2:4" x14ac:dyDescent="0.25">
      <c r="B611" s="46"/>
      <c r="D611" s="29"/>
    </row>
    <row r="612" spans="2:4" x14ac:dyDescent="0.25">
      <c r="D612" s="29"/>
    </row>
    <row r="613" spans="2:4" x14ac:dyDescent="0.25">
      <c r="D613" s="29"/>
    </row>
    <row r="614" spans="2:4" x14ac:dyDescent="0.25">
      <c r="D614" s="29"/>
    </row>
    <row r="615" spans="2:4" x14ac:dyDescent="0.25">
      <c r="D615" s="29"/>
    </row>
    <row r="616" spans="2:4" x14ac:dyDescent="0.25">
      <c r="D616" s="29"/>
    </row>
    <row r="617" spans="2:4" x14ac:dyDescent="0.25">
      <c r="D617" s="29"/>
    </row>
    <row r="618" spans="2:4" x14ac:dyDescent="0.25">
      <c r="D618" s="29"/>
    </row>
    <row r="619" spans="2:4" x14ac:dyDescent="0.25">
      <c r="D619" s="29"/>
    </row>
    <row r="620" spans="2:4" x14ac:dyDescent="0.25">
      <c r="D620" s="29"/>
    </row>
    <row r="621" spans="2:4" x14ac:dyDescent="0.25">
      <c r="D621" s="29"/>
    </row>
    <row r="622" spans="2:4" x14ac:dyDescent="0.25">
      <c r="D622" s="29"/>
    </row>
    <row r="623" spans="2:4" x14ac:dyDescent="0.25">
      <c r="D623" s="29"/>
    </row>
    <row r="624" spans="2:4" x14ac:dyDescent="0.25">
      <c r="D624" s="29"/>
    </row>
    <row r="625" spans="4:4" x14ac:dyDescent="0.25">
      <c r="D625" s="29"/>
    </row>
    <row r="626" spans="4:4" x14ac:dyDescent="0.25">
      <c r="D626" s="29"/>
    </row>
    <row r="627" spans="4:4" x14ac:dyDescent="0.25">
      <c r="D627" s="29"/>
    </row>
    <row r="628" spans="4:4" x14ac:dyDescent="0.25">
      <c r="D628" s="29"/>
    </row>
    <row r="629" spans="4:4" x14ac:dyDescent="0.25">
      <c r="D629" s="29"/>
    </row>
    <row r="630" spans="4:4" x14ac:dyDescent="0.25">
      <c r="D630" s="29"/>
    </row>
    <row r="631" spans="4:4" x14ac:dyDescent="0.25">
      <c r="D631" s="29"/>
    </row>
    <row r="632" spans="4:4" x14ac:dyDescent="0.25">
      <c r="D632" s="29"/>
    </row>
    <row r="633" spans="4:4" x14ac:dyDescent="0.25">
      <c r="D633" s="29"/>
    </row>
    <row r="634" spans="4:4" x14ac:dyDescent="0.25">
      <c r="D634" s="29"/>
    </row>
    <row r="635" spans="4:4" x14ac:dyDescent="0.25">
      <c r="D635" s="29"/>
    </row>
    <row r="636" spans="4:4" x14ac:dyDescent="0.25">
      <c r="D636" s="29"/>
    </row>
    <row r="637" spans="4:4" x14ac:dyDescent="0.25">
      <c r="D637" s="29"/>
    </row>
    <row r="638" spans="4:4" x14ac:dyDescent="0.25">
      <c r="D638" s="29"/>
    </row>
    <row r="639" spans="4:4" x14ac:dyDescent="0.25">
      <c r="D639" s="29"/>
    </row>
    <row r="640" spans="4:4" x14ac:dyDescent="0.25">
      <c r="D640" s="29"/>
    </row>
    <row r="641" spans="4:4" x14ac:dyDescent="0.25">
      <c r="D641" s="29"/>
    </row>
    <row r="642" spans="4:4" x14ac:dyDescent="0.25">
      <c r="D642" s="29"/>
    </row>
    <row r="643" spans="4:4" x14ac:dyDescent="0.25">
      <c r="D643" s="29"/>
    </row>
    <row r="644" spans="4:4" x14ac:dyDescent="0.25">
      <c r="D644" s="29"/>
    </row>
    <row r="645" spans="4:4" x14ac:dyDescent="0.25">
      <c r="D645" s="29"/>
    </row>
    <row r="646" spans="4:4" x14ac:dyDescent="0.25">
      <c r="D646" s="29"/>
    </row>
    <row r="647" spans="4:4" x14ac:dyDescent="0.25">
      <c r="D647" s="29"/>
    </row>
    <row r="648" spans="4:4" x14ac:dyDescent="0.25">
      <c r="D648" s="29"/>
    </row>
    <row r="649" spans="4:4" x14ac:dyDescent="0.25">
      <c r="D649" s="29"/>
    </row>
    <row r="650" spans="4:4" x14ac:dyDescent="0.25">
      <c r="D650" s="29"/>
    </row>
    <row r="651" spans="4:4" x14ac:dyDescent="0.25">
      <c r="D651" s="29"/>
    </row>
    <row r="652" spans="4:4" x14ac:dyDescent="0.25">
      <c r="D652" s="29"/>
    </row>
    <row r="653" spans="4:4" x14ac:dyDescent="0.25">
      <c r="D653" s="29"/>
    </row>
    <row r="654" spans="4:4" x14ac:dyDescent="0.25">
      <c r="D654" s="29"/>
    </row>
    <row r="655" spans="4:4" x14ac:dyDescent="0.25">
      <c r="D655" s="29"/>
    </row>
    <row r="656" spans="4:4" x14ac:dyDescent="0.25">
      <c r="D656" s="29"/>
    </row>
    <row r="657" spans="4:4" x14ac:dyDescent="0.25">
      <c r="D657" s="29"/>
    </row>
    <row r="658" spans="4:4" x14ac:dyDescent="0.25">
      <c r="D658" s="29"/>
    </row>
    <row r="659" spans="4:4" x14ac:dyDescent="0.25">
      <c r="D659" s="29"/>
    </row>
    <row r="660" spans="4:4" x14ac:dyDescent="0.25">
      <c r="D660" s="29"/>
    </row>
    <row r="661" spans="4:4" x14ac:dyDescent="0.25">
      <c r="D661" s="29"/>
    </row>
    <row r="662" spans="4:4" x14ac:dyDescent="0.25">
      <c r="D662" s="29"/>
    </row>
    <row r="663" spans="4:4" x14ac:dyDescent="0.25">
      <c r="D663" s="29"/>
    </row>
    <row r="664" spans="4:4" x14ac:dyDescent="0.25">
      <c r="D664" s="29"/>
    </row>
    <row r="665" spans="4:4" x14ac:dyDescent="0.25">
      <c r="D665" s="29"/>
    </row>
    <row r="666" spans="4:4" x14ac:dyDescent="0.25">
      <c r="D666" s="29"/>
    </row>
    <row r="667" spans="4:4" x14ac:dyDescent="0.25">
      <c r="D667" s="29"/>
    </row>
    <row r="668" spans="4:4" x14ac:dyDescent="0.25">
      <c r="D668" s="29"/>
    </row>
    <row r="669" spans="4:4" x14ac:dyDescent="0.25">
      <c r="D669" s="29"/>
    </row>
    <row r="670" spans="4:4" x14ac:dyDescent="0.25">
      <c r="D670" s="29"/>
    </row>
    <row r="671" spans="4:4" x14ac:dyDescent="0.25">
      <c r="D671" s="29"/>
    </row>
    <row r="672" spans="4:4" x14ac:dyDescent="0.25">
      <c r="D672" s="29"/>
    </row>
    <row r="673" spans="4:4" x14ac:dyDescent="0.25">
      <c r="D673" s="29"/>
    </row>
    <row r="674" spans="4:4" x14ac:dyDescent="0.25">
      <c r="D674" s="29"/>
    </row>
    <row r="675" spans="4:4" x14ac:dyDescent="0.25">
      <c r="D675" s="29"/>
    </row>
    <row r="676" spans="4:4" x14ac:dyDescent="0.25">
      <c r="D676" s="29"/>
    </row>
    <row r="677" spans="4:4" x14ac:dyDescent="0.25">
      <c r="D677" s="29"/>
    </row>
    <row r="678" spans="4:4" x14ac:dyDescent="0.25">
      <c r="D678" s="29"/>
    </row>
    <row r="679" spans="4:4" x14ac:dyDescent="0.25">
      <c r="D679" s="29"/>
    </row>
    <row r="680" spans="4:4" x14ac:dyDescent="0.25">
      <c r="D680" s="29"/>
    </row>
    <row r="681" spans="4:4" x14ac:dyDescent="0.25">
      <c r="D681" s="29"/>
    </row>
    <row r="682" spans="4:4" x14ac:dyDescent="0.25">
      <c r="D682" s="29"/>
    </row>
    <row r="683" spans="4:4" x14ac:dyDescent="0.25">
      <c r="D683" s="29"/>
    </row>
    <row r="684" spans="4:4" x14ac:dyDescent="0.25">
      <c r="D684" s="29"/>
    </row>
    <row r="685" spans="4:4" x14ac:dyDescent="0.25">
      <c r="D685" s="29"/>
    </row>
    <row r="686" spans="4:4" x14ac:dyDescent="0.25">
      <c r="D686" s="29"/>
    </row>
    <row r="687" spans="4:4" x14ac:dyDescent="0.25">
      <c r="D687" s="29"/>
    </row>
    <row r="688" spans="4:4" x14ac:dyDescent="0.25">
      <c r="D688" s="29"/>
    </row>
    <row r="689" spans="4:4" x14ac:dyDescent="0.25">
      <c r="D689" s="29"/>
    </row>
    <row r="690" spans="4:4" x14ac:dyDescent="0.25">
      <c r="D690" s="29"/>
    </row>
    <row r="691" spans="4:4" x14ac:dyDescent="0.25">
      <c r="D691" s="29"/>
    </row>
    <row r="692" spans="4:4" x14ac:dyDescent="0.25">
      <c r="D692" s="29"/>
    </row>
    <row r="693" spans="4:4" x14ac:dyDescent="0.25">
      <c r="D693" s="29"/>
    </row>
    <row r="694" spans="4:4" x14ac:dyDescent="0.25">
      <c r="D694" s="29"/>
    </row>
    <row r="695" spans="4:4" x14ac:dyDescent="0.25">
      <c r="D695" s="29"/>
    </row>
    <row r="696" spans="4:4" x14ac:dyDescent="0.25">
      <c r="D696" s="29"/>
    </row>
    <row r="697" spans="4:4" x14ac:dyDescent="0.25">
      <c r="D697" s="29"/>
    </row>
    <row r="698" spans="4:4" x14ac:dyDescent="0.25">
      <c r="D698" s="29"/>
    </row>
    <row r="699" spans="4:4" x14ac:dyDescent="0.25">
      <c r="D699" s="29"/>
    </row>
    <row r="700" spans="4:4" x14ac:dyDescent="0.25">
      <c r="D700" s="29"/>
    </row>
    <row r="701" spans="4:4" x14ac:dyDescent="0.25">
      <c r="D701" s="29"/>
    </row>
    <row r="702" spans="4:4" x14ac:dyDescent="0.25">
      <c r="D702" s="29"/>
    </row>
    <row r="703" spans="4:4" x14ac:dyDescent="0.25">
      <c r="D703" s="29"/>
    </row>
    <row r="704" spans="4:4" x14ac:dyDescent="0.25">
      <c r="D704" s="29"/>
    </row>
    <row r="705" spans="4:4" x14ac:dyDescent="0.25">
      <c r="D705" s="29"/>
    </row>
    <row r="706" spans="4:4" x14ac:dyDescent="0.25">
      <c r="D706" s="29"/>
    </row>
    <row r="707" spans="4:4" x14ac:dyDescent="0.25">
      <c r="D707" s="29"/>
    </row>
    <row r="708" spans="4:4" x14ac:dyDescent="0.25">
      <c r="D708" s="29"/>
    </row>
    <row r="709" spans="4:4" x14ac:dyDescent="0.25">
      <c r="D709" s="29"/>
    </row>
    <row r="710" spans="4:4" x14ac:dyDescent="0.25">
      <c r="D710" s="29"/>
    </row>
    <row r="711" spans="4:4" x14ac:dyDescent="0.25">
      <c r="D711" s="29"/>
    </row>
    <row r="712" spans="4:4" x14ac:dyDescent="0.25">
      <c r="D712" s="29"/>
    </row>
    <row r="713" spans="4:4" x14ac:dyDescent="0.25">
      <c r="D713" s="29"/>
    </row>
    <row r="714" spans="4:4" x14ac:dyDescent="0.25">
      <c r="D714" s="29"/>
    </row>
    <row r="715" spans="4:4" x14ac:dyDescent="0.25">
      <c r="D715" s="29"/>
    </row>
    <row r="716" spans="4:4" x14ac:dyDescent="0.25">
      <c r="D716" s="29"/>
    </row>
    <row r="717" spans="4:4" x14ac:dyDescent="0.25">
      <c r="D717" s="29"/>
    </row>
    <row r="718" spans="4:4" x14ac:dyDescent="0.25">
      <c r="D718" s="29"/>
    </row>
    <row r="719" spans="4:4" x14ac:dyDescent="0.25">
      <c r="D719" s="29"/>
    </row>
    <row r="720" spans="4:4" x14ac:dyDescent="0.25">
      <c r="D720" s="29"/>
    </row>
    <row r="721" spans="4:4" x14ac:dyDescent="0.25">
      <c r="D721" s="29"/>
    </row>
    <row r="722" spans="4:4" x14ac:dyDescent="0.25">
      <c r="D722" s="29"/>
    </row>
    <row r="723" spans="4:4" x14ac:dyDescent="0.25">
      <c r="D723" s="29"/>
    </row>
    <row r="724" spans="4:4" x14ac:dyDescent="0.25">
      <c r="D724" s="29"/>
    </row>
    <row r="725" spans="4:4" x14ac:dyDescent="0.25">
      <c r="D725" s="29"/>
    </row>
    <row r="726" spans="4:4" x14ac:dyDescent="0.25">
      <c r="D726" s="29"/>
    </row>
    <row r="727" spans="4:4" x14ac:dyDescent="0.25">
      <c r="D727" s="29"/>
    </row>
    <row r="728" spans="4:4" x14ac:dyDescent="0.25">
      <c r="D728" s="29"/>
    </row>
    <row r="729" spans="4:4" x14ac:dyDescent="0.25">
      <c r="D729" s="29"/>
    </row>
    <row r="730" spans="4:4" x14ac:dyDescent="0.25">
      <c r="D730" s="29"/>
    </row>
    <row r="731" spans="4:4" x14ac:dyDescent="0.25">
      <c r="D731" s="29"/>
    </row>
    <row r="732" spans="4:4" x14ac:dyDescent="0.25">
      <c r="D732" s="29"/>
    </row>
    <row r="733" spans="4:4" x14ac:dyDescent="0.25">
      <c r="D733" s="29"/>
    </row>
    <row r="734" spans="4:4" x14ac:dyDescent="0.25">
      <c r="D734" s="29"/>
    </row>
    <row r="735" spans="4:4" x14ac:dyDescent="0.25">
      <c r="D735" s="29"/>
    </row>
    <row r="736" spans="4:4" x14ac:dyDescent="0.25">
      <c r="D736" s="29"/>
    </row>
    <row r="737" spans="4:4" x14ac:dyDescent="0.25">
      <c r="D737" s="29"/>
    </row>
    <row r="738" spans="4:4" x14ac:dyDescent="0.25">
      <c r="D738" s="29"/>
    </row>
    <row r="739" spans="4:4" x14ac:dyDescent="0.25">
      <c r="D739" s="29"/>
    </row>
    <row r="740" spans="4:4" x14ac:dyDescent="0.25">
      <c r="D740" s="29"/>
    </row>
    <row r="741" spans="4:4" x14ac:dyDescent="0.25">
      <c r="D741" s="29"/>
    </row>
    <row r="742" spans="4:4" x14ac:dyDescent="0.25">
      <c r="D742" s="29"/>
    </row>
    <row r="743" spans="4:4" x14ac:dyDescent="0.25">
      <c r="D743" s="29"/>
    </row>
    <row r="744" spans="4:4" x14ac:dyDescent="0.25">
      <c r="D744" s="29"/>
    </row>
    <row r="745" spans="4:4" x14ac:dyDescent="0.25">
      <c r="D745" s="29"/>
    </row>
    <row r="746" spans="4:4" x14ac:dyDescent="0.25">
      <c r="D746" s="29"/>
    </row>
    <row r="747" spans="4:4" x14ac:dyDescent="0.25">
      <c r="D747" s="29"/>
    </row>
    <row r="748" spans="4:4" x14ac:dyDescent="0.25">
      <c r="D748" s="29"/>
    </row>
    <row r="749" spans="4:4" x14ac:dyDescent="0.25">
      <c r="D749" s="29"/>
    </row>
    <row r="750" spans="4:4" x14ac:dyDescent="0.25">
      <c r="D750" s="29"/>
    </row>
    <row r="751" spans="4:4" x14ac:dyDescent="0.25">
      <c r="D751" s="29"/>
    </row>
    <row r="752" spans="4:4" x14ac:dyDescent="0.25">
      <c r="D752" s="29"/>
    </row>
    <row r="753" spans="4:4" x14ac:dyDescent="0.25">
      <c r="D753" s="29"/>
    </row>
    <row r="754" spans="4:4" x14ac:dyDescent="0.25">
      <c r="D754" s="29"/>
    </row>
    <row r="755" spans="4:4" x14ac:dyDescent="0.25">
      <c r="D755" s="29"/>
    </row>
    <row r="756" spans="4:4" x14ac:dyDescent="0.25">
      <c r="D756" s="29"/>
    </row>
    <row r="757" spans="4:4" x14ac:dyDescent="0.25">
      <c r="D757" s="29"/>
    </row>
    <row r="758" spans="4:4" x14ac:dyDescent="0.25">
      <c r="D758" s="29"/>
    </row>
    <row r="759" spans="4:4" x14ac:dyDescent="0.25">
      <c r="D759" s="29"/>
    </row>
    <row r="760" spans="4:4" x14ac:dyDescent="0.25">
      <c r="D760" s="29"/>
    </row>
    <row r="761" spans="4:4" x14ac:dyDescent="0.25">
      <c r="D761" s="29"/>
    </row>
    <row r="762" spans="4:4" x14ac:dyDescent="0.25">
      <c r="D762" s="29"/>
    </row>
    <row r="763" spans="4:4" x14ac:dyDescent="0.25">
      <c r="D763" s="29"/>
    </row>
    <row r="764" spans="4:4" x14ac:dyDescent="0.25">
      <c r="D764" s="29"/>
    </row>
    <row r="765" spans="4:4" x14ac:dyDescent="0.25">
      <c r="D765" s="29"/>
    </row>
    <row r="766" spans="4:4" x14ac:dyDescent="0.25">
      <c r="D766" s="29"/>
    </row>
    <row r="767" spans="4:4" x14ac:dyDescent="0.25">
      <c r="D767" s="29"/>
    </row>
    <row r="768" spans="4:4" x14ac:dyDescent="0.25">
      <c r="D768" s="29"/>
    </row>
    <row r="769" spans="4:4" x14ac:dyDescent="0.25">
      <c r="D769" s="29"/>
    </row>
    <row r="770" spans="4:4" x14ac:dyDescent="0.25">
      <c r="D770" s="29"/>
    </row>
    <row r="771" spans="4:4" x14ac:dyDescent="0.25">
      <c r="D771" s="29"/>
    </row>
    <row r="772" spans="4:4" x14ac:dyDescent="0.25">
      <c r="D772" s="29"/>
    </row>
    <row r="773" spans="4:4" x14ac:dyDescent="0.25">
      <c r="D773" s="29"/>
    </row>
    <row r="774" spans="4:4" x14ac:dyDescent="0.25">
      <c r="D774" s="29"/>
    </row>
    <row r="775" spans="4:4" x14ac:dyDescent="0.25">
      <c r="D775" s="29"/>
    </row>
    <row r="776" spans="4:4" x14ac:dyDescent="0.25">
      <c r="D776" s="29"/>
    </row>
    <row r="777" spans="4:4" x14ac:dyDescent="0.25">
      <c r="D777" s="29"/>
    </row>
    <row r="778" spans="4:4" x14ac:dyDescent="0.25">
      <c r="D778" s="29"/>
    </row>
    <row r="779" spans="4:4" x14ac:dyDescent="0.25">
      <c r="D779" s="29"/>
    </row>
    <row r="780" spans="4:4" x14ac:dyDescent="0.25">
      <c r="D780" s="29"/>
    </row>
    <row r="781" spans="4:4" x14ac:dyDescent="0.25">
      <c r="D781" s="29"/>
    </row>
    <row r="782" spans="4:4" x14ac:dyDescent="0.25">
      <c r="D782" s="29"/>
    </row>
    <row r="783" spans="4:4" x14ac:dyDescent="0.25">
      <c r="D783" s="29"/>
    </row>
    <row r="784" spans="4:4" x14ac:dyDescent="0.25">
      <c r="D784" s="29"/>
    </row>
    <row r="785" spans="4:4" x14ac:dyDescent="0.25">
      <c r="D785" s="29"/>
    </row>
    <row r="786" spans="4:4" x14ac:dyDescent="0.25">
      <c r="D786" s="29"/>
    </row>
    <row r="787" spans="4:4" x14ac:dyDescent="0.25">
      <c r="D787" s="29"/>
    </row>
    <row r="788" spans="4:4" x14ac:dyDescent="0.25">
      <c r="D788" s="29"/>
    </row>
    <row r="789" spans="4:4" x14ac:dyDescent="0.25">
      <c r="D789" s="29"/>
    </row>
    <row r="790" spans="4:4" x14ac:dyDescent="0.25">
      <c r="D790" s="29"/>
    </row>
    <row r="791" spans="4:4" x14ac:dyDescent="0.25">
      <c r="D791" s="29"/>
    </row>
    <row r="792" spans="4:4" x14ac:dyDescent="0.25">
      <c r="D792" s="29"/>
    </row>
    <row r="793" spans="4:4" x14ac:dyDescent="0.25">
      <c r="D793" s="29"/>
    </row>
    <row r="794" spans="4:4" x14ac:dyDescent="0.25">
      <c r="D794" s="29"/>
    </row>
    <row r="795" spans="4:4" x14ac:dyDescent="0.25">
      <c r="D795" s="29"/>
    </row>
    <row r="796" spans="4:4" x14ac:dyDescent="0.25">
      <c r="D796" s="29"/>
    </row>
    <row r="797" spans="4:4" x14ac:dyDescent="0.25">
      <c r="D797" s="29"/>
    </row>
    <row r="798" spans="4:4" x14ac:dyDescent="0.25">
      <c r="D798" s="29"/>
    </row>
    <row r="799" spans="4:4" x14ac:dyDescent="0.25">
      <c r="D799" s="29"/>
    </row>
    <row r="800" spans="4:4" x14ac:dyDescent="0.25">
      <c r="D800" s="29"/>
    </row>
    <row r="801" spans="4:4" x14ac:dyDescent="0.25">
      <c r="D801" s="29"/>
    </row>
    <row r="802" spans="4:4" x14ac:dyDescent="0.25">
      <c r="D802" s="29"/>
    </row>
    <row r="803" spans="4:4" x14ac:dyDescent="0.25">
      <c r="D803" s="29"/>
    </row>
    <row r="804" spans="4:4" x14ac:dyDescent="0.25">
      <c r="D804" s="29"/>
    </row>
    <row r="805" spans="4:4" x14ac:dyDescent="0.25">
      <c r="D805" s="29"/>
    </row>
    <row r="806" spans="4:4" x14ac:dyDescent="0.25">
      <c r="D806" s="29"/>
    </row>
    <row r="807" spans="4:4" x14ac:dyDescent="0.25">
      <c r="D807" s="29"/>
    </row>
    <row r="808" spans="4:4" x14ac:dyDescent="0.25">
      <c r="D808" s="29"/>
    </row>
    <row r="809" spans="4:4" x14ac:dyDescent="0.25">
      <c r="D809" s="29"/>
    </row>
    <row r="810" spans="4:4" x14ac:dyDescent="0.25">
      <c r="D810" s="29"/>
    </row>
    <row r="811" spans="4:4" x14ac:dyDescent="0.25">
      <c r="D811" s="29"/>
    </row>
    <row r="812" spans="4:4" x14ac:dyDescent="0.25">
      <c r="D812" s="29"/>
    </row>
    <row r="813" spans="4:4" x14ac:dyDescent="0.25">
      <c r="D813" s="29"/>
    </row>
    <row r="814" spans="4:4" x14ac:dyDescent="0.25">
      <c r="D814" s="29"/>
    </row>
    <row r="815" spans="4:4" x14ac:dyDescent="0.25">
      <c r="D815" s="29"/>
    </row>
    <row r="816" spans="4:4" x14ac:dyDescent="0.25">
      <c r="D816" s="29"/>
    </row>
    <row r="817" spans="4:4" x14ac:dyDescent="0.25">
      <c r="D817" s="29"/>
    </row>
    <row r="818" spans="4:4" x14ac:dyDescent="0.25">
      <c r="D818" s="29"/>
    </row>
    <row r="819" spans="4:4" x14ac:dyDescent="0.25">
      <c r="D819" s="29"/>
    </row>
    <row r="820" spans="4:4" x14ac:dyDescent="0.25">
      <c r="D820" s="29"/>
    </row>
    <row r="821" spans="4:4" x14ac:dyDescent="0.25">
      <c r="D821" s="29"/>
    </row>
    <row r="822" spans="4:4" x14ac:dyDescent="0.25">
      <c r="D822" s="29"/>
    </row>
    <row r="823" spans="4:4" x14ac:dyDescent="0.25">
      <c r="D823" s="29"/>
    </row>
    <row r="824" spans="4:4" x14ac:dyDescent="0.25">
      <c r="D824" s="29"/>
    </row>
    <row r="825" spans="4:4" x14ac:dyDescent="0.25">
      <c r="D825" s="29"/>
    </row>
    <row r="826" spans="4:4" x14ac:dyDescent="0.25">
      <c r="D826" s="29"/>
    </row>
    <row r="827" spans="4:4" x14ac:dyDescent="0.25">
      <c r="D827" s="29"/>
    </row>
    <row r="828" spans="4:4" x14ac:dyDescent="0.25">
      <c r="D828" s="29"/>
    </row>
    <row r="829" spans="4:4" x14ac:dyDescent="0.25">
      <c r="D829" s="29"/>
    </row>
    <row r="830" spans="4:4" x14ac:dyDescent="0.25">
      <c r="D830" s="29"/>
    </row>
    <row r="831" spans="4:4" x14ac:dyDescent="0.25">
      <c r="D831" s="29"/>
    </row>
    <row r="832" spans="4:4" x14ac:dyDescent="0.25">
      <c r="D832" s="29"/>
    </row>
    <row r="833" spans="4:4" x14ac:dyDescent="0.25">
      <c r="D833" s="29"/>
    </row>
    <row r="834" spans="4:4" x14ac:dyDescent="0.25">
      <c r="D834" s="29"/>
    </row>
    <row r="835" spans="4:4" x14ac:dyDescent="0.25">
      <c r="D835" s="29"/>
    </row>
    <row r="836" spans="4:4" x14ac:dyDescent="0.25">
      <c r="D836" s="29"/>
    </row>
    <row r="837" spans="4:4" x14ac:dyDescent="0.25">
      <c r="D837" s="29"/>
    </row>
    <row r="838" spans="4:4" x14ac:dyDescent="0.25">
      <c r="D838" s="29"/>
    </row>
    <row r="839" spans="4:4" x14ac:dyDescent="0.25">
      <c r="D839" s="29"/>
    </row>
    <row r="840" spans="4:4" x14ac:dyDescent="0.25">
      <c r="D840" s="29"/>
    </row>
    <row r="841" spans="4:4" x14ac:dyDescent="0.25">
      <c r="D841" s="29"/>
    </row>
    <row r="842" spans="4:4" x14ac:dyDescent="0.25">
      <c r="D842" s="29"/>
    </row>
    <row r="843" spans="4:4" x14ac:dyDescent="0.25">
      <c r="D843" s="29"/>
    </row>
    <row r="844" spans="4:4" x14ac:dyDescent="0.25">
      <c r="D844" s="29"/>
    </row>
    <row r="845" spans="4:4" x14ac:dyDescent="0.25">
      <c r="D845" s="29"/>
    </row>
    <row r="846" spans="4:4" x14ac:dyDescent="0.25">
      <c r="D846" s="29"/>
    </row>
    <row r="847" spans="4:4" x14ac:dyDescent="0.25">
      <c r="D847" s="29"/>
    </row>
    <row r="848" spans="4:4" x14ac:dyDescent="0.25">
      <c r="D848" s="29"/>
    </row>
    <row r="849" spans="4:4" x14ac:dyDescent="0.25">
      <c r="D849" s="29"/>
    </row>
    <row r="850" spans="4:4" x14ac:dyDescent="0.25">
      <c r="D850" s="29"/>
    </row>
    <row r="851" spans="4:4" x14ac:dyDescent="0.25">
      <c r="D851" s="29"/>
    </row>
    <row r="852" spans="4:4" x14ac:dyDescent="0.25">
      <c r="D852" s="29"/>
    </row>
    <row r="853" spans="4:4" x14ac:dyDescent="0.25">
      <c r="D853" s="29"/>
    </row>
    <row r="854" spans="4:4" x14ac:dyDescent="0.25">
      <c r="D854" s="29"/>
    </row>
    <row r="855" spans="4:4" x14ac:dyDescent="0.25">
      <c r="D855" s="29"/>
    </row>
    <row r="856" spans="4:4" x14ac:dyDescent="0.25">
      <c r="D856" s="29"/>
    </row>
    <row r="857" spans="4:4" x14ac:dyDescent="0.25">
      <c r="D857" s="29"/>
    </row>
    <row r="858" spans="4:4" x14ac:dyDescent="0.25">
      <c r="D858" s="29"/>
    </row>
    <row r="859" spans="4:4" x14ac:dyDescent="0.25">
      <c r="D859" s="29"/>
    </row>
    <row r="860" spans="4:4" x14ac:dyDescent="0.25">
      <c r="D860" s="29"/>
    </row>
    <row r="861" spans="4:4" x14ac:dyDescent="0.25">
      <c r="D861" s="29"/>
    </row>
    <row r="862" spans="4:4" x14ac:dyDescent="0.25">
      <c r="D862" s="29"/>
    </row>
    <row r="863" spans="4:4" x14ac:dyDescent="0.25">
      <c r="D863" s="29"/>
    </row>
    <row r="864" spans="4:4" x14ac:dyDescent="0.25">
      <c r="D864" s="29"/>
    </row>
    <row r="865" spans="4:4" x14ac:dyDescent="0.25">
      <c r="D865" s="29"/>
    </row>
    <row r="866" spans="4:4" x14ac:dyDescent="0.25">
      <c r="D866" s="29"/>
    </row>
    <row r="867" spans="4:4" x14ac:dyDescent="0.25">
      <c r="D867" s="29"/>
    </row>
    <row r="868" spans="4:4" x14ac:dyDescent="0.25">
      <c r="D868" s="29"/>
    </row>
    <row r="869" spans="4:4" x14ac:dyDescent="0.25">
      <c r="D869" s="29"/>
    </row>
    <row r="870" spans="4:4" x14ac:dyDescent="0.25">
      <c r="D870" s="29"/>
    </row>
    <row r="871" spans="4:4" x14ac:dyDescent="0.25">
      <c r="D871" s="29"/>
    </row>
    <row r="872" spans="4:4" x14ac:dyDescent="0.25">
      <c r="D872" s="29"/>
    </row>
    <row r="873" spans="4:4" x14ac:dyDescent="0.25">
      <c r="D873" s="29"/>
    </row>
    <row r="874" spans="4:4" x14ac:dyDescent="0.25">
      <c r="D874" s="29"/>
    </row>
    <row r="875" spans="4:4" x14ac:dyDescent="0.25">
      <c r="D875" s="29"/>
    </row>
    <row r="876" spans="4:4" x14ac:dyDescent="0.25">
      <c r="D876" s="29"/>
    </row>
    <row r="877" spans="4:4" x14ac:dyDescent="0.25">
      <c r="D877" s="29"/>
    </row>
    <row r="878" spans="4:4" x14ac:dyDescent="0.25">
      <c r="D878" s="29"/>
    </row>
    <row r="879" spans="4:4" x14ac:dyDescent="0.25">
      <c r="D879" s="29"/>
    </row>
    <row r="880" spans="4:4" x14ac:dyDescent="0.25">
      <c r="D880" s="29"/>
    </row>
    <row r="881" spans="4:4" x14ac:dyDescent="0.25">
      <c r="D881" s="29"/>
    </row>
    <row r="882" spans="4:4" x14ac:dyDescent="0.25">
      <c r="D882" s="29"/>
    </row>
    <row r="883" spans="4:4" x14ac:dyDescent="0.25">
      <c r="D883" s="29"/>
    </row>
    <row r="884" spans="4:4" x14ac:dyDescent="0.25">
      <c r="D884" s="29"/>
    </row>
    <row r="885" spans="4:4" x14ac:dyDescent="0.25">
      <c r="D885" s="29"/>
    </row>
    <row r="886" spans="4:4" x14ac:dyDescent="0.25">
      <c r="D886" s="29"/>
    </row>
    <row r="887" spans="4:4" x14ac:dyDescent="0.25">
      <c r="D887" s="29"/>
    </row>
    <row r="888" spans="4:4" x14ac:dyDescent="0.25">
      <c r="D888" s="29"/>
    </row>
    <row r="889" spans="4:4" x14ac:dyDescent="0.25">
      <c r="D889" s="29"/>
    </row>
    <row r="890" spans="4:4" x14ac:dyDescent="0.25">
      <c r="D890" s="29"/>
    </row>
    <row r="891" spans="4:4" x14ac:dyDescent="0.25">
      <c r="D891" s="29"/>
    </row>
    <row r="892" spans="4:4" x14ac:dyDescent="0.25">
      <c r="D892" s="29"/>
    </row>
    <row r="893" spans="4:4" x14ac:dyDescent="0.25">
      <c r="D893" s="29"/>
    </row>
    <row r="894" spans="4:4" x14ac:dyDescent="0.25">
      <c r="D894" s="29"/>
    </row>
    <row r="895" spans="4:4" x14ac:dyDescent="0.25">
      <c r="D895" s="29"/>
    </row>
    <row r="896" spans="4:4" x14ac:dyDescent="0.25">
      <c r="D896" s="29"/>
    </row>
    <row r="897" spans="4:4" x14ac:dyDescent="0.25">
      <c r="D897" s="29"/>
    </row>
    <row r="898" spans="4:4" x14ac:dyDescent="0.25">
      <c r="D898" s="29"/>
    </row>
    <row r="899" spans="4:4" x14ac:dyDescent="0.25">
      <c r="D899" s="29"/>
    </row>
    <row r="900" spans="4:4" x14ac:dyDescent="0.25">
      <c r="D900" s="29"/>
    </row>
    <row r="901" spans="4:4" x14ac:dyDescent="0.25">
      <c r="D901" s="29"/>
    </row>
    <row r="902" spans="4:4" x14ac:dyDescent="0.25">
      <c r="D902" s="29"/>
    </row>
    <row r="903" spans="4:4" x14ac:dyDescent="0.25">
      <c r="D903" s="29"/>
    </row>
    <row r="904" spans="4:4" x14ac:dyDescent="0.25">
      <c r="D904" s="29"/>
    </row>
    <row r="905" spans="4:4" x14ac:dyDescent="0.25">
      <c r="D905" s="29"/>
    </row>
    <row r="906" spans="4:4" x14ac:dyDescent="0.25">
      <c r="D906" s="29"/>
    </row>
    <row r="907" spans="4:4" x14ac:dyDescent="0.25">
      <c r="D907" s="29"/>
    </row>
    <row r="908" spans="4:4" x14ac:dyDescent="0.25">
      <c r="D908" s="29"/>
    </row>
    <row r="909" spans="4:4" x14ac:dyDescent="0.25">
      <c r="D909" s="29"/>
    </row>
    <row r="910" spans="4:4" x14ac:dyDescent="0.25">
      <c r="D910" s="29"/>
    </row>
    <row r="911" spans="4:4" x14ac:dyDescent="0.25">
      <c r="D911" s="29"/>
    </row>
    <row r="912" spans="4:4" x14ac:dyDescent="0.25">
      <c r="D912" s="29"/>
    </row>
    <row r="913" spans="4:4" x14ac:dyDescent="0.25">
      <c r="D913" s="29"/>
    </row>
    <row r="914" spans="4:4" x14ac:dyDescent="0.25">
      <c r="D914" s="29"/>
    </row>
    <row r="915" spans="4:4" x14ac:dyDescent="0.25">
      <c r="D915" s="29"/>
    </row>
    <row r="916" spans="4:4" x14ac:dyDescent="0.25">
      <c r="D916" s="29"/>
    </row>
    <row r="917" spans="4:4" x14ac:dyDescent="0.25">
      <c r="D917" s="29"/>
    </row>
    <row r="918" spans="4:4" x14ac:dyDescent="0.25">
      <c r="D918" s="29"/>
    </row>
    <row r="919" spans="4:4" x14ac:dyDescent="0.25">
      <c r="D919" s="29"/>
    </row>
    <row r="920" spans="4:4" x14ac:dyDescent="0.25">
      <c r="D920" s="29"/>
    </row>
    <row r="921" spans="4:4" x14ac:dyDescent="0.25">
      <c r="D921" s="29"/>
    </row>
    <row r="922" spans="4:4" x14ac:dyDescent="0.25">
      <c r="D922" s="29"/>
    </row>
    <row r="923" spans="4:4" x14ac:dyDescent="0.25">
      <c r="D923" s="29"/>
    </row>
    <row r="924" spans="4:4" x14ac:dyDescent="0.25">
      <c r="D924" s="29"/>
    </row>
    <row r="925" spans="4:4" x14ac:dyDescent="0.25">
      <c r="D925" s="29"/>
    </row>
    <row r="926" spans="4:4" x14ac:dyDescent="0.25">
      <c r="D926" s="29"/>
    </row>
    <row r="927" spans="4:4" x14ac:dyDescent="0.25">
      <c r="D927" s="29"/>
    </row>
    <row r="928" spans="4:4" x14ac:dyDescent="0.25">
      <c r="D928" s="29"/>
    </row>
    <row r="929" spans="4:4" x14ac:dyDescent="0.25">
      <c r="D929" s="29"/>
    </row>
    <row r="930" spans="4:4" x14ac:dyDescent="0.25">
      <c r="D930" s="29"/>
    </row>
    <row r="931" spans="4:4" x14ac:dyDescent="0.25">
      <c r="D931" s="29"/>
    </row>
    <row r="932" spans="4:4" x14ac:dyDescent="0.25">
      <c r="D932" s="29"/>
    </row>
    <row r="933" spans="4:4" x14ac:dyDescent="0.25">
      <c r="D933" s="29"/>
    </row>
    <row r="934" spans="4:4" x14ac:dyDescent="0.25">
      <c r="D934" s="29"/>
    </row>
    <row r="935" spans="4:4" x14ac:dyDescent="0.25">
      <c r="D935" s="29"/>
    </row>
    <row r="936" spans="4:4" x14ac:dyDescent="0.25">
      <c r="D936" s="29"/>
    </row>
    <row r="937" spans="4:4" x14ac:dyDescent="0.25">
      <c r="D937" s="29"/>
    </row>
    <row r="938" spans="4:4" x14ac:dyDescent="0.25">
      <c r="D938" s="29"/>
    </row>
    <row r="939" spans="4:4" x14ac:dyDescent="0.25">
      <c r="D939" s="29"/>
    </row>
    <row r="940" spans="4:4" x14ac:dyDescent="0.25">
      <c r="D940" s="29"/>
    </row>
    <row r="941" spans="4:4" x14ac:dyDescent="0.25">
      <c r="D941" s="29"/>
    </row>
    <row r="942" spans="4:4" x14ac:dyDescent="0.25">
      <c r="D942" s="29"/>
    </row>
    <row r="943" spans="4:4" x14ac:dyDescent="0.25">
      <c r="D943" s="29"/>
    </row>
    <row r="944" spans="4:4" x14ac:dyDescent="0.25">
      <c r="D944" s="29"/>
    </row>
    <row r="945" spans="4:4" x14ac:dyDescent="0.25">
      <c r="D945" s="29"/>
    </row>
    <row r="946" spans="4:4" x14ac:dyDescent="0.25">
      <c r="D946" s="29"/>
    </row>
    <row r="947" spans="4:4" x14ac:dyDescent="0.25">
      <c r="D947" s="29"/>
    </row>
    <row r="948" spans="4:4" x14ac:dyDescent="0.25">
      <c r="D948" s="29"/>
    </row>
    <row r="949" spans="4:4" x14ac:dyDescent="0.25">
      <c r="D949" s="29"/>
    </row>
    <row r="950" spans="4:4" x14ac:dyDescent="0.25">
      <c r="D950" s="29"/>
    </row>
    <row r="951" spans="4:4" x14ac:dyDescent="0.25">
      <c r="D951" s="29"/>
    </row>
    <row r="952" spans="4:4" x14ac:dyDescent="0.25">
      <c r="D952" s="29"/>
    </row>
    <row r="953" spans="4:4" x14ac:dyDescent="0.25">
      <c r="D953" s="29"/>
    </row>
    <row r="954" spans="4:4" x14ac:dyDescent="0.25">
      <c r="D954" s="29"/>
    </row>
    <row r="955" spans="4:4" x14ac:dyDescent="0.25">
      <c r="D955" s="29"/>
    </row>
    <row r="956" spans="4:4" x14ac:dyDescent="0.25">
      <c r="D956" s="29"/>
    </row>
    <row r="957" spans="4:4" x14ac:dyDescent="0.25">
      <c r="D957" s="29"/>
    </row>
    <row r="958" spans="4:4" x14ac:dyDescent="0.25">
      <c r="D958" s="29"/>
    </row>
    <row r="959" spans="4:4" x14ac:dyDescent="0.25">
      <c r="D959" s="29"/>
    </row>
    <row r="960" spans="4:4" x14ac:dyDescent="0.25">
      <c r="D960" s="29"/>
    </row>
    <row r="961" spans="4:4" x14ac:dyDescent="0.25">
      <c r="D961" s="29"/>
    </row>
    <row r="962" spans="4:4" x14ac:dyDescent="0.25">
      <c r="D962" s="29"/>
    </row>
    <row r="963" spans="4:4" x14ac:dyDescent="0.25">
      <c r="D963" s="29"/>
    </row>
    <row r="964" spans="4:4" x14ac:dyDescent="0.25">
      <c r="D964" s="29"/>
    </row>
    <row r="965" spans="4:4" x14ac:dyDescent="0.25">
      <c r="D965" s="29"/>
    </row>
    <row r="966" spans="4:4" x14ac:dyDescent="0.25">
      <c r="D966" s="29"/>
    </row>
    <row r="967" spans="4:4" x14ac:dyDescent="0.25">
      <c r="D967" s="29"/>
    </row>
    <row r="968" spans="4:4" x14ac:dyDescent="0.25">
      <c r="D968" s="29"/>
    </row>
    <row r="969" spans="4:4" x14ac:dyDescent="0.25">
      <c r="D969" s="29"/>
    </row>
    <row r="970" spans="4:4" x14ac:dyDescent="0.25">
      <c r="D970" s="29"/>
    </row>
    <row r="971" spans="4:4" x14ac:dyDescent="0.25">
      <c r="D971" s="29"/>
    </row>
    <row r="972" spans="4:4" x14ac:dyDescent="0.25">
      <c r="D972" s="29"/>
    </row>
    <row r="973" spans="4:4" x14ac:dyDescent="0.25">
      <c r="D973" s="29"/>
    </row>
    <row r="974" spans="4:4" x14ac:dyDescent="0.25">
      <c r="D974" s="29"/>
    </row>
    <row r="975" spans="4:4" x14ac:dyDescent="0.25">
      <c r="D975" s="29"/>
    </row>
    <row r="976" spans="4:4" x14ac:dyDescent="0.25">
      <c r="D976" s="29"/>
    </row>
    <row r="977" spans="4:4" x14ac:dyDescent="0.25">
      <c r="D977" s="29"/>
    </row>
    <row r="978" spans="4:4" x14ac:dyDescent="0.25">
      <c r="D978" s="29"/>
    </row>
    <row r="979" spans="4:4" x14ac:dyDescent="0.25">
      <c r="D979" s="29"/>
    </row>
    <row r="980" spans="4:4" x14ac:dyDescent="0.25">
      <c r="D980" s="29"/>
    </row>
    <row r="981" spans="4:4" x14ac:dyDescent="0.25">
      <c r="D981" s="29"/>
    </row>
    <row r="982" spans="4:4" x14ac:dyDescent="0.25">
      <c r="D982" s="29"/>
    </row>
    <row r="983" spans="4:4" x14ac:dyDescent="0.25">
      <c r="D983" s="29"/>
    </row>
    <row r="984" spans="4:4" x14ac:dyDescent="0.25">
      <c r="D984" s="29"/>
    </row>
    <row r="985" spans="4:4" x14ac:dyDescent="0.25">
      <c r="D985" s="29"/>
    </row>
    <row r="986" spans="4:4" x14ac:dyDescent="0.25">
      <c r="D986" s="29"/>
    </row>
    <row r="987" spans="4:4" x14ac:dyDescent="0.25">
      <c r="D987" s="29"/>
    </row>
    <row r="988" spans="4:4" x14ac:dyDescent="0.25">
      <c r="D988" s="29"/>
    </row>
    <row r="989" spans="4:4" x14ac:dyDescent="0.25">
      <c r="D989" s="29"/>
    </row>
    <row r="990" spans="4:4" x14ac:dyDescent="0.25">
      <c r="D990" s="29"/>
    </row>
    <row r="991" spans="4:4" x14ac:dyDescent="0.25">
      <c r="D991" s="29"/>
    </row>
    <row r="992" spans="4:4" x14ac:dyDescent="0.25">
      <c r="D992" s="29"/>
    </row>
    <row r="993" spans="4:4" x14ac:dyDescent="0.25">
      <c r="D993" s="29"/>
    </row>
    <row r="994" spans="4:4" x14ac:dyDescent="0.25">
      <c r="D994" s="29"/>
    </row>
    <row r="995" spans="4:4" x14ac:dyDescent="0.25">
      <c r="D995" s="29"/>
    </row>
    <row r="996" spans="4:4" x14ac:dyDescent="0.25">
      <c r="D996" s="29"/>
    </row>
    <row r="997" spans="4:4" x14ac:dyDescent="0.25">
      <c r="D997" s="29"/>
    </row>
    <row r="998" spans="4:4" x14ac:dyDescent="0.25">
      <c r="D998" s="29"/>
    </row>
    <row r="999" spans="4:4" x14ac:dyDescent="0.25">
      <c r="D999" s="29"/>
    </row>
    <row r="1000" spans="4:4" x14ac:dyDescent="0.25">
      <c r="D1000" s="29"/>
    </row>
    <row r="1001" spans="4:4" x14ac:dyDescent="0.25">
      <c r="D1001" s="29"/>
    </row>
    <row r="1002" spans="4:4" x14ac:dyDescent="0.25">
      <c r="D1002" s="29"/>
    </row>
    <row r="1003" spans="4:4" x14ac:dyDescent="0.25">
      <c r="D1003" s="29"/>
    </row>
    <row r="1004" spans="4:4" x14ac:dyDescent="0.25">
      <c r="D1004" s="29"/>
    </row>
    <row r="1005" spans="4:4" x14ac:dyDescent="0.25">
      <c r="D1005" s="29"/>
    </row>
    <row r="1006" spans="4:4" x14ac:dyDescent="0.25">
      <c r="D1006" s="29"/>
    </row>
    <row r="1007" spans="4:4" x14ac:dyDescent="0.25">
      <c r="D1007" s="29"/>
    </row>
    <row r="1008" spans="4:4" x14ac:dyDescent="0.25">
      <c r="D1008" s="29"/>
    </row>
    <row r="1009" spans="4:4" x14ac:dyDescent="0.25">
      <c r="D1009" s="29"/>
    </row>
    <row r="1010" spans="4:4" x14ac:dyDescent="0.25">
      <c r="D1010" s="29"/>
    </row>
    <row r="1011" spans="4:4" x14ac:dyDescent="0.25">
      <c r="D1011" s="29"/>
    </row>
    <row r="1012" spans="4:4" x14ac:dyDescent="0.25">
      <c r="D1012" s="29"/>
    </row>
    <row r="1013" spans="4:4" x14ac:dyDescent="0.25">
      <c r="D1013" s="29"/>
    </row>
    <row r="1014" spans="4:4" x14ac:dyDescent="0.25">
      <c r="D1014" s="29"/>
    </row>
    <row r="1015" spans="4:4" x14ac:dyDescent="0.25">
      <c r="D1015" s="29"/>
    </row>
    <row r="1016" spans="4:4" x14ac:dyDescent="0.25">
      <c r="D1016" s="29"/>
    </row>
    <row r="1017" spans="4:4" x14ac:dyDescent="0.25">
      <c r="D1017" s="29"/>
    </row>
    <row r="1018" spans="4:4" x14ac:dyDescent="0.25">
      <c r="D1018" s="29"/>
    </row>
    <row r="1019" spans="4:4" x14ac:dyDescent="0.25">
      <c r="D1019" s="29"/>
    </row>
    <row r="1020" spans="4:4" x14ac:dyDescent="0.25">
      <c r="D1020" s="29"/>
    </row>
    <row r="1021" spans="4:4" x14ac:dyDescent="0.25">
      <c r="D1021" s="29"/>
    </row>
    <row r="1022" spans="4:4" x14ac:dyDescent="0.25">
      <c r="D1022" s="29"/>
    </row>
    <row r="1023" spans="4:4" x14ac:dyDescent="0.25">
      <c r="D1023" s="29"/>
    </row>
    <row r="1024" spans="4:4" x14ac:dyDescent="0.25">
      <c r="D1024" s="29"/>
    </row>
    <row r="1025" spans="4:4" x14ac:dyDescent="0.25">
      <c r="D1025" s="29"/>
    </row>
    <row r="1026" spans="4:4" x14ac:dyDescent="0.25">
      <c r="D1026" s="29"/>
    </row>
    <row r="1027" spans="4:4" x14ac:dyDescent="0.25">
      <c r="D1027" s="29"/>
    </row>
    <row r="1028" spans="4:4" x14ac:dyDescent="0.25">
      <c r="D1028" s="29"/>
    </row>
    <row r="1029" spans="4:4" x14ac:dyDescent="0.25">
      <c r="D1029" s="29"/>
    </row>
    <row r="1030" spans="4:4" x14ac:dyDescent="0.25">
      <c r="D1030" s="29"/>
    </row>
    <row r="1031" spans="4:4" x14ac:dyDescent="0.25">
      <c r="D1031" s="29"/>
    </row>
    <row r="1032" spans="4:4" x14ac:dyDescent="0.25">
      <c r="D1032" s="29"/>
    </row>
    <row r="1033" spans="4:4" x14ac:dyDescent="0.25">
      <c r="D1033" s="29"/>
    </row>
    <row r="1034" spans="4:4" x14ac:dyDescent="0.25">
      <c r="D1034" s="29"/>
    </row>
    <row r="1035" spans="4:4" x14ac:dyDescent="0.25">
      <c r="D1035" s="29"/>
    </row>
    <row r="1036" spans="4:4" x14ac:dyDescent="0.25">
      <c r="D1036" s="29"/>
    </row>
    <row r="1037" spans="4:4" x14ac:dyDescent="0.25">
      <c r="D1037" s="29"/>
    </row>
    <row r="1038" spans="4:4" x14ac:dyDescent="0.25">
      <c r="D1038" s="29"/>
    </row>
    <row r="1039" spans="4:4" x14ac:dyDescent="0.25">
      <c r="D1039" s="29"/>
    </row>
    <row r="1040" spans="4:4" x14ac:dyDescent="0.25">
      <c r="D1040" s="29"/>
    </row>
    <row r="1041" spans="4:4" x14ac:dyDescent="0.25">
      <c r="D1041" s="29"/>
    </row>
    <row r="1042" spans="4:4" x14ac:dyDescent="0.25">
      <c r="D1042" s="29"/>
    </row>
    <row r="1043" spans="4:4" x14ac:dyDescent="0.25">
      <c r="D1043" s="29"/>
    </row>
    <row r="1044" spans="4:4" x14ac:dyDescent="0.25">
      <c r="D1044" s="29"/>
    </row>
    <row r="1045" spans="4:4" x14ac:dyDescent="0.25">
      <c r="D1045" s="29"/>
    </row>
    <row r="1046" spans="4:4" x14ac:dyDescent="0.25">
      <c r="D1046" s="29"/>
    </row>
    <row r="1047" spans="4:4" x14ac:dyDescent="0.25">
      <c r="D1047" s="29"/>
    </row>
    <row r="1048" spans="4:4" x14ac:dyDescent="0.25">
      <c r="D1048" s="29"/>
    </row>
    <row r="1049" spans="4:4" x14ac:dyDescent="0.25">
      <c r="D1049" s="29"/>
    </row>
    <row r="1050" spans="4:4" x14ac:dyDescent="0.25">
      <c r="D1050" s="29"/>
    </row>
    <row r="1051" spans="4:4" x14ac:dyDescent="0.25">
      <c r="D1051" s="29"/>
    </row>
    <row r="1052" spans="4:4" x14ac:dyDescent="0.25">
      <c r="D1052" s="29"/>
    </row>
    <row r="1053" spans="4:4" x14ac:dyDescent="0.25">
      <c r="D1053" s="29"/>
    </row>
    <row r="1054" spans="4:4" x14ac:dyDescent="0.25">
      <c r="D1054" s="29"/>
    </row>
    <row r="1055" spans="4:4" x14ac:dyDescent="0.25">
      <c r="D1055" s="29"/>
    </row>
    <row r="1056" spans="4:4" x14ac:dyDescent="0.25">
      <c r="D1056" s="29"/>
    </row>
    <row r="1057" spans="4:4" x14ac:dyDescent="0.25">
      <c r="D1057" s="29"/>
    </row>
    <row r="1058" spans="4:4" x14ac:dyDescent="0.25">
      <c r="D1058" s="29"/>
    </row>
    <row r="1059" spans="4:4" x14ac:dyDescent="0.25">
      <c r="D1059" s="29"/>
    </row>
    <row r="1060" spans="4:4" x14ac:dyDescent="0.25">
      <c r="D1060" s="29"/>
    </row>
    <row r="1061" spans="4:4" x14ac:dyDescent="0.25">
      <c r="D1061" s="29"/>
    </row>
    <row r="1062" spans="4:4" x14ac:dyDescent="0.25">
      <c r="D1062" s="29"/>
    </row>
    <row r="1063" spans="4:4" x14ac:dyDescent="0.25">
      <c r="D1063" s="29"/>
    </row>
    <row r="1064" spans="4:4" x14ac:dyDescent="0.25">
      <c r="D1064" s="29"/>
    </row>
    <row r="1065" spans="4:4" x14ac:dyDescent="0.25">
      <c r="D1065" s="29"/>
    </row>
    <row r="1066" spans="4:4" x14ac:dyDescent="0.25">
      <c r="D1066" s="29"/>
    </row>
    <row r="1067" spans="4:4" x14ac:dyDescent="0.25">
      <c r="D1067" s="29"/>
    </row>
    <row r="1068" spans="4:4" x14ac:dyDescent="0.25">
      <c r="D1068" s="29"/>
    </row>
    <row r="1069" spans="4:4" x14ac:dyDescent="0.25">
      <c r="D1069" s="29"/>
    </row>
    <row r="1070" spans="4:4" x14ac:dyDescent="0.25">
      <c r="D1070" s="29"/>
    </row>
    <row r="1071" spans="4:4" x14ac:dyDescent="0.25">
      <c r="D1071" s="29"/>
    </row>
    <row r="1072" spans="4:4" x14ac:dyDescent="0.25">
      <c r="D1072" s="29"/>
    </row>
    <row r="1073" spans="4:4" x14ac:dyDescent="0.25">
      <c r="D1073" s="29"/>
    </row>
    <row r="1074" spans="4:4" x14ac:dyDescent="0.25">
      <c r="D1074" s="29"/>
    </row>
    <row r="1075" spans="4:4" x14ac:dyDescent="0.25">
      <c r="D1075" s="29"/>
    </row>
    <row r="1076" spans="4:4" x14ac:dyDescent="0.25">
      <c r="D1076" s="29"/>
    </row>
    <row r="1077" spans="4:4" x14ac:dyDescent="0.25">
      <c r="D1077" s="29"/>
    </row>
    <row r="1078" spans="4:4" x14ac:dyDescent="0.25">
      <c r="D1078" s="29"/>
    </row>
    <row r="1079" spans="4:4" x14ac:dyDescent="0.25">
      <c r="D1079" s="29"/>
    </row>
    <row r="1080" spans="4:4" x14ac:dyDescent="0.25">
      <c r="D1080" s="29"/>
    </row>
    <row r="1081" spans="4:4" x14ac:dyDescent="0.25">
      <c r="D1081" s="29"/>
    </row>
    <row r="1082" spans="4:4" x14ac:dyDescent="0.25">
      <c r="D1082" s="29"/>
    </row>
    <row r="1083" spans="4:4" x14ac:dyDescent="0.25">
      <c r="D1083" s="29"/>
    </row>
    <row r="1084" spans="4:4" x14ac:dyDescent="0.25">
      <c r="D1084" s="29"/>
    </row>
    <row r="1085" spans="4:4" x14ac:dyDescent="0.25">
      <c r="D1085" s="29"/>
    </row>
    <row r="1086" spans="4:4" x14ac:dyDescent="0.25">
      <c r="D1086" s="29"/>
    </row>
    <row r="1087" spans="4:4" x14ac:dyDescent="0.25">
      <c r="D1087" s="29"/>
    </row>
    <row r="1088" spans="4:4" x14ac:dyDescent="0.25">
      <c r="D1088" s="29"/>
    </row>
    <row r="1089" spans="4:4" x14ac:dyDescent="0.25">
      <c r="D1089" s="29"/>
    </row>
    <row r="1090" spans="4:4" x14ac:dyDescent="0.25">
      <c r="D1090" s="29"/>
    </row>
    <row r="1091" spans="4:4" x14ac:dyDescent="0.25">
      <c r="D1091" s="29"/>
    </row>
    <row r="1092" spans="4:4" x14ac:dyDescent="0.25">
      <c r="D1092" s="29"/>
    </row>
    <row r="1093" spans="4:4" x14ac:dyDescent="0.25">
      <c r="D1093" s="29"/>
    </row>
    <row r="1094" spans="4:4" x14ac:dyDescent="0.25">
      <c r="D1094" s="29"/>
    </row>
    <row r="1095" spans="4:4" x14ac:dyDescent="0.25">
      <c r="D1095" s="29"/>
    </row>
    <row r="1096" spans="4:4" x14ac:dyDescent="0.25">
      <c r="D1096" s="29"/>
    </row>
    <row r="1097" spans="4:4" x14ac:dyDescent="0.25">
      <c r="D1097" s="29"/>
    </row>
    <row r="1098" spans="4:4" x14ac:dyDescent="0.25">
      <c r="D1098" s="29"/>
    </row>
    <row r="1099" spans="4:4" x14ac:dyDescent="0.25">
      <c r="D1099" s="29"/>
    </row>
    <row r="1100" spans="4:4" x14ac:dyDescent="0.25">
      <c r="D1100" s="29"/>
    </row>
    <row r="1101" spans="4:4" x14ac:dyDescent="0.25">
      <c r="D1101" s="29"/>
    </row>
    <row r="1102" spans="4:4" x14ac:dyDescent="0.25">
      <c r="D1102" s="29"/>
    </row>
    <row r="1103" spans="4:4" x14ac:dyDescent="0.25">
      <c r="D1103" s="29"/>
    </row>
    <row r="1104" spans="4:4" x14ac:dyDescent="0.25">
      <c r="D1104" s="29"/>
    </row>
    <row r="1105" spans="4:4" x14ac:dyDescent="0.25">
      <c r="D1105" s="29"/>
    </row>
    <row r="1106" spans="4:4" x14ac:dyDescent="0.25">
      <c r="D1106" s="29"/>
    </row>
    <row r="1107" spans="4:4" x14ac:dyDescent="0.25">
      <c r="D1107" s="29"/>
    </row>
    <row r="1108" spans="4:4" x14ac:dyDescent="0.25">
      <c r="D1108" s="29"/>
    </row>
    <row r="1109" spans="4:4" x14ac:dyDescent="0.25">
      <c r="D1109" s="29"/>
    </row>
    <row r="1110" spans="4:4" x14ac:dyDescent="0.25">
      <c r="D1110" s="29"/>
    </row>
    <row r="1111" spans="4:4" x14ac:dyDescent="0.25">
      <c r="D1111" s="29"/>
    </row>
    <row r="1112" spans="4:4" x14ac:dyDescent="0.25">
      <c r="D1112" s="29"/>
    </row>
    <row r="1113" spans="4:4" x14ac:dyDescent="0.25">
      <c r="D1113" s="29"/>
    </row>
    <row r="1114" spans="4:4" x14ac:dyDescent="0.25">
      <c r="D1114" s="29"/>
    </row>
    <row r="1115" spans="4:4" x14ac:dyDescent="0.25">
      <c r="D1115" s="29"/>
    </row>
    <row r="1116" spans="4:4" x14ac:dyDescent="0.25">
      <c r="D1116" s="29"/>
    </row>
    <row r="1117" spans="4:4" x14ac:dyDescent="0.25">
      <c r="D1117" s="29"/>
    </row>
    <row r="1118" spans="4:4" x14ac:dyDescent="0.25">
      <c r="D1118" s="29"/>
    </row>
    <row r="1119" spans="4:4" x14ac:dyDescent="0.25">
      <c r="D1119" s="29"/>
    </row>
    <row r="1120" spans="4:4" x14ac:dyDescent="0.25">
      <c r="D1120" s="29"/>
    </row>
    <row r="1121" spans="4:4" x14ac:dyDescent="0.25">
      <c r="D1121" s="29"/>
    </row>
    <row r="1122" spans="4:4" x14ac:dyDescent="0.25">
      <c r="D1122" s="29"/>
    </row>
    <row r="1123" spans="4:4" x14ac:dyDescent="0.25">
      <c r="D1123" s="29"/>
    </row>
    <row r="1124" spans="4:4" x14ac:dyDescent="0.25">
      <c r="D1124" s="29"/>
    </row>
    <row r="1125" spans="4:4" x14ac:dyDescent="0.25">
      <c r="D1125" s="29"/>
    </row>
    <row r="1126" spans="4:4" x14ac:dyDescent="0.25">
      <c r="D1126" s="29"/>
    </row>
    <row r="1127" spans="4:4" x14ac:dyDescent="0.25">
      <c r="D1127" s="29"/>
    </row>
    <row r="1128" spans="4:4" x14ac:dyDescent="0.25">
      <c r="D1128" s="29"/>
    </row>
    <row r="1129" spans="4:4" x14ac:dyDescent="0.25">
      <c r="D1129" s="29"/>
    </row>
    <row r="1130" spans="4:4" x14ac:dyDescent="0.25">
      <c r="D1130" s="29"/>
    </row>
    <row r="1131" spans="4:4" x14ac:dyDescent="0.25">
      <c r="D1131" s="29"/>
    </row>
    <row r="1132" spans="4:4" x14ac:dyDescent="0.25">
      <c r="D1132" s="29"/>
    </row>
    <row r="1133" spans="4:4" x14ac:dyDescent="0.25">
      <c r="D1133" s="29"/>
    </row>
    <row r="1134" spans="4:4" x14ac:dyDescent="0.25">
      <c r="D1134" s="29"/>
    </row>
    <row r="1135" spans="4:4" x14ac:dyDescent="0.25">
      <c r="D1135" s="29"/>
    </row>
    <row r="1136" spans="4:4" x14ac:dyDescent="0.25">
      <c r="D1136" s="29"/>
    </row>
    <row r="1137" spans="4:4" x14ac:dyDescent="0.25">
      <c r="D1137" s="29"/>
    </row>
    <row r="1138" spans="4:4" x14ac:dyDescent="0.25">
      <c r="D1138" s="29"/>
    </row>
    <row r="1139" spans="4:4" x14ac:dyDescent="0.25">
      <c r="D1139" s="29"/>
    </row>
    <row r="1140" spans="4:4" x14ac:dyDescent="0.25">
      <c r="D1140" s="29"/>
    </row>
    <row r="1141" spans="4:4" x14ac:dyDescent="0.25">
      <c r="D1141" s="29"/>
    </row>
    <row r="1142" spans="4:4" x14ac:dyDescent="0.25">
      <c r="D1142" s="29"/>
    </row>
    <row r="1143" spans="4:4" x14ac:dyDescent="0.25">
      <c r="D1143" s="29"/>
    </row>
    <row r="1144" spans="4:4" x14ac:dyDescent="0.25">
      <c r="D1144" s="29"/>
    </row>
    <row r="1145" spans="4:4" x14ac:dyDescent="0.25">
      <c r="D1145" s="29"/>
    </row>
    <row r="1146" spans="4:4" x14ac:dyDescent="0.25">
      <c r="D1146" s="29"/>
    </row>
    <row r="1147" spans="4:4" x14ac:dyDescent="0.25">
      <c r="D1147" s="29"/>
    </row>
    <row r="1148" spans="4:4" x14ac:dyDescent="0.25">
      <c r="D1148" s="29"/>
    </row>
    <row r="1149" spans="4:4" x14ac:dyDescent="0.25">
      <c r="D1149" s="29"/>
    </row>
    <row r="1150" spans="4:4" x14ac:dyDescent="0.25">
      <c r="D1150" s="29"/>
    </row>
    <row r="1151" spans="4:4" x14ac:dyDescent="0.25">
      <c r="D1151" s="29"/>
    </row>
    <row r="1152" spans="4:4" x14ac:dyDescent="0.25">
      <c r="D1152" s="29"/>
    </row>
    <row r="1153" spans="4:4" x14ac:dyDescent="0.25">
      <c r="D1153" s="29"/>
    </row>
    <row r="1154" spans="4:4" x14ac:dyDescent="0.25">
      <c r="D1154" s="29"/>
    </row>
    <row r="1155" spans="4:4" x14ac:dyDescent="0.25">
      <c r="D1155" s="29"/>
    </row>
    <row r="1156" spans="4:4" x14ac:dyDescent="0.25">
      <c r="D1156" s="29"/>
    </row>
    <row r="1157" spans="4:4" x14ac:dyDescent="0.25">
      <c r="D1157" s="29"/>
    </row>
    <row r="1158" spans="4:4" x14ac:dyDescent="0.25">
      <c r="D1158" s="29"/>
    </row>
    <row r="1159" spans="4:4" x14ac:dyDescent="0.25">
      <c r="D1159" s="29"/>
    </row>
    <row r="1160" spans="4:4" x14ac:dyDescent="0.25">
      <c r="D1160" s="29"/>
    </row>
    <row r="1161" spans="4:4" x14ac:dyDescent="0.25">
      <c r="D1161" s="29"/>
    </row>
    <row r="1162" spans="4:4" x14ac:dyDescent="0.25">
      <c r="D1162" s="29"/>
    </row>
    <row r="1163" spans="4:4" x14ac:dyDescent="0.25">
      <c r="D1163" s="29"/>
    </row>
    <row r="1164" spans="4:4" x14ac:dyDescent="0.25">
      <c r="D1164" s="29"/>
    </row>
    <row r="1165" spans="4:4" x14ac:dyDescent="0.25">
      <c r="D1165" s="29"/>
    </row>
    <row r="1166" spans="4:4" x14ac:dyDescent="0.25">
      <c r="D1166" s="29"/>
    </row>
    <row r="1167" spans="4:4" x14ac:dyDescent="0.25">
      <c r="D1167" s="29"/>
    </row>
    <row r="1168" spans="4:4" x14ac:dyDescent="0.25">
      <c r="D1168" s="29"/>
    </row>
    <row r="1169" spans="4:4" x14ac:dyDescent="0.25">
      <c r="D1169" s="29"/>
    </row>
    <row r="1170" spans="4:4" x14ac:dyDescent="0.25">
      <c r="D1170" s="29"/>
    </row>
    <row r="1171" spans="4:4" x14ac:dyDescent="0.25">
      <c r="D1171" s="29"/>
    </row>
    <row r="1172" spans="4:4" x14ac:dyDescent="0.25">
      <c r="D1172" s="29"/>
    </row>
    <row r="1173" spans="4:4" x14ac:dyDescent="0.25">
      <c r="D1173" s="29"/>
    </row>
    <row r="1174" spans="4:4" x14ac:dyDescent="0.25">
      <c r="D1174" s="29"/>
    </row>
    <row r="1175" spans="4:4" x14ac:dyDescent="0.25">
      <c r="D1175" s="29"/>
    </row>
    <row r="1176" spans="4:4" x14ac:dyDescent="0.25">
      <c r="D1176" s="29"/>
    </row>
    <row r="1177" spans="4:4" x14ac:dyDescent="0.25">
      <c r="D1177" s="29"/>
    </row>
    <row r="1178" spans="4:4" x14ac:dyDescent="0.25">
      <c r="D1178" s="29"/>
    </row>
    <row r="1179" spans="4:4" x14ac:dyDescent="0.25">
      <c r="D1179" s="29"/>
    </row>
    <row r="1180" spans="4:4" x14ac:dyDescent="0.25">
      <c r="D1180" s="29"/>
    </row>
    <row r="1181" spans="4:4" x14ac:dyDescent="0.25">
      <c r="D1181" s="29"/>
    </row>
    <row r="1182" spans="4:4" x14ac:dyDescent="0.25">
      <c r="D1182" s="29"/>
    </row>
    <row r="1183" spans="4:4" x14ac:dyDescent="0.25">
      <c r="D1183" s="29"/>
    </row>
    <row r="1184" spans="4:4" x14ac:dyDescent="0.25">
      <c r="D1184" s="29"/>
    </row>
    <row r="1185" spans="4:4" x14ac:dyDescent="0.25">
      <c r="D1185" s="29"/>
    </row>
    <row r="1186" spans="4:4" x14ac:dyDescent="0.25">
      <c r="D1186" s="29"/>
    </row>
    <row r="1187" spans="4:4" x14ac:dyDescent="0.25">
      <c r="D1187" s="29"/>
    </row>
    <row r="1188" spans="4:4" x14ac:dyDescent="0.25">
      <c r="D1188" s="29"/>
    </row>
    <row r="1189" spans="4:4" x14ac:dyDescent="0.25">
      <c r="D1189" s="29"/>
    </row>
    <row r="1190" spans="4:4" x14ac:dyDescent="0.25">
      <c r="D1190" s="29"/>
    </row>
    <row r="1191" spans="4:4" x14ac:dyDescent="0.25">
      <c r="D1191" s="29"/>
    </row>
    <row r="1192" spans="4:4" x14ac:dyDescent="0.25">
      <c r="D1192" s="29"/>
    </row>
    <row r="1193" spans="4:4" x14ac:dyDescent="0.25">
      <c r="D1193" s="29"/>
    </row>
    <row r="1194" spans="4:4" x14ac:dyDescent="0.25">
      <c r="D1194" s="29"/>
    </row>
    <row r="1195" spans="4:4" x14ac:dyDescent="0.25">
      <c r="D1195" s="29"/>
    </row>
    <row r="1196" spans="4:4" x14ac:dyDescent="0.25">
      <c r="D1196" s="29"/>
    </row>
    <row r="1197" spans="4:4" x14ac:dyDescent="0.25">
      <c r="D1197" s="29"/>
    </row>
    <row r="1198" spans="4:4" x14ac:dyDescent="0.25">
      <c r="D1198" s="29"/>
    </row>
    <row r="1199" spans="4:4" x14ac:dyDescent="0.25">
      <c r="D1199" s="29"/>
    </row>
    <row r="1200" spans="4:4" x14ac:dyDescent="0.25">
      <c r="D1200" s="29"/>
    </row>
    <row r="1201" spans="4:4" x14ac:dyDescent="0.25">
      <c r="D1201" s="29"/>
    </row>
    <row r="1202" spans="4:4" x14ac:dyDescent="0.25">
      <c r="D1202" s="29"/>
    </row>
    <row r="1203" spans="4:4" x14ac:dyDescent="0.25">
      <c r="D1203" s="29"/>
    </row>
    <row r="1204" spans="4:4" x14ac:dyDescent="0.25">
      <c r="D1204" s="29"/>
    </row>
    <row r="1205" spans="4:4" x14ac:dyDescent="0.25">
      <c r="D1205" s="29"/>
    </row>
    <row r="1206" spans="4:4" x14ac:dyDescent="0.25">
      <c r="D1206" s="29"/>
    </row>
    <row r="1207" spans="4:4" x14ac:dyDescent="0.25">
      <c r="D1207" s="29"/>
    </row>
    <row r="1208" spans="4:4" x14ac:dyDescent="0.25">
      <c r="D1208" s="29"/>
    </row>
    <row r="1209" spans="4:4" x14ac:dyDescent="0.25">
      <c r="D1209" s="29"/>
    </row>
    <row r="1210" spans="4:4" x14ac:dyDescent="0.25">
      <c r="D1210" s="29"/>
    </row>
    <row r="1211" spans="4:4" x14ac:dyDescent="0.25">
      <c r="D1211" s="29"/>
    </row>
    <row r="1212" spans="4:4" x14ac:dyDescent="0.25">
      <c r="D1212" s="29"/>
    </row>
    <row r="1213" spans="4:4" x14ac:dyDescent="0.25">
      <c r="D1213" s="29"/>
    </row>
    <row r="1214" spans="4:4" x14ac:dyDescent="0.25">
      <c r="D1214" s="29"/>
    </row>
    <row r="1215" spans="4:4" x14ac:dyDescent="0.25">
      <c r="D1215" s="29"/>
    </row>
    <row r="1216" spans="4:4" x14ac:dyDescent="0.25">
      <c r="D1216" s="29"/>
    </row>
    <row r="1217" spans="4:4" x14ac:dyDescent="0.25">
      <c r="D1217" s="29"/>
    </row>
    <row r="1218" spans="4:4" x14ac:dyDescent="0.25">
      <c r="D1218" s="29"/>
    </row>
    <row r="1219" spans="4:4" x14ac:dyDescent="0.25">
      <c r="D1219" s="29"/>
    </row>
    <row r="1220" spans="4:4" x14ac:dyDescent="0.25">
      <c r="D1220" s="29"/>
    </row>
    <row r="1221" spans="4:4" x14ac:dyDescent="0.25">
      <c r="D1221" s="29"/>
    </row>
    <row r="1222" spans="4:4" x14ac:dyDescent="0.25">
      <c r="D1222" s="29"/>
    </row>
    <row r="1223" spans="4:4" x14ac:dyDescent="0.25">
      <c r="D1223" s="29"/>
    </row>
    <row r="1224" spans="4:4" x14ac:dyDescent="0.25">
      <c r="D1224" s="29"/>
    </row>
    <row r="1225" spans="4:4" x14ac:dyDescent="0.25">
      <c r="D1225" s="29"/>
    </row>
    <row r="1226" spans="4:4" x14ac:dyDescent="0.25">
      <c r="D1226" s="29"/>
    </row>
    <row r="1227" spans="4:4" x14ac:dyDescent="0.25">
      <c r="D1227" s="29"/>
    </row>
    <row r="1228" spans="4:4" x14ac:dyDescent="0.25">
      <c r="D1228" s="29"/>
    </row>
    <row r="1229" spans="4:4" x14ac:dyDescent="0.25">
      <c r="D1229" s="29"/>
    </row>
    <row r="1230" spans="4:4" x14ac:dyDescent="0.25">
      <c r="D1230" s="29"/>
    </row>
    <row r="1231" spans="4:4" x14ac:dyDescent="0.25">
      <c r="D1231" s="29"/>
    </row>
    <row r="1232" spans="4:4" x14ac:dyDescent="0.25">
      <c r="D1232" s="29"/>
    </row>
    <row r="1233" spans="4:4" x14ac:dyDescent="0.25">
      <c r="D1233" s="29"/>
    </row>
    <row r="1234" spans="4:4" x14ac:dyDescent="0.25">
      <c r="D1234" s="29"/>
    </row>
    <row r="1235" spans="4:4" x14ac:dyDescent="0.25">
      <c r="D1235" s="29"/>
    </row>
    <row r="1236" spans="4:4" x14ac:dyDescent="0.25">
      <c r="D1236" s="29"/>
    </row>
    <row r="1237" spans="4:4" x14ac:dyDescent="0.25">
      <c r="D1237" s="29"/>
    </row>
    <row r="1238" spans="4:4" x14ac:dyDescent="0.25">
      <c r="D1238" s="29"/>
    </row>
    <row r="1239" spans="4:4" x14ac:dyDescent="0.25">
      <c r="D1239" s="29"/>
    </row>
    <row r="1240" spans="4:4" x14ac:dyDescent="0.25">
      <c r="D1240" s="29"/>
    </row>
    <row r="1241" spans="4:4" x14ac:dyDescent="0.25">
      <c r="D1241" s="29"/>
    </row>
    <row r="1242" spans="4:4" x14ac:dyDescent="0.25">
      <c r="D1242" s="29"/>
    </row>
    <row r="1243" spans="4:4" x14ac:dyDescent="0.25">
      <c r="D1243" s="29"/>
    </row>
    <row r="1244" spans="4:4" x14ac:dyDescent="0.25">
      <c r="D1244" s="29"/>
    </row>
    <row r="1245" spans="4:4" x14ac:dyDescent="0.25">
      <c r="D1245" s="29"/>
    </row>
    <row r="1246" spans="4:4" x14ac:dyDescent="0.25">
      <c r="D1246" s="29"/>
    </row>
    <row r="1247" spans="4:4" x14ac:dyDescent="0.25">
      <c r="D1247" s="29"/>
    </row>
    <row r="1248" spans="4:4" x14ac:dyDescent="0.25">
      <c r="D1248" s="29"/>
    </row>
    <row r="1249" spans="4:4" x14ac:dyDescent="0.25">
      <c r="D1249" s="29"/>
    </row>
    <row r="1250" spans="4:4" x14ac:dyDescent="0.25">
      <c r="D1250" s="29"/>
    </row>
    <row r="1251" spans="4:4" x14ac:dyDescent="0.25">
      <c r="D1251" s="29"/>
    </row>
    <row r="1252" spans="4:4" x14ac:dyDescent="0.25">
      <c r="D1252" s="29"/>
    </row>
    <row r="1253" spans="4:4" x14ac:dyDescent="0.25">
      <c r="D1253" s="29"/>
    </row>
    <row r="1254" spans="4:4" x14ac:dyDescent="0.25">
      <c r="D1254" s="29"/>
    </row>
    <row r="1255" spans="4:4" x14ac:dyDescent="0.25">
      <c r="D1255" s="29"/>
    </row>
    <row r="1256" spans="4:4" x14ac:dyDescent="0.25">
      <c r="D1256" s="29"/>
    </row>
    <row r="1257" spans="4:4" x14ac:dyDescent="0.25">
      <c r="D1257" s="29"/>
    </row>
    <row r="1258" spans="4:4" x14ac:dyDescent="0.25">
      <c r="D1258" s="29"/>
    </row>
    <row r="1259" spans="4:4" x14ac:dyDescent="0.25">
      <c r="D1259" s="29"/>
    </row>
    <row r="1260" spans="4:4" x14ac:dyDescent="0.25">
      <c r="D1260" s="29"/>
    </row>
    <row r="1261" spans="4:4" x14ac:dyDescent="0.25">
      <c r="D1261" s="29"/>
    </row>
    <row r="1262" spans="4:4" x14ac:dyDescent="0.25">
      <c r="D1262" s="29"/>
    </row>
    <row r="1263" spans="4:4" x14ac:dyDescent="0.25">
      <c r="D1263" s="29"/>
    </row>
    <row r="1264" spans="4:4" x14ac:dyDescent="0.25">
      <c r="D1264" s="29"/>
    </row>
    <row r="1265" spans="4:4" x14ac:dyDescent="0.25">
      <c r="D1265" s="29"/>
    </row>
    <row r="1266" spans="4:4" x14ac:dyDescent="0.25">
      <c r="D1266" s="29"/>
    </row>
    <row r="1267" spans="4:4" x14ac:dyDescent="0.25">
      <c r="D1267" s="29"/>
    </row>
    <row r="1268" spans="4:4" x14ac:dyDescent="0.25">
      <c r="D1268" s="29"/>
    </row>
    <row r="1269" spans="4:4" x14ac:dyDescent="0.25">
      <c r="D1269" s="29"/>
    </row>
    <row r="1270" spans="4:4" x14ac:dyDescent="0.25">
      <c r="D1270" s="29"/>
    </row>
    <row r="1271" spans="4:4" x14ac:dyDescent="0.25">
      <c r="D1271" s="29"/>
    </row>
    <row r="1272" spans="4:4" x14ac:dyDescent="0.25">
      <c r="D1272" s="29"/>
    </row>
    <row r="1273" spans="4:4" x14ac:dyDescent="0.25">
      <c r="D1273" s="29"/>
    </row>
    <row r="1274" spans="4:4" x14ac:dyDescent="0.25">
      <c r="D1274" s="29"/>
    </row>
    <row r="1275" spans="4:4" x14ac:dyDescent="0.25">
      <c r="D1275" s="29"/>
    </row>
    <row r="1276" spans="4:4" x14ac:dyDescent="0.25">
      <c r="D1276" s="29"/>
    </row>
    <row r="1277" spans="4:4" x14ac:dyDescent="0.25">
      <c r="D1277" s="29"/>
    </row>
    <row r="1278" spans="4:4" x14ac:dyDescent="0.25">
      <c r="D1278" s="29"/>
    </row>
    <row r="1279" spans="4:4" x14ac:dyDescent="0.25">
      <c r="D1279" s="29"/>
    </row>
    <row r="1280" spans="4:4" x14ac:dyDescent="0.25">
      <c r="D1280" s="29"/>
    </row>
    <row r="1281" spans="4:4" x14ac:dyDescent="0.25">
      <c r="D1281" s="29"/>
    </row>
    <row r="1282" spans="4:4" x14ac:dyDescent="0.25">
      <c r="D1282" s="29"/>
    </row>
    <row r="1283" spans="4:4" x14ac:dyDescent="0.25">
      <c r="D1283" s="29"/>
    </row>
    <row r="1284" spans="4:4" x14ac:dyDescent="0.25">
      <c r="D1284" s="29"/>
    </row>
    <row r="1285" spans="4:4" x14ac:dyDescent="0.25">
      <c r="D1285" s="29"/>
    </row>
    <row r="1286" spans="4:4" x14ac:dyDescent="0.25">
      <c r="D1286" s="29"/>
    </row>
    <row r="1287" spans="4:4" x14ac:dyDescent="0.25">
      <c r="D1287" s="29"/>
    </row>
    <row r="1288" spans="4:4" x14ac:dyDescent="0.25">
      <c r="D1288" s="29"/>
    </row>
    <row r="1289" spans="4:4" x14ac:dyDescent="0.25">
      <c r="D1289" s="29"/>
    </row>
    <row r="1290" spans="4:4" x14ac:dyDescent="0.25">
      <c r="D1290" s="29"/>
    </row>
    <row r="1291" spans="4:4" x14ac:dyDescent="0.25">
      <c r="D1291" s="29"/>
    </row>
    <row r="1292" spans="4:4" x14ac:dyDescent="0.25">
      <c r="D1292" s="29"/>
    </row>
    <row r="1293" spans="4:4" x14ac:dyDescent="0.25">
      <c r="D1293" s="29"/>
    </row>
    <row r="1294" spans="4:4" x14ac:dyDescent="0.25">
      <c r="D1294" s="29"/>
    </row>
    <row r="1295" spans="4:4" x14ac:dyDescent="0.25">
      <c r="D1295" s="29"/>
    </row>
    <row r="1296" spans="4:4" x14ac:dyDescent="0.25">
      <c r="D1296" s="29"/>
    </row>
    <row r="1297" spans="4:4" x14ac:dyDescent="0.25">
      <c r="D1297" s="29"/>
    </row>
    <row r="1298" spans="4:4" x14ac:dyDescent="0.25">
      <c r="D1298" s="29"/>
    </row>
    <row r="1299" spans="4:4" x14ac:dyDescent="0.25">
      <c r="D1299" s="29"/>
    </row>
    <row r="1300" spans="4:4" x14ac:dyDescent="0.25">
      <c r="D1300" s="29"/>
    </row>
    <row r="1301" spans="4:4" x14ac:dyDescent="0.25">
      <c r="D1301" s="29"/>
    </row>
    <row r="1302" spans="4:4" x14ac:dyDescent="0.25">
      <c r="D1302" s="29"/>
    </row>
    <row r="1303" spans="4:4" x14ac:dyDescent="0.25">
      <c r="D1303" s="29"/>
    </row>
    <row r="1304" spans="4:4" x14ac:dyDescent="0.25">
      <c r="D1304" s="29"/>
    </row>
    <row r="1305" spans="4:4" x14ac:dyDescent="0.25">
      <c r="D1305" s="29"/>
    </row>
    <row r="1306" spans="4:4" x14ac:dyDescent="0.25">
      <c r="D1306" s="29"/>
    </row>
    <row r="1307" spans="4:4" x14ac:dyDescent="0.25">
      <c r="D1307" s="29"/>
    </row>
    <row r="1308" spans="4:4" x14ac:dyDescent="0.25">
      <c r="D1308" s="29"/>
    </row>
    <row r="1309" spans="4:4" x14ac:dyDescent="0.25">
      <c r="D1309" s="29"/>
    </row>
    <row r="1310" spans="4:4" x14ac:dyDescent="0.25">
      <c r="D1310" s="29"/>
    </row>
    <row r="1311" spans="4:4" x14ac:dyDescent="0.25">
      <c r="D1311" s="29"/>
    </row>
    <row r="1312" spans="4:4" x14ac:dyDescent="0.25">
      <c r="D1312" s="29"/>
    </row>
    <row r="1313" spans="4:4" x14ac:dyDescent="0.25">
      <c r="D1313" s="29"/>
    </row>
    <row r="1314" spans="4:4" x14ac:dyDescent="0.25">
      <c r="D1314" s="29"/>
    </row>
    <row r="1315" spans="4:4" x14ac:dyDescent="0.25">
      <c r="D1315" s="29"/>
    </row>
    <row r="1316" spans="4:4" x14ac:dyDescent="0.25">
      <c r="D1316" s="29"/>
    </row>
    <row r="1317" spans="4:4" x14ac:dyDescent="0.25">
      <c r="D1317" s="29"/>
    </row>
    <row r="1318" spans="4:4" x14ac:dyDescent="0.25">
      <c r="D1318" s="29"/>
    </row>
    <row r="1319" spans="4:4" x14ac:dyDescent="0.25">
      <c r="D1319" s="29"/>
    </row>
    <row r="1320" spans="4:4" x14ac:dyDescent="0.25">
      <c r="D1320" s="29"/>
    </row>
    <row r="1321" spans="4:4" x14ac:dyDescent="0.25">
      <c r="D1321" s="29"/>
    </row>
    <row r="1322" spans="4:4" x14ac:dyDescent="0.25">
      <c r="D1322" s="29"/>
    </row>
    <row r="1323" spans="4:4" x14ac:dyDescent="0.25">
      <c r="D1323" s="29"/>
    </row>
    <row r="1324" spans="4:4" x14ac:dyDescent="0.25">
      <c r="D1324" s="29"/>
    </row>
    <row r="1325" spans="4:4" x14ac:dyDescent="0.25">
      <c r="D1325" s="29"/>
    </row>
    <row r="1326" spans="4:4" x14ac:dyDescent="0.25">
      <c r="D1326" s="29"/>
    </row>
    <row r="1327" spans="4:4" x14ac:dyDescent="0.25">
      <c r="D1327" s="29"/>
    </row>
    <row r="1328" spans="4:4" x14ac:dyDescent="0.25">
      <c r="D1328" s="29"/>
    </row>
    <row r="1329" spans="4:4" x14ac:dyDescent="0.25">
      <c r="D1329" s="29"/>
    </row>
    <row r="1330" spans="4:4" x14ac:dyDescent="0.25">
      <c r="D1330" s="29"/>
    </row>
    <row r="1331" spans="4:4" x14ac:dyDescent="0.25">
      <c r="D1331" s="29"/>
    </row>
    <row r="1332" spans="4:4" x14ac:dyDescent="0.25">
      <c r="D1332" s="29"/>
    </row>
    <row r="1333" spans="4:4" x14ac:dyDescent="0.25">
      <c r="D1333" s="29"/>
    </row>
    <row r="1334" spans="4:4" x14ac:dyDescent="0.25">
      <c r="D1334" s="29"/>
    </row>
    <row r="1335" spans="4:4" x14ac:dyDescent="0.25">
      <c r="D1335" s="29"/>
    </row>
    <row r="1336" spans="4:4" x14ac:dyDescent="0.25">
      <c r="D1336" s="29"/>
    </row>
    <row r="1337" spans="4:4" x14ac:dyDescent="0.25">
      <c r="D1337" s="29"/>
    </row>
    <row r="1338" spans="4:4" x14ac:dyDescent="0.25">
      <c r="D1338" s="29"/>
    </row>
    <row r="1339" spans="4:4" x14ac:dyDescent="0.25">
      <c r="D1339" s="29"/>
    </row>
    <row r="1340" spans="4:4" x14ac:dyDescent="0.25">
      <c r="D1340" s="29"/>
    </row>
    <row r="1341" spans="4:4" x14ac:dyDescent="0.25">
      <c r="D1341" s="29"/>
    </row>
    <row r="1342" spans="4:4" x14ac:dyDescent="0.25">
      <c r="D1342" s="29"/>
    </row>
    <row r="1343" spans="4:4" x14ac:dyDescent="0.25">
      <c r="D1343" s="29"/>
    </row>
    <row r="1344" spans="4:4" x14ac:dyDescent="0.25">
      <c r="D1344" s="29"/>
    </row>
    <row r="1345" spans="4:4" x14ac:dyDescent="0.25">
      <c r="D1345" s="29"/>
    </row>
    <row r="1346" spans="4:4" x14ac:dyDescent="0.25">
      <c r="D1346" s="29"/>
    </row>
    <row r="1347" spans="4:4" x14ac:dyDescent="0.25">
      <c r="D1347" s="29"/>
    </row>
    <row r="1348" spans="4:4" x14ac:dyDescent="0.25">
      <c r="D1348" s="29"/>
    </row>
    <row r="1349" spans="4:4" x14ac:dyDescent="0.25">
      <c r="D1349" s="29"/>
    </row>
    <row r="1350" spans="4:4" x14ac:dyDescent="0.25">
      <c r="D1350" s="29"/>
    </row>
    <row r="1351" spans="4:4" x14ac:dyDescent="0.25">
      <c r="D1351" s="29"/>
    </row>
    <row r="1352" spans="4:4" x14ac:dyDescent="0.25">
      <c r="D1352" s="29"/>
    </row>
    <row r="1353" spans="4:4" x14ac:dyDescent="0.25">
      <c r="D1353" s="29"/>
    </row>
    <row r="1354" spans="4:4" x14ac:dyDescent="0.25">
      <c r="D1354" s="29"/>
    </row>
    <row r="1355" spans="4:4" x14ac:dyDescent="0.25">
      <c r="D1355" s="29"/>
    </row>
    <row r="1356" spans="4:4" x14ac:dyDescent="0.25">
      <c r="D1356" s="29"/>
    </row>
    <row r="1357" spans="4:4" x14ac:dyDescent="0.25">
      <c r="D1357" s="29"/>
    </row>
    <row r="1358" spans="4:4" x14ac:dyDescent="0.25">
      <c r="D1358" s="29"/>
    </row>
    <row r="1359" spans="4:4" x14ac:dyDescent="0.25">
      <c r="D1359" s="29"/>
    </row>
    <row r="1360" spans="4:4" x14ac:dyDescent="0.25">
      <c r="D1360" s="29"/>
    </row>
    <row r="1361" spans="4:4" x14ac:dyDescent="0.25">
      <c r="D1361" s="29"/>
    </row>
    <row r="1362" spans="4:4" x14ac:dyDescent="0.25">
      <c r="D1362" s="29"/>
    </row>
    <row r="1363" spans="4:4" x14ac:dyDescent="0.25">
      <c r="D1363" s="29"/>
    </row>
    <row r="1364" spans="4:4" x14ac:dyDescent="0.25">
      <c r="D1364" s="29"/>
    </row>
    <row r="1365" spans="4:4" x14ac:dyDescent="0.25">
      <c r="D1365" s="29"/>
    </row>
    <row r="1366" spans="4:4" x14ac:dyDescent="0.25">
      <c r="D1366" s="29"/>
    </row>
    <row r="1367" spans="4:4" x14ac:dyDescent="0.25">
      <c r="D1367" s="29"/>
    </row>
    <row r="1368" spans="4:4" x14ac:dyDescent="0.25">
      <c r="D1368" s="29"/>
    </row>
    <row r="1369" spans="4:4" x14ac:dyDescent="0.25">
      <c r="D1369" s="29"/>
    </row>
    <row r="1370" spans="4:4" x14ac:dyDescent="0.25">
      <c r="D1370" s="29"/>
    </row>
    <row r="1371" spans="4:4" x14ac:dyDescent="0.25">
      <c r="D1371" s="29"/>
    </row>
    <row r="1372" spans="4:4" x14ac:dyDescent="0.25">
      <c r="D1372" s="29"/>
    </row>
    <row r="1373" spans="4:4" x14ac:dyDescent="0.25">
      <c r="D1373" s="29"/>
    </row>
    <row r="1374" spans="4:4" x14ac:dyDescent="0.25">
      <c r="D1374" s="29"/>
    </row>
    <row r="1375" spans="4:4" x14ac:dyDescent="0.25">
      <c r="D1375" s="29"/>
    </row>
    <row r="1376" spans="4:4" x14ac:dyDescent="0.25">
      <c r="D1376" s="29"/>
    </row>
    <row r="1377" spans="4:4" x14ac:dyDescent="0.25">
      <c r="D1377" s="29"/>
    </row>
    <row r="1378" spans="4:4" x14ac:dyDescent="0.25">
      <c r="D1378" s="29"/>
    </row>
    <row r="1379" spans="4:4" x14ac:dyDescent="0.25">
      <c r="D1379" s="29"/>
    </row>
    <row r="1380" spans="4:4" x14ac:dyDescent="0.25">
      <c r="D1380" s="29"/>
    </row>
    <row r="1381" spans="4:4" x14ac:dyDescent="0.25">
      <c r="D1381" s="29"/>
    </row>
    <row r="1382" spans="4:4" x14ac:dyDescent="0.25">
      <c r="D1382" s="29"/>
    </row>
    <row r="1383" spans="4:4" x14ac:dyDescent="0.25">
      <c r="D1383" s="29"/>
    </row>
    <row r="1384" spans="4:4" x14ac:dyDescent="0.25">
      <c r="D1384" s="29"/>
    </row>
    <row r="1385" spans="4:4" x14ac:dyDescent="0.25">
      <c r="D1385" s="29"/>
    </row>
    <row r="1386" spans="4:4" x14ac:dyDescent="0.25">
      <c r="D1386" s="29"/>
    </row>
    <row r="1387" spans="4:4" x14ac:dyDescent="0.25">
      <c r="D1387" s="29"/>
    </row>
    <row r="1388" spans="4:4" x14ac:dyDescent="0.25">
      <c r="D1388" s="29"/>
    </row>
    <row r="1389" spans="4:4" x14ac:dyDescent="0.25">
      <c r="D1389" s="29"/>
    </row>
    <row r="1390" spans="4:4" x14ac:dyDescent="0.25">
      <c r="D1390" s="29"/>
    </row>
    <row r="1391" spans="4:4" x14ac:dyDescent="0.25">
      <c r="D1391" s="29"/>
    </row>
    <row r="1392" spans="4:4" x14ac:dyDescent="0.25">
      <c r="D1392" s="29"/>
    </row>
    <row r="1393" spans="4:4" x14ac:dyDescent="0.25">
      <c r="D1393" s="29"/>
    </row>
    <row r="1394" spans="4:4" x14ac:dyDescent="0.25">
      <c r="D1394" s="29"/>
    </row>
    <row r="1395" spans="4:4" x14ac:dyDescent="0.25">
      <c r="D1395" s="29"/>
    </row>
    <row r="1396" spans="4:4" x14ac:dyDescent="0.25">
      <c r="D1396" s="29"/>
    </row>
    <row r="1397" spans="4:4" x14ac:dyDescent="0.25">
      <c r="D1397" s="29"/>
    </row>
    <row r="1398" spans="4:4" x14ac:dyDescent="0.25">
      <c r="D1398" s="29"/>
    </row>
    <row r="1399" spans="4:4" x14ac:dyDescent="0.25">
      <c r="D1399" s="29"/>
    </row>
    <row r="1400" spans="4:4" x14ac:dyDescent="0.25">
      <c r="D1400" s="29"/>
    </row>
    <row r="1401" spans="4:4" x14ac:dyDescent="0.25">
      <c r="D1401" s="29"/>
    </row>
    <row r="1402" spans="4:4" x14ac:dyDescent="0.25">
      <c r="D1402" s="29"/>
    </row>
    <row r="1403" spans="4:4" x14ac:dyDescent="0.25">
      <c r="D1403" s="29"/>
    </row>
    <row r="1404" spans="4:4" x14ac:dyDescent="0.25">
      <c r="D1404" s="29"/>
    </row>
    <row r="1405" spans="4:4" x14ac:dyDescent="0.25">
      <c r="D1405" s="29"/>
    </row>
    <row r="1406" spans="4:4" x14ac:dyDescent="0.25">
      <c r="D1406" s="29"/>
    </row>
    <row r="1407" spans="4:4" x14ac:dyDescent="0.25">
      <c r="D1407" s="29"/>
    </row>
    <row r="1408" spans="4:4" x14ac:dyDescent="0.25">
      <c r="D1408" s="29"/>
    </row>
    <row r="1409" spans="4:4" x14ac:dyDescent="0.25">
      <c r="D1409" s="29"/>
    </row>
    <row r="1410" spans="4:4" x14ac:dyDescent="0.25">
      <c r="D1410" s="29"/>
    </row>
    <row r="1411" spans="4:4" x14ac:dyDescent="0.25">
      <c r="D1411" s="29"/>
    </row>
    <row r="1412" spans="4:4" x14ac:dyDescent="0.25">
      <c r="D1412" s="29"/>
    </row>
    <row r="1413" spans="4:4" x14ac:dyDescent="0.25">
      <c r="D1413" s="29"/>
    </row>
    <row r="1414" spans="4:4" x14ac:dyDescent="0.25">
      <c r="D1414" s="29"/>
    </row>
    <row r="1415" spans="4:4" x14ac:dyDescent="0.25">
      <c r="D1415" s="29"/>
    </row>
    <row r="1416" spans="4:4" x14ac:dyDescent="0.25">
      <c r="D1416" s="29"/>
    </row>
    <row r="1417" spans="4:4" x14ac:dyDescent="0.25">
      <c r="D1417" s="29"/>
    </row>
    <row r="1418" spans="4:4" x14ac:dyDescent="0.25">
      <c r="D1418" s="29"/>
    </row>
    <row r="1419" spans="4:4" x14ac:dyDescent="0.25">
      <c r="D1419" s="29"/>
    </row>
    <row r="1420" spans="4:4" x14ac:dyDescent="0.25">
      <c r="D1420" s="29"/>
    </row>
    <row r="1421" spans="4:4" x14ac:dyDescent="0.25">
      <c r="D1421" s="29"/>
    </row>
    <row r="1422" spans="4:4" x14ac:dyDescent="0.25">
      <c r="D1422" s="29"/>
    </row>
    <row r="1423" spans="4:4" x14ac:dyDescent="0.25">
      <c r="D1423" s="29"/>
    </row>
    <row r="1424" spans="4:4" x14ac:dyDescent="0.25">
      <c r="D1424" s="29"/>
    </row>
    <row r="1425" spans="4:4" x14ac:dyDescent="0.25">
      <c r="D1425" s="29"/>
    </row>
    <row r="1426" spans="4:4" x14ac:dyDescent="0.25">
      <c r="D1426" s="29"/>
    </row>
    <row r="1427" spans="4:4" x14ac:dyDescent="0.25">
      <c r="D1427" s="29"/>
    </row>
    <row r="1428" spans="4:4" x14ac:dyDescent="0.25">
      <c r="D1428" s="29"/>
    </row>
    <row r="1429" spans="4:4" x14ac:dyDescent="0.25">
      <c r="D1429" s="29"/>
    </row>
    <row r="1430" spans="4:4" x14ac:dyDescent="0.25">
      <c r="D1430" s="29"/>
    </row>
    <row r="1431" spans="4:4" x14ac:dyDescent="0.25">
      <c r="D1431" s="29"/>
    </row>
    <row r="1432" spans="4:4" x14ac:dyDescent="0.25">
      <c r="D1432" s="29"/>
    </row>
    <row r="1433" spans="4:4" x14ac:dyDescent="0.25">
      <c r="D1433" s="29"/>
    </row>
    <row r="1434" spans="4:4" x14ac:dyDescent="0.25">
      <c r="D1434" s="29"/>
    </row>
    <row r="1435" spans="4:4" x14ac:dyDescent="0.25">
      <c r="D1435" s="29"/>
    </row>
    <row r="1436" spans="4:4" x14ac:dyDescent="0.25">
      <c r="D1436" s="29"/>
    </row>
    <row r="1437" spans="4:4" x14ac:dyDescent="0.25">
      <c r="D1437" s="29"/>
    </row>
    <row r="1438" spans="4:4" x14ac:dyDescent="0.25">
      <c r="D1438" s="29"/>
    </row>
    <row r="1439" spans="4:4" x14ac:dyDescent="0.25">
      <c r="D1439" s="29"/>
    </row>
    <row r="1440" spans="4:4" x14ac:dyDescent="0.25">
      <c r="D1440" s="29"/>
    </row>
    <row r="1441" spans="4:4" x14ac:dyDescent="0.25">
      <c r="D1441" s="29"/>
    </row>
    <row r="1442" spans="4:4" x14ac:dyDescent="0.25">
      <c r="D1442" s="29"/>
    </row>
    <row r="1443" spans="4:4" x14ac:dyDescent="0.25">
      <c r="D1443" s="29"/>
    </row>
    <row r="1444" spans="4:4" x14ac:dyDescent="0.25">
      <c r="D1444" s="29"/>
    </row>
    <row r="1445" spans="4:4" x14ac:dyDescent="0.25">
      <c r="D1445" s="29"/>
    </row>
    <row r="1446" spans="4:4" x14ac:dyDescent="0.25">
      <c r="D1446" s="29"/>
    </row>
    <row r="1447" spans="4:4" x14ac:dyDescent="0.25">
      <c r="D1447" s="29"/>
    </row>
    <row r="1448" spans="4:4" x14ac:dyDescent="0.25">
      <c r="D1448" s="29"/>
    </row>
    <row r="1449" spans="4:4" x14ac:dyDescent="0.25">
      <c r="D1449" s="29"/>
    </row>
    <row r="1450" spans="4:4" x14ac:dyDescent="0.25">
      <c r="D1450" s="29"/>
    </row>
    <row r="1451" spans="4:4" x14ac:dyDescent="0.25">
      <c r="D1451" s="29"/>
    </row>
    <row r="1452" spans="4:4" x14ac:dyDescent="0.25">
      <c r="D1452" s="29"/>
    </row>
    <row r="1453" spans="4:4" x14ac:dyDescent="0.25">
      <c r="D1453" s="29"/>
    </row>
    <row r="1454" spans="4:4" x14ac:dyDescent="0.25">
      <c r="D1454" s="29"/>
    </row>
    <row r="1455" spans="4:4" x14ac:dyDescent="0.25">
      <c r="D1455" s="29"/>
    </row>
    <row r="1456" spans="4:4" x14ac:dyDescent="0.25">
      <c r="D1456" s="29"/>
    </row>
    <row r="1457" spans="4:4" x14ac:dyDescent="0.25">
      <c r="D1457" s="29"/>
    </row>
    <row r="1458" spans="4:4" x14ac:dyDescent="0.25">
      <c r="D1458" s="29"/>
    </row>
    <row r="1459" spans="4:4" x14ac:dyDescent="0.25">
      <c r="D1459" s="29"/>
    </row>
    <row r="1460" spans="4:4" x14ac:dyDescent="0.25">
      <c r="D1460" s="29"/>
    </row>
    <row r="1461" spans="4:4" x14ac:dyDescent="0.25">
      <c r="D1461" s="29"/>
    </row>
    <row r="1462" spans="4:4" x14ac:dyDescent="0.25">
      <c r="D1462" s="29"/>
    </row>
    <row r="1463" spans="4:4" x14ac:dyDescent="0.25">
      <c r="D1463" s="29"/>
    </row>
    <row r="1464" spans="4:4" x14ac:dyDescent="0.25">
      <c r="D1464" s="29"/>
    </row>
    <row r="1465" spans="4:4" x14ac:dyDescent="0.25">
      <c r="D1465" s="29"/>
    </row>
    <row r="1466" spans="4:4" x14ac:dyDescent="0.25">
      <c r="D1466" s="29"/>
    </row>
    <row r="1467" spans="4:4" x14ac:dyDescent="0.25">
      <c r="D1467" s="29"/>
    </row>
    <row r="1468" spans="4:4" x14ac:dyDescent="0.25">
      <c r="D1468" s="29"/>
    </row>
    <row r="1469" spans="4:4" x14ac:dyDescent="0.25">
      <c r="D1469" s="29"/>
    </row>
    <row r="1470" spans="4:4" x14ac:dyDescent="0.25">
      <c r="D1470" s="29"/>
    </row>
    <row r="1471" spans="4:4" x14ac:dyDescent="0.25">
      <c r="D1471" s="29"/>
    </row>
    <row r="1472" spans="4:4" x14ac:dyDescent="0.25">
      <c r="D1472" s="29"/>
    </row>
    <row r="1473" spans="4:4" x14ac:dyDescent="0.25">
      <c r="D1473" s="29"/>
    </row>
    <row r="1474" spans="4:4" x14ac:dyDescent="0.25">
      <c r="D1474" s="29"/>
    </row>
    <row r="1475" spans="4:4" x14ac:dyDescent="0.25">
      <c r="D1475" s="29"/>
    </row>
    <row r="1476" spans="4:4" x14ac:dyDescent="0.25">
      <c r="D1476" s="29"/>
    </row>
    <row r="1477" spans="4:4" x14ac:dyDescent="0.25">
      <c r="D1477" s="29"/>
    </row>
    <row r="1478" spans="4:4" x14ac:dyDescent="0.25">
      <c r="D1478" s="29"/>
    </row>
    <row r="1479" spans="4:4" x14ac:dyDescent="0.25">
      <c r="D1479" s="29"/>
    </row>
    <row r="1480" spans="4:4" x14ac:dyDescent="0.25">
      <c r="D1480" s="29"/>
    </row>
    <row r="1481" spans="4:4" x14ac:dyDescent="0.25">
      <c r="D1481" s="29"/>
    </row>
    <row r="1482" spans="4:4" x14ac:dyDescent="0.25">
      <c r="D1482" s="29"/>
    </row>
    <row r="1483" spans="4:4" x14ac:dyDescent="0.25">
      <c r="D1483" s="29"/>
    </row>
    <row r="1484" spans="4:4" x14ac:dyDescent="0.25">
      <c r="D1484" s="29"/>
    </row>
    <row r="1485" spans="4:4" x14ac:dyDescent="0.25">
      <c r="D1485" s="29"/>
    </row>
    <row r="1486" spans="4:4" x14ac:dyDescent="0.25">
      <c r="D1486" s="29"/>
    </row>
    <row r="1487" spans="4:4" x14ac:dyDescent="0.25">
      <c r="D1487" s="29"/>
    </row>
    <row r="1488" spans="4:4" x14ac:dyDescent="0.25">
      <c r="D1488" s="29"/>
    </row>
    <row r="1489" spans="4:4" x14ac:dyDescent="0.25">
      <c r="D1489" s="29"/>
    </row>
    <row r="1490" spans="4:4" x14ac:dyDescent="0.25">
      <c r="D1490" s="29"/>
    </row>
    <row r="1491" spans="4:4" x14ac:dyDescent="0.25">
      <c r="D1491" s="29"/>
    </row>
    <row r="1492" spans="4:4" x14ac:dyDescent="0.25">
      <c r="D1492" s="29"/>
    </row>
    <row r="1493" spans="4:4" x14ac:dyDescent="0.25">
      <c r="D1493" s="29"/>
    </row>
    <row r="1494" spans="4:4" x14ac:dyDescent="0.25">
      <c r="D1494" s="29"/>
    </row>
    <row r="1495" spans="4:4" x14ac:dyDescent="0.25">
      <c r="D1495" s="29"/>
    </row>
    <row r="1496" spans="4:4" x14ac:dyDescent="0.25">
      <c r="D1496" s="29"/>
    </row>
    <row r="1497" spans="4:4" x14ac:dyDescent="0.25">
      <c r="D1497" s="29"/>
    </row>
    <row r="1498" spans="4:4" x14ac:dyDescent="0.25">
      <c r="D1498" s="29"/>
    </row>
    <row r="1499" spans="4:4" x14ac:dyDescent="0.25">
      <c r="D1499" s="29"/>
    </row>
    <row r="1500" spans="4:4" x14ac:dyDescent="0.25">
      <c r="D1500" s="29"/>
    </row>
    <row r="1501" spans="4:4" x14ac:dyDescent="0.25">
      <c r="D1501" s="29"/>
    </row>
    <row r="1502" spans="4:4" x14ac:dyDescent="0.25">
      <c r="D1502" s="29"/>
    </row>
    <row r="1503" spans="4:4" x14ac:dyDescent="0.25">
      <c r="D1503" s="29"/>
    </row>
    <row r="1504" spans="4:4" x14ac:dyDescent="0.25">
      <c r="D1504" s="29"/>
    </row>
    <row r="1505" spans="4:4" x14ac:dyDescent="0.25">
      <c r="D1505" s="29"/>
    </row>
    <row r="1506" spans="4:4" x14ac:dyDescent="0.25">
      <c r="D1506" s="29"/>
    </row>
    <row r="1507" spans="4:4" x14ac:dyDescent="0.25">
      <c r="D1507" s="29"/>
    </row>
    <row r="1508" spans="4:4" x14ac:dyDescent="0.25">
      <c r="D1508" s="29"/>
    </row>
    <row r="1509" spans="4:4" x14ac:dyDescent="0.25">
      <c r="D1509" s="29"/>
    </row>
    <row r="1510" spans="4:4" x14ac:dyDescent="0.25">
      <c r="D1510" s="29"/>
    </row>
    <row r="1511" spans="4:4" x14ac:dyDescent="0.25">
      <c r="D1511" s="29"/>
    </row>
    <row r="1512" spans="4:4" x14ac:dyDescent="0.25">
      <c r="D1512" s="29"/>
    </row>
    <row r="1513" spans="4:4" x14ac:dyDescent="0.25">
      <c r="D1513" s="29"/>
    </row>
    <row r="1514" spans="4:4" x14ac:dyDescent="0.25">
      <c r="D1514" s="29"/>
    </row>
    <row r="1515" spans="4:4" x14ac:dyDescent="0.25">
      <c r="D1515" s="29"/>
    </row>
    <row r="1516" spans="4:4" x14ac:dyDescent="0.25">
      <c r="D1516" s="29"/>
    </row>
    <row r="1517" spans="4:4" x14ac:dyDescent="0.25">
      <c r="D1517" s="29"/>
    </row>
    <row r="1518" spans="4:4" x14ac:dyDescent="0.25">
      <c r="D1518" s="29"/>
    </row>
    <row r="1519" spans="4:4" x14ac:dyDescent="0.25">
      <c r="D1519" s="29"/>
    </row>
    <row r="1520" spans="4:4" x14ac:dyDescent="0.25">
      <c r="D1520" s="29"/>
    </row>
    <row r="1521" spans="4:4" x14ac:dyDescent="0.25">
      <c r="D1521" s="29"/>
    </row>
    <row r="1522" spans="4:4" x14ac:dyDescent="0.25">
      <c r="D1522" s="29"/>
    </row>
    <row r="1523" spans="4:4" x14ac:dyDescent="0.25">
      <c r="D1523" s="29"/>
    </row>
    <row r="1524" spans="4:4" x14ac:dyDescent="0.25">
      <c r="D1524" s="29"/>
    </row>
    <row r="1525" spans="4:4" x14ac:dyDescent="0.25">
      <c r="D1525" s="29"/>
    </row>
    <row r="1526" spans="4:4" x14ac:dyDescent="0.25">
      <c r="D1526" s="29"/>
    </row>
    <row r="1527" spans="4:4" x14ac:dyDescent="0.25">
      <c r="D1527" s="29"/>
    </row>
    <row r="1528" spans="4:4" x14ac:dyDescent="0.25">
      <c r="D1528" s="29"/>
    </row>
    <row r="1529" spans="4:4" x14ac:dyDescent="0.25">
      <c r="D1529" s="29"/>
    </row>
    <row r="1530" spans="4:4" x14ac:dyDescent="0.25">
      <c r="D1530" s="29"/>
    </row>
    <row r="1531" spans="4:4" x14ac:dyDescent="0.25">
      <c r="D1531" s="29"/>
    </row>
    <row r="1532" spans="4:4" x14ac:dyDescent="0.25">
      <c r="D1532" s="29"/>
    </row>
    <row r="1533" spans="4:4" x14ac:dyDescent="0.25">
      <c r="D1533" s="29"/>
    </row>
    <row r="1534" spans="4:4" x14ac:dyDescent="0.25">
      <c r="D1534" s="29"/>
    </row>
    <row r="1535" spans="4:4" x14ac:dyDescent="0.25">
      <c r="D1535" s="29"/>
    </row>
    <row r="1536" spans="4:4" x14ac:dyDescent="0.25">
      <c r="D1536" s="29"/>
    </row>
    <row r="1537" spans="4:4" x14ac:dyDescent="0.25">
      <c r="D1537" s="29"/>
    </row>
    <row r="1538" spans="4:4" x14ac:dyDescent="0.25">
      <c r="D1538" s="29"/>
    </row>
    <row r="1539" spans="4:4" x14ac:dyDescent="0.25">
      <c r="D1539" s="29"/>
    </row>
    <row r="1540" spans="4:4" x14ac:dyDescent="0.25">
      <c r="D1540" s="29"/>
    </row>
    <row r="1541" spans="4:4" x14ac:dyDescent="0.25">
      <c r="D1541" s="29"/>
    </row>
    <row r="1542" spans="4:4" x14ac:dyDescent="0.25">
      <c r="D1542" s="29"/>
    </row>
    <row r="1543" spans="4:4" x14ac:dyDescent="0.25">
      <c r="D1543" s="29"/>
    </row>
    <row r="1544" spans="4:4" x14ac:dyDescent="0.25">
      <c r="D1544" s="29"/>
    </row>
    <row r="1545" spans="4:4" x14ac:dyDescent="0.25">
      <c r="D1545" s="29"/>
    </row>
    <row r="1546" spans="4:4" x14ac:dyDescent="0.25">
      <c r="D1546" s="29"/>
    </row>
    <row r="1547" spans="4:4" x14ac:dyDescent="0.25">
      <c r="D1547" s="29"/>
    </row>
    <row r="1548" spans="4:4" x14ac:dyDescent="0.25">
      <c r="D1548" s="29"/>
    </row>
    <row r="1549" spans="4:4" x14ac:dyDescent="0.25">
      <c r="D1549" s="29"/>
    </row>
    <row r="1550" spans="4:4" x14ac:dyDescent="0.25">
      <c r="D1550" s="29"/>
    </row>
    <row r="1551" spans="4:4" x14ac:dyDescent="0.25">
      <c r="D1551" s="29"/>
    </row>
    <row r="1552" spans="4:4" x14ac:dyDescent="0.25">
      <c r="D1552" s="29"/>
    </row>
    <row r="1553" spans="4:4" x14ac:dyDescent="0.25">
      <c r="D1553" s="29"/>
    </row>
    <row r="1554" spans="4:4" x14ac:dyDescent="0.25">
      <c r="D1554" s="29"/>
    </row>
    <row r="1555" spans="4:4" x14ac:dyDescent="0.25">
      <c r="D1555" s="29"/>
    </row>
    <row r="1556" spans="4:4" x14ac:dyDescent="0.25">
      <c r="D1556" s="29"/>
    </row>
    <row r="1557" spans="4:4" x14ac:dyDescent="0.25">
      <c r="D1557" s="29"/>
    </row>
    <row r="1558" spans="4:4" x14ac:dyDescent="0.25">
      <c r="D1558" s="29"/>
    </row>
    <row r="1559" spans="4:4" x14ac:dyDescent="0.25">
      <c r="D1559" s="29"/>
    </row>
    <row r="1560" spans="4:4" x14ac:dyDescent="0.25">
      <c r="D1560" s="29"/>
    </row>
    <row r="1561" spans="4:4" x14ac:dyDescent="0.25">
      <c r="D1561" s="29"/>
    </row>
  </sheetData>
  <conditionalFormatting sqref="D4:E4">
    <cfRule type="colorScale" priority="50">
      <colorScale>
        <cfvo type="min"/>
        <cfvo type="percentile" val="50"/>
        <cfvo type="max"/>
        <color rgb="FFF8696B"/>
        <color rgb="FFFFEB84"/>
        <color rgb="FF63BE7B"/>
      </colorScale>
    </cfRule>
  </conditionalFormatting>
  <conditionalFormatting sqref="D9:E9">
    <cfRule type="colorScale" priority="49">
      <colorScale>
        <cfvo type="min"/>
        <cfvo type="percentile" val="50"/>
        <cfvo type="max"/>
        <color rgb="FFF8696B"/>
        <color rgb="FFFFEB84"/>
        <color rgb="FF63BE7B"/>
      </colorScale>
    </cfRule>
  </conditionalFormatting>
  <conditionalFormatting sqref="D14:E14 E263 E15 E24 E29 E38 E44 E63:E64 E78 E95 E111 E119 E139 E182 E189 E191 E367:E370 E377 E386 E412 E422 E433 E435 E448 E479:E480 E486 E501 E506 E521 E525 E539">
    <cfRule type="colorScale" priority="48">
      <colorScale>
        <cfvo type="min"/>
        <cfvo type="percentile" val="50"/>
        <cfvo type="max"/>
        <color rgb="FFF8696B"/>
        <color rgb="FFFFEB84"/>
        <color rgb="FF63BE7B"/>
      </colorScale>
    </cfRule>
  </conditionalFormatting>
  <conditionalFormatting sqref="D19:E19">
    <cfRule type="colorScale" priority="47">
      <colorScale>
        <cfvo type="min"/>
        <cfvo type="percentile" val="50"/>
        <cfvo type="max"/>
        <color rgb="FFF8696B"/>
        <color rgb="FFFFEB84"/>
        <color rgb="FF63BE7B"/>
      </colorScale>
    </cfRule>
  </conditionalFormatting>
  <conditionalFormatting sqref="E34">
    <cfRule type="colorScale" priority="44">
      <colorScale>
        <cfvo type="min"/>
        <cfvo type="percentile" val="50"/>
        <cfvo type="max"/>
        <color rgb="FFF8696B"/>
        <color rgb="FFFFEB84"/>
        <color rgb="FF63BE7B"/>
      </colorScale>
    </cfRule>
  </conditionalFormatting>
  <conditionalFormatting sqref="E39">
    <cfRule type="colorScale" priority="43">
      <colorScale>
        <cfvo type="min"/>
        <cfvo type="percentile" val="50"/>
        <cfvo type="max"/>
        <color rgb="FFF8696B"/>
        <color rgb="FFFFEB84"/>
        <color rgb="FF63BE7B"/>
      </colorScale>
    </cfRule>
  </conditionalFormatting>
  <conditionalFormatting sqref="E51:E52 E204 E49 E54 E61:E62 E71 E77 E84 E86 E96:E100 E108 E112:E114 E116:E118 E125 E132 E136 E140 E144 E154:E155 E163 E165:E166 E180 E186:E188 E192 E211 E222 E229 E241 E245 E250:E251 E259:E262 E276 E282:E283 E286:E287 E299:E316 E343:E348 E389 E393 E395 E397:E398 E417 E419:E420 E424 E426:E427 E431 E434 E439:E440 E449:E452 E464 E468 E472:E473 E476 E485 E489:E492 E494 E502 E512 E518 E523 E532:E534 E537 E544 E550:E552 E564 E566:E567 E569">
    <cfRule type="colorScale" priority="41">
      <colorScale>
        <cfvo type="min"/>
        <cfvo type="percentile" val="50"/>
        <cfvo type="max"/>
        <color rgb="FFF8696B"/>
        <color rgb="FFFFEB84"/>
        <color rgb="FF63BE7B"/>
      </colorScale>
    </cfRule>
  </conditionalFormatting>
  <conditionalFormatting sqref="G278 G236 G298 G340:G342 G405 G542 G548:G549 G563 G2:G198">
    <cfRule type="colorScale" priority="36">
      <colorScale>
        <cfvo type="min"/>
        <cfvo type="percentile" val="50"/>
        <cfvo type="max"/>
        <color rgb="FFF8696B"/>
        <color rgb="FFFFEB84"/>
        <color rgb="FF63BE7B"/>
      </colorScale>
    </cfRule>
  </conditionalFormatting>
  <conditionalFormatting sqref="G236">
    <cfRule type="colorScale" priority="35">
      <colorScale>
        <cfvo type="min"/>
        <cfvo type="percentile" val="50"/>
        <cfvo type="max"/>
        <color rgb="FFF8696B"/>
        <color rgb="FFFFEB84"/>
        <color rgb="FF63BE7B"/>
      </colorScale>
    </cfRule>
  </conditionalFormatting>
  <conditionalFormatting sqref="G23:G56 G204 G61:G62 G71 G77 G84 G86 G96:G100 G108 G112:G114 G116:G118 G125 G132 G136 G140 G144 G154:G155 G163 G165:G166 G180 G186:G188 G192 G211 G222 G229 G241 G245 G250:G251 G259:G262 G276 G282:G283 G286:G287 G299:G316 G343:G348 G389 G393 G395 G397:G398 G417 G419:G420 G424 G426:G427 G431 G434 G439:G440 G449:G452 G468 G472:G473 G476 G485 G489:G492 G494 G502 G512 G518 G523 G532:G534 G537 G544 G550:G552 G564 G566:G567 G569 G464:G465">
    <cfRule type="colorScale" priority="33">
      <colorScale>
        <cfvo type="min"/>
        <cfvo type="percentile" val="50"/>
        <cfvo type="max"/>
        <color rgb="FFF8696B"/>
        <color rgb="FFFFEB84"/>
        <color rgb="FF63BE7B"/>
      </colorScale>
    </cfRule>
  </conditionalFormatting>
  <conditionalFormatting sqref="G23:G55 G204 G61:G62 G71 G77 G84 G86 G96:G100 G108 G112:G114 G116:G118 G125 G132 G136 G140 G144 G154:G155 G163 G165:G166 G180 G186:G188 G192 G211 G222 G229 G241 G245 G250:G251 G259:G262 G276 G282:G283 G286:G287 G299:G316 G343:G348 G389 G393 G395 G397:G398 G417 G419:G420 G424 G426:G427 G431 G434 G439:G440 G449:G452 G468 G472:G473 G476 G485 G489:G492 G494 G502 G512 G518 G523 G532:G534 G537 G544 G550:G552 G564 G566:G567 G569 G464:G465">
    <cfRule type="colorScale" priority="34">
      <colorScale>
        <cfvo type="min"/>
        <cfvo type="percentile" val="50"/>
        <cfvo type="max"/>
        <color rgb="FFF8696B"/>
        <color rgb="FFFFEB84"/>
        <color rgb="FF63BE7B"/>
      </colorScale>
    </cfRule>
  </conditionalFormatting>
  <conditionalFormatting sqref="G57">
    <cfRule type="colorScale" priority="32">
      <colorScale>
        <cfvo type="min"/>
        <cfvo type="percentile" val="50"/>
        <cfvo type="max"/>
        <color rgb="FFF8696B"/>
        <color rgb="FFFFEB84"/>
        <color rgb="FF63BE7B"/>
      </colorScale>
    </cfRule>
  </conditionalFormatting>
  <conditionalFormatting sqref="G58">
    <cfRule type="colorScale" priority="31">
      <colorScale>
        <cfvo type="min"/>
        <cfvo type="percentile" val="50"/>
        <cfvo type="max"/>
        <color rgb="FFF8696B"/>
        <color rgb="FFFFEB84"/>
        <color rgb="FF63BE7B"/>
      </colorScale>
    </cfRule>
  </conditionalFormatting>
  <conditionalFormatting sqref="G59:G67">
    <cfRule type="colorScale" priority="30">
      <colorScale>
        <cfvo type="min"/>
        <cfvo type="percentile" val="50"/>
        <cfvo type="max"/>
        <color rgb="FFF8696B"/>
        <color rgb="FFFFEB84"/>
        <color rgb="FF63BE7B"/>
      </colorScale>
    </cfRule>
  </conditionalFormatting>
  <conditionalFormatting sqref="G68:G73">
    <cfRule type="colorScale" priority="29">
      <colorScale>
        <cfvo type="min"/>
        <cfvo type="percentile" val="50"/>
        <cfvo type="max"/>
        <color rgb="FFF8696B"/>
        <color rgb="FFFFEB84"/>
        <color rgb="FF63BE7B"/>
      </colorScale>
    </cfRule>
  </conditionalFormatting>
  <conditionalFormatting sqref="G74:G90">
    <cfRule type="colorScale" priority="28">
      <colorScale>
        <cfvo type="min"/>
        <cfvo type="percentile" val="50"/>
        <cfvo type="max"/>
        <color rgb="FFF8696B"/>
        <color rgb="FFFFEB84"/>
        <color rgb="FF63BE7B"/>
      </colorScale>
    </cfRule>
  </conditionalFormatting>
  <conditionalFormatting sqref="G91:G95">
    <cfRule type="colorScale" priority="27">
      <colorScale>
        <cfvo type="min"/>
        <cfvo type="percentile" val="50"/>
        <cfvo type="max"/>
        <color rgb="FFF8696B"/>
        <color rgb="FFFFEB84"/>
        <color rgb="FF63BE7B"/>
      </colorScale>
    </cfRule>
  </conditionalFormatting>
  <conditionalFormatting sqref="G96">
    <cfRule type="colorScale" priority="26">
      <colorScale>
        <cfvo type="min"/>
        <cfvo type="percentile" val="50"/>
        <cfvo type="max"/>
        <color rgb="FFF8696B"/>
        <color rgb="FFFFEB84"/>
        <color rgb="FF63BE7B"/>
      </colorScale>
    </cfRule>
  </conditionalFormatting>
  <conditionalFormatting sqref="G97">
    <cfRule type="colorScale" priority="25">
      <colorScale>
        <cfvo type="min"/>
        <cfvo type="percentile" val="50"/>
        <cfvo type="max"/>
        <color rgb="FFF8696B"/>
        <color rgb="FFFFEB84"/>
        <color rgb="FF63BE7B"/>
      </colorScale>
    </cfRule>
  </conditionalFormatting>
  <conditionalFormatting sqref="G98:G103">
    <cfRule type="colorScale" priority="24">
      <colorScale>
        <cfvo type="min"/>
        <cfvo type="percentile" val="50"/>
        <cfvo type="max"/>
        <color rgb="FFF8696B"/>
        <color rgb="FFFFEB84"/>
        <color rgb="FF63BE7B"/>
      </colorScale>
    </cfRule>
  </conditionalFormatting>
  <conditionalFormatting sqref="G104:G109">
    <cfRule type="colorScale" priority="23">
      <colorScale>
        <cfvo type="min"/>
        <cfvo type="percentile" val="50"/>
        <cfvo type="max"/>
        <color rgb="FFF8696B"/>
        <color rgb="FFFFEB84"/>
        <color rgb="FF63BE7B"/>
      </colorScale>
    </cfRule>
  </conditionalFormatting>
  <conditionalFormatting sqref="G110:G123">
    <cfRule type="colorScale" priority="22">
      <colorScale>
        <cfvo type="min"/>
        <cfvo type="percentile" val="50"/>
        <cfvo type="max"/>
        <color rgb="FFF8696B"/>
        <color rgb="FFFFEB84"/>
        <color rgb="FF63BE7B"/>
      </colorScale>
    </cfRule>
  </conditionalFormatting>
  <conditionalFormatting sqref="G124">
    <cfRule type="colorScale" priority="21">
      <colorScale>
        <cfvo type="min"/>
        <cfvo type="percentile" val="50"/>
        <cfvo type="max"/>
        <color rgb="FFF8696B"/>
        <color rgb="FFFFEB84"/>
        <color rgb="FF63BE7B"/>
      </colorScale>
    </cfRule>
  </conditionalFormatting>
  <conditionalFormatting sqref="G125">
    <cfRule type="colorScale" priority="20">
      <colorScale>
        <cfvo type="min"/>
        <cfvo type="percentile" val="50"/>
        <cfvo type="max"/>
        <color rgb="FFF8696B"/>
        <color rgb="FFFFEB84"/>
        <color rgb="FF63BE7B"/>
      </colorScale>
    </cfRule>
  </conditionalFormatting>
  <conditionalFormatting sqref="G126:G127">
    <cfRule type="colorScale" priority="19">
      <colorScale>
        <cfvo type="min"/>
        <cfvo type="percentile" val="50"/>
        <cfvo type="max"/>
        <color rgb="FFF8696B"/>
        <color rgb="FFFFEB84"/>
        <color rgb="FF63BE7B"/>
      </colorScale>
    </cfRule>
  </conditionalFormatting>
  <conditionalFormatting sqref="G227 G221 G231 G240 G266 G336 G421 G453 G128:G143 G87 G68 G66 G40:G41 G32 G22 G12 G7 G465 G509">
    <cfRule type="colorScale" priority="18">
      <colorScale>
        <cfvo type="min"/>
        <cfvo type="percentile" val="50"/>
        <cfvo type="max"/>
        <color rgb="FFF8696B"/>
        <color rgb="FFFFEB84"/>
        <color rgb="FF63BE7B"/>
      </colorScale>
    </cfRule>
  </conditionalFormatting>
  <conditionalFormatting sqref="G144">
    <cfRule type="colorScale" priority="17">
      <colorScale>
        <cfvo type="min"/>
        <cfvo type="percentile" val="50"/>
        <cfvo type="max"/>
        <color rgb="FFF8696B"/>
        <color rgb="FFFFEB84"/>
        <color rgb="FF63BE7B"/>
      </colorScale>
    </cfRule>
  </conditionalFormatting>
  <conditionalFormatting sqref="G145">
    <cfRule type="colorScale" priority="16">
      <colorScale>
        <cfvo type="min"/>
        <cfvo type="percentile" val="50"/>
        <cfvo type="max"/>
        <color rgb="FFF8696B"/>
        <color rgb="FFFFEB84"/>
        <color rgb="FF63BE7B"/>
      </colorScale>
    </cfRule>
  </conditionalFormatting>
  <conditionalFormatting sqref="G232:G314">
    <cfRule type="colorScale" priority="14">
      <colorScale>
        <cfvo type="min"/>
        <cfvo type="percentile" val="50"/>
        <cfvo type="max"/>
        <color rgb="FFF8696B"/>
        <color rgb="FFFFEB84"/>
        <color rgb="FF63BE7B"/>
      </colorScale>
    </cfRule>
  </conditionalFormatting>
  <conditionalFormatting sqref="G315:G317">
    <cfRule type="colorScale" priority="13">
      <colorScale>
        <cfvo type="min"/>
        <cfvo type="percentile" val="50"/>
        <cfvo type="max"/>
        <color rgb="FFF8696B"/>
        <color rgb="FFFFEB84"/>
        <color rgb="FF63BE7B"/>
      </colorScale>
    </cfRule>
  </conditionalFormatting>
  <conditionalFormatting sqref="G390:G411">
    <cfRule type="colorScale" priority="10">
      <colorScale>
        <cfvo type="min"/>
        <cfvo type="percentile" val="50"/>
        <cfvo type="max"/>
        <color rgb="FFF8696B"/>
        <color rgb="FFFFEB84"/>
        <color rgb="FF63BE7B"/>
      </colorScale>
    </cfRule>
  </conditionalFormatting>
  <conditionalFormatting sqref="G386:G389">
    <cfRule type="colorScale" priority="9">
      <colorScale>
        <cfvo type="min"/>
        <cfvo type="percentile" val="50"/>
        <cfvo type="max"/>
        <color rgb="FFF8696B"/>
        <color rgb="FFFFEB84"/>
        <color rgb="FF63BE7B"/>
      </colorScale>
    </cfRule>
  </conditionalFormatting>
  <conditionalFormatting sqref="G385">
    <cfRule type="colorScale" priority="8">
      <colorScale>
        <cfvo type="min"/>
        <cfvo type="percentile" val="50"/>
        <cfvo type="max"/>
        <color rgb="FFF8696B"/>
        <color rgb="FFFFEB84"/>
        <color rgb="FF63BE7B"/>
      </colorScale>
    </cfRule>
  </conditionalFormatting>
  <conditionalFormatting sqref="G384">
    <cfRule type="colorScale" priority="7">
      <colorScale>
        <cfvo type="min"/>
        <cfvo type="percentile" val="50"/>
        <cfvo type="max"/>
        <color rgb="FFF8696B"/>
        <color rgb="FFFFEB84"/>
        <color rgb="FF63BE7B"/>
      </colorScale>
    </cfRule>
  </conditionalFormatting>
  <conditionalFormatting sqref="G383">
    <cfRule type="colorScale" priority="6">
      <colorScale>
        <cfvo type="min"/>
        <cfvo type="percentile" val="50"/>
        <cfvo type="max"/>
        <color rgb="FFF8696B"/>
        <color rgb="FFFFEB84"/>
        <color rgb="FF63BE7B"/>
      </colorScale>
    </cfRule>
  </conditionalFormatting>
  <conditionalFormatting sqref="G381:G382">
    <cfRule type="colorScale" priority="5">
      <colorScale>
        <cfvo type="min"/>
        <cfvo type="percentile" val="50"/>
        <cfvo type="max"/>
        <color rgb="FFF8696B"/>
        <color rgb="FFFFEB84"/>
        <color rgb="FF63BE7B"/>
      </colorScale>
    </cfRule>
  </conditionalFormatting>
  <conditionalFormatting sqref="G371:G380">
    <cfRule type="colorScale" priority="4">
      <colorScale>
        <cfvo type="min"/>
        <cfvo type="percentile" val="50"/>
        <cfvo type="max"/>
        <color rgb="FFF8696B"/>
        <color rgb="FFFFEB84"/>
        <color rgb="FF63BE7B"/>
      </colorScale>
    </cfRule>
  </conditionalFormatting>
  <conditionalFormatting sqref="G370">
    <cfRule type="colorScale" priority="3">
      <colorScale>
        <cfvo type="min"/>
        <cfvo type="percentile" val="50"/>
        <cfvo type="max"/>
        <color rgb="FFF8696B"/>
        <color rgb="FFFFEB84"/>
        <color rgb="FF63BE7B"/>
      </colorScale>
    </cfRule>
  </conditionalFormatting>
  <conditionalFormatting sqref="G365:G369">
    <cfRule type="colorScale" priority="2">
      <colorScale>
        <cfvo type="min"/>
        <cfvo type="percentile" val="50"/>
        <cfvo type="max"/>
        <color rgb="FFF8696B"/>
        <color rgb="FFFFEB84"/>
        <color rgb="FF63BE7B"/>
      </colorScale>
    </cfRule>
  </conditionalFormatting>
  <conditionalFormatting sqref="G361:G364 G415 G438 G498 G522 G554">
    <cfRule type="colorScale" priority="905">
      <colorScale>
        <cfvo type="min"/>
        <cfvo type="percentile" val="50"/>
        <cfvo type="max"/>
        <color rgb="FFF8696B"/>
        <color rgb="FFFFEB84"/>
        <color rgb="FF63BE7B"/>
      </colorScale>
    </cfRule>
  </conditionalFormatting>
  <conditionalFormatting sqref="G318:G360 G405 G542 G548:G549 G563">
    <cfRule type="colorScale" priority="907">
      <colorScale>
        <cfvo type="min"/>
        <cfvo type="percentile" val="50"/>
        <cfvo type="max"/>
        <color rgb="FFF8696B"/>
        <color rgb="FFFFEB84"/>
        <color rgb="FF63BE7B"/>
      </colorScale>
    </cfRule>
  </conditionalFormatting>
  <conditionalFormatting sqref="G1:G570">
    <cfRule type="colorScale" priority="922">
      <colorScale>
        <cfvo type="min"/>
        <cfvo type="percentile" val="50"/>
        <cfvo type="max"/>
        <color rgb="FFF8696B"/>
        <color rgb="FFFFEB84"/>
        <color rgb="FF63BE7B"/>
      </colorScale>
    </cfRule>
  </conditionalFormatting>
  <conditionalFormatting sqref="G146:G231">
    <cfRule type="colorScale" priority="1185">
      <colorScale>
        <cfvo type="min"/>
        <cfvo type="percentile" val="50"/>
        <cfvo type="max"/>
        <color rgb="FFF8696B"/>
        <color rgb="FFFFEB84"/>
        <color rgb="FF63BE7B"/>
      </colorScale>
    </cfRule>
  </conditionalFormatting>
  <conditionalFormatting sqref="D1:D517">
    <cfRule type="colorScale" priority="1196">
      <colorScale>
        <cfvo type="min"/>
        <cfvo type="percentile" val="50"/>
        <cfvo type="max"/>
        <color rgb="FFF8696B"/>
        <color rgb="FFFFEB84"/>
        <color rgb="FF63BE7B"/>
      </colorScale>
    </cfRule>
    <cfRule type="colorScale" priority="1197">
      <colorScale>
        <cfvo type="min"/>
        <cfvo type="max"/>
        <color rgb="FF63BE7B"/>
        <color rgb="FFFFEF9C"/>
      </colorScale>
    </cfRule>
    <cfRule type="colorScale" priority="1198">
      <colorScale>
        <cfvo type="min"/>
        <cfvo type="percentile" val="50"/>
        <cfvo type="max"/>
        <color rgb="FFF8696B"/>
        <color rgb="FFFFEB84"/>
        <color rgb="FF63BE7B"/>
      </colorScale>
    </cfRule>
  </conditionalFormatting>
  <conditionalFormatting sqref="D1:D429">
    <cfRule type="colorScale" priority="1202">
      <colorScale>
        <cfvo type="min"/>
        <cfvo type="percentile" val="50"/>
        <cfvo type="max"/>
        <color rgb="FFF8696B"/>
        <color rgb="FFFFEB84"/>
        <color rgb="FF63BE7B"/>
      </colorScale>
    </cfRule>
  </conditionalFormatting>
  <conditionalFormatting sqref="G1:G570">
    <cfRule type="colorScale" priority="1206">
      <colorScale>
        <cfvo type="min"/>
        <cfvo type="percentile" val="50"/>
        <cfvo type="max"/>
        <color rgb="FFF8696B"/>
        <color rgb="FFFFEB84"/>
        <color rgb="FF63BE7B"/>
      </colorScale>
    </cfRule>
  </conditionalFormatting>
  <conditionalFormatting sqref="G2:G570">
    <cfRule type="colorScale" priority="1208">
      <colorScale>
        <cfvo type="min"/>
        <cfvo type="percentile" val="50"/>
        <cfvo type="max"/>
        <color rgb="FFF8696B"/>
        <color rgb="FFFFEB84"/>
        <color rgb="FF63BE7B"/>
      </colorScale>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D116"/>
  <sheetViews>
    <sheetView workbookViewId="0">
      <selection activeCell="D13" sqref="D13"/>
    </sheetView>
  </sheetViews>
  <sheetFormatPr defaultColWidth="9.140625" defaultRowHeight="15" x14ac:dyDescent="0.25"/>
  <cols>
    <col min="1" max="1" width="18.28515625" style="5" bestFit="1" customWidth="1"/>
    <col min="2" max="2" width="9.140625" style="39" customWidth="1"/>
    <col min="3" max="3" width="24.7109375" style="36" bestFit="1" customWidth="1"/>
    <col min="4" max="4" width="12.42578125" style="16" bestFit="1" customWidth="1"/>
    <col min="5" max="25" width="9.140625" style="20" customWidth="1"/>
    <col min="26" max="16384" width="9.140625" style="20"/>
  </cols>
  <sheetData>
    <row r="1" spans="1:4" x14ac:dyDescent="0.25">
      <c r="A1" s="8" t="s">
        <v>78</v>
      </c>
      <c r="B1" s="39" t="s">
        <v>79</v>
      </c>
      <c r="C1" s="37" t="s">
        <v>83</v>
      </c>
      <c r="D1" s="39" t="s">
        <v>84</v>
      </c>
    </row>
    <row r="2" spans="1:4" x14ac:dyDescent="0.25">
      <c r="A2" s="2">
        <v>45293</v>
      </c>
      <c r="B2" s="39">
        <v>5</v>
      </c>
      <c r="C2" s="36" t="s">
        <v>287</v>
      </c>
      <c r="D2" s="16">
        <v>3000</v>
      </c>
    </row>
    <row r="3" spans="1:4" x14ac:dyDescent="0.25">
      <c r="A3" s="2">
        <v>45293</v>
      </c>
      <c r="B3" s="39">
        <v>3</v>
      </c>
      <c r="C3" s="36" t="s">
        <v>287</v>
      </c>
      <c r="D3" s="16">
        <v>10000</v>
      </c>
    </row>
    <row r="4" spans="1:4" x14ac:dyDescent="0.25">
      <c r="A4" s="2">
        <v>45293</v>
      </c>
      <c r="B4" s="39">
        <v>1</v>
      </c>
      <c r="C4" s="36" t="s">
        <v>85</v>
      </c>
      <c r="D4" s="16">
        <v>25000</v>
      </c>
    </row>
    <row r="5" spans="1:4" x14ac:dyDescent="0.25">
      <c r="A5" s="2">
        <v>45293</v>
      </c>
      <c r="B5" s="39">
        <v>4</v>
      </c>
      <c r="C5" s="36" t="s">
        <v>86</v>
      </c>
      <c r="D5" s="16">
        <v>34000</v>
      </c>
    </row>
    <row r="6" spans="1:4" x14ac:dyDescent="0.25">
      <c r="A6" s="2">
        <v>45293</v>
      </c>
      <c r="B6" s="39">
        <v>2</v>
      </c>
      <c r="C6" s="36" t="s">
        <v>87</v>
      </c>
      <c r="D6" s="16">
        <v>65000</v>
      </c>
    </row>
    <row r="7" spans="1:4" x14ac:dyDescent="0.25">
      <c r="A7" s="2">
        <v>45293</v>
      </c>
      <c r="B7" s="39">
        <v>6</v>
      </c>
      <c r="C7" s="36" t="s">
        <v>88</v>
      </c>
      <c r="D7" s="16">
        <v>150000</v>
      </c>
    </row>
    <row r="8" spans="1:4" x14ac:dyDescent="0.25">
      <c r="A8" s="2">
        <v>45294</v>
      </c>
      <c r="B8" s="39">
        <v>12</v>
      </c>
      <c r="C8" s="36" t="s">
        <v>287</v>
      </c>
      <c r="D8" s="16">
        <v>2000</v>
      </c>
    </row>
    <row r="9" spans="1:4" x14ac:dyDescent="0.25">
      <c r="A9" s="2">
        <v>45294</v>
      </c>
      <c r="B9" s="39">
        <v>13</v>
      </c>
      <c r="C9" s="36" t="s">
        <v>287</v>
      </c>
      <c r="D9" s="16">
        <v>3000</v>
      </c>
    </row>
    <row r="10" spans="1:4" x14ac:dyDescent="0.25">
      <c r="A10" s="2">
        <v>45294</v>
      </c>
      <c r="B10" s="39">
        <v>7</v>
      </c>
      <c r="C10" s="36" t="s">
        <v>89</v>
      </c>
      <c r="D10" s="16">
        <v>20000</v>
      </c>
    </row>
    <row r="11" spans="1:4" x14ac:dyDescent="0.25">
      <c r="A11" s="2">
        <v>45294</v>
      </c>
      <c r="B11" s="39">
        <v>8</v>
      </c>
      <c r="C11" s="36" t="s">
        <v>90</v>
      </c>
      <c r="D11" s="16">
        <v>22000</v>
      </c>
    </row>
    <row r="12" spans="1:4" x14ac:dyDescent="0.25">
      <c r="A12" s="2">
        <v>45294</v>
      </c>
      <c r="B12" s="39">
        <v>10</v>
      </c>
      <c r="C12" s="36" t="s">
        <v>86</v>
      </c>
      <c r="D12" s="16">
        <v>31000</v>
      </c>
    </row>
    <row r="13" spans="1:4" x14ac:dyDescent="0.25">
      <c r="A13" s="2">
        <v>45294</v>
      </c>
      <c r="B13" s="39">
        <v>9</v>
      </c>
      <c r="C13" s="36" t="s">
        <v>91</v>
      </c>
      <c r="D13" s="16">
        <v>40000</v>
      </c>
    </row>
    <row r="14" spans="1:4" x14ac:dyDescent="0.25">
      <c r="A14" s="2">
        <v>45294</v>
      </c>
      <c r="B14" s="39">
        <v>11</v>
      </c>
      <c r="C14" s="36" t="s">
        <v>92</v>
      </c>
      <c r="D14" s="16">
        <v>105000</v>
      </c>
    </row>
    <row r="15" spans="1:4" x14ac:dyDescent="0.25">
      <c r="A15" s="2">
        <v>45295</v>
      </c>
      <c r="B15" s="39">
        <v>2</v>
      </c>
      <c r="C15" s="36" t="s">
        <v>93</v>
      </c>
      <c r="D15" s="16">
        <v>2000</v>
      </c>
    </row>
    <row r="16" spans="1:4" x14ac:dyDescent="0.25">
      <c r="A16" s="2">
        <v>45295</v>
      </c>
      <c r="B16" s="39">
        <v>7</v>
      </c>
      <c r="C16" s="36" t="s">
        <v>287</v>
      </c>
      <c r="D16" s="16">
        <v>2000</v>
      </c>
    </row>
    <row r="17" spans="1:4" x14ac:dyDescent="0.25">
      <c r="A17" s="2">
        <v>45295</v>
      </c>
      <c r="B17" s="39">
        <v>10</v>
      </c>
      <c r="C17" s="36" t="s">
        <v>287</v>
      </c>
      <c r="D17" s="16">
        <v>3000</v>
      </c>
    </row>
    <row r="18" spans="1:4" x14ac:dyDescent="0.25">
      <c r="A18" s="2">
        <v>45295</v>
      </c>
      <c r="B18" s="39">
        <v>3</v>
      </c>
      <c r="C18" s="36" t="s">
        <v>94</v>
      </c>
      <c r="D18" s="16">
        <v>17000</v>
      </c>
    </row>
    <row r="19" spans="1:4" x14ac:dyDescent="0.25">
      <c r="A19" s="2">
        <v>45295</v>
      </c>
      <c r="B19" s="39">
        <v>1</v>
      </c>
      <c r="C19" s="36" t="s">
        <v>87</v>
      </c>
      <c r="D19" s="16">
        <v>26000</v>
      </c>
    </row>
    <row r="20" spans="1:4" x14ac:dyDescent="0.25">
      <c r="A20" s="2">
        <v>45295</v>
      </c>
      <c r="B20" s="39">
        <v>6</v>
      </c>
      <c r="C20" s="36" t="s">
        <v>86</v>
      </c>
      <c r="D20" s="16">
        <v>29000</v>
      </c>
    </row>
    <row r="21" spans="1:4" x14ac:dyDescent="0.25">
      <c r="A21" s="2">
        <v>45295</v>
      </c>
      <c r="B21" s="39">
        <v>5</v>
      </c>
      <c r="C21" s="36" t="s">
        <v>95</v>
      </c>
      <c r="D21" s="16">
        <v>60000</v>
      </c>
    </row>
    <row r="22" spans="1:4" x14ac:dyDescent="0.25">
      <c r="A22" s="2">
        <v>45295</v>
      </c>
      <c r="B22" s="39">
        <v>8</v>
      </c>
      <c r="C22" s="36" t="s">
        <v>88</v>
      </c>
      <c r="D22" s="16">
        <v>100000</v>
      </c>
    </row>
    <row r="23" spans="1:4" x14ac:dyDescent="0.25">
      <c r="A23" s="2">
        <v>45295</v>
      </c>
      <c r="B23" s="39">
        <v>4</v>
      </c>
      <c r="C23" s="36" t="s">
        <v>96</v>
      </c>
      <c r="D23" s="16">
        <v>200000</v>
      </c>
    </row>
    <row r="24" spans="1:4" x14ac:dyDescent="0.25">
      <c r="A24" s="2">
        <v>45295</v>
      </c>
      <c r="B24" s="39">
        <v>9</v>
      </c>
      <c r="C24" s="36" t="s">
        <v>287</v>
      </c>
      <c r="D24" s="16">
        <v>300000</v>
      </c>
    </row>
    <row r="25" spans="1:4" x14ac:dyDescent="0.25">
      <c r="A25" s="2">
        <v>45296</v>
      </c>
      <c r="B25" s="39">
        <v>7</v>
      </c>
      <c r="C25" s="36" t="s">
        <v>287</v>
      </c>
      <c r="D25" s="16">
        <v>2000</v>
      </c>
    </row>
    <row r="26" spans="1:4" x14ac:dyDescent="0.25">
      <c r="A26" s="2">
        <v>45296</v>
      </c>
      <c r="B26" s="39">
        <v>9</v>
      </c>
      <c r="C26" s="36" t="s">
        <v>287</v>
      </c>
      <c r="D26" s="16">
        <v>3000</v>
      </c>
    </row>
    <row r="27" spans="1:4" x14ac:dyDescent="0.25">
      <c r="A27" s="2">
        <v>45296</v>
      </c>
      <c r="B27" s="39">
        <v>5</v>
      </c>
      <c r="C27" s="36" t="s">
        <v>97</v>
      </c>
      <c r="D27" s="16">
        <v>12000</v>
      </c>
    </row>
    <row r="28" spans="1:4" x14ac:dyDescent="0.25">
      <c r="A28" s="2">
        <v>45296</v>
      </c>
      <c r="B28" s="39">
        <v>8</v>
      </c>
      <c r="C28" s="36" t="s">
        <v>86</v>
      </c>
      <c r="D28" s="16">
        <v>12000</v>
      </c>
    </row>
    <row r="29" spans="1:4" x14ac:dyDescent="0.25">
      <c r="A29" s="2">
        <v>45296</v>
      </c>
      <c r="B29" s="39">
        <v>1</v>
      </c>
      <c r="C29" s="36" t="s">
        <v>98</v>
      </c>
      <c r="D29" s="16">
        <v>17000</v>
      </c>
    </row>
    <row r="30" spans="1:4" x14ac:dyDescent="0.25">
      <c r="A30" s="2">
        <v>45296</v>
      </c>
      <c r="B30" s="39">
        <v>2</v>
      </c>
      <c r="C30" s="36" t="s">
        <v>99</v>
      </c>
      <c r="D30" s="16">
        <v>20000</v>
      </c>
    </row>
    <row r="31" spans="1:4" x14ac:dyDescent="0.25">
      <c r="A31" s="2">
        <v>45296</v>
      </c>
      <c r="B31" s="39">
        <v>4</v>
      </c>
      <c r="C31" s="36" t="s">
        <v>100</v>
      </c>
      <c r="D31" s="16">
        <v>50000</v>
      </c>
    </row>
    <row r="32" spans="1:4" x14ac:dyDescent="0.25">
      <c r="A32" s="2">
        <v>45296</v>
      </c>
      <c r="B32" s="39">
        <v>3</v>
      </c>
      <c r="C32" s="36" t="s">
        <v>101</v>
      </c>
      <c r="D32" s="16">
        <v>81000</v>
      </c>
    </row>
    <row r="33" spans="1:4" x14ac:dyDescent="0.25">
      <c r="A33" s="2">
        <v>45296</v>
      </c>
      <c r="B33" s="39">
        <v>6</v>
      </c>
      <c r="C33" s="36" t="s">
        <v>102</v>
      </c>
      <c r="D33" s="16">
        <v>160000</v>
      </c>
    </row>
    <row r="34" spans="1:4" x14ac:dyDescent="0.25">
      <c r="A34" s="2">
        <v>45296</v>
      </c>
      <c r="B34" s="39">
        <v>10</v>
      </c>
      <c r="C34" s="36" t="s">
        <v>103</v>
      </c>
      <c r="D34" s="16">
        <v>185000</v>
      </c>
    </row>
    <row r="35" spans="1:4" x14ac:dyDescent="0.25">
      <c r="A35" s="2">
        <v>45297</v>
      </c>
      <c r="B35" s="39">
        <v>8</v>
      </c>
      <c r="C35" s="36" t="s">
        <v>287</v>
      </c>
      <c r="D35" s="16">
        <v>3000</v>
      </c>
    </row>
    <row r="36" spans="1:4" x14ac:dyDescent="0.25">
      <c r="A36" s="2">
        <v>45297</v>
      </c>
      <c r="B36" s="39">
        <v>10</v>
      </c>
      <c r="C36" s="36" t="s">
        <v>287</v>
      </c>
      <c r="D36" s="16">
        <v>3000</v>
      </c>
    </row>
    <row r="37" spans="1:4" x14ac:dyDescent="0.25">
      <c r="A37" s="2">
        <v>45297</v>
      </c>
      <c r="B37" s="39">
        <v>6</v>
      </c>
      <c r="C37" s="36" t="s">
        <v>104</v>
      </c>
      <c r="D37" s="16">
        <v>6000</v>
      </c>
    </row>
    <row r="38" spans="1:4" x14ac:dyDescent="0.25">
      <c r="A38" s="2">
        <v>45297</v>
      </c>
      <c r="B38" s="39">
        <v>5</v>
      </c>
      <c r="C38" s="36" t="s">
        <v>105</v>
      </c>
      <c r="D38" s="16">
        <v>14100</v>
      </c>
    </row>
    <row r="39" spans="1:4" x14ac:dyDescent="0.25">
      <c r="A39" s="2">
        <v>45297</v>
      </c>
      <c r="B39" s="39">
        <v>7</v>
      </c>
      <c r="C39" s="36" t="s">
        <v>86</v>
      </c>
      <c r="D39" s="16">
        <v>16000</v>
      </c>
    </row>
    <row r="40" spans="1:4" x14ac:dyDescent="0.25">
      <c r="A40" s="2">
        <v>45297</v>
      </c>
      <c r="B40" s="39">
        <v>9</v>
      </c>
      <c r="C40" s="36" t="s">
        <v>94</v>
      </c>
      <c r="D40" s="16">
        <v>30000</v>
      </c>
    </row>
    <row r="41" spans="1:4" x14ac:dyDescent="0.25">
      <c r="A41" s="2">
        <v>45297</v>
      </c>
      <c r="B41" s="39">
        <v>1</v>
      </c>
      <c r="C41" s="36" t="s">
        <v>87</v>
      </c>
      <c r="D41" s="16">
        <v>32500</v>
      </c>
    </row>
    <row r="42" spans="1:4" x14ac:dyDescent="0.25">
      <c r="A42" s="2">
        <v>45297</v>
      </c>
      <c r="B42" s="39">
        <v>3</v>
      </c>
      <c r="C42" s="36" t="s">
        <v>106</v>
      </c>
      <c r="D42" s="16">
        <v>78000</v>
      </c>
    </row>
    <row r="43" spans="1:4" x14ac:dyDescent="0.25">
      <c r="A43" s="2">
        <v>45297</v>
      </c>
      <c r="B43" s="39">
        <v>2</v>
      </c>
      <c r="C43" s="36" t="s">
        <v>107</v>
      </c>
      <c r="D43" s="16">
        <v>135000</v>
      </c>
    </row>
    <row r="44" spans="1:4" x14ac:dyDescent="0.25">
      <c r="A44" s="2">
        <v>45297</v>
      </c>
      <c r="B44" s="39">
        <v>4</v>
      </c>
      <c r="C44" s="36" t="s">
        <v>96</v>
      </c>
      <c r="D44" s="16">
        <v>376000</v>
      </c>
    </row>
    <row r="45" spans="1:4" x14ac:dyDescent="0.25">
      <c r="A45" s="2">
        <v>45298</v>
      </c>
      <c r="B45" s="39">
        <v>1</v>
      </c>
      <c r="C45" s="36" t="s">
        <v>108</v>
      </c>
      <c r="D45" s="16">
        <v>10000</v>
      </c>
    </row>
    <row r="46" spans="1:4" x14ac:dyDescent="0.25">
      <c r="A46" s="2">
        <v>45298</v>
      </c>
      <c r="B46" s="39">
        <v>3</v>
      </c>
      <c r="C46" s="36" t="s">
        <v>287</v>
      </c>
      <c r="D46" s="16">
        <v>70000</v>
      </c>
    </row>
    <row r="47" spans="1:4" x14ac:dyDescent="0.25">
      <c r="A47" s="2">
        <v>45298</v>
      </c>
      <c r="B47" s="39">
        <v>2</v>
      </c>
      <c r="C47" s="36" t="s">
        <v>287</v>
      </c>
      <c r="D47" s="16">
        <v>100000</v>
      </c>
    </row>
    <row r="48" spans="1:4" x14ac:dyDescent="0.25">
      <c r="A48" s="2">
        <v>45299</v>
      </c>
      <c r="B48" s="39">
        <v>4</v>
      </c>
      <c r="C48" s="36" t="s">
        <v>109</v>
      </c>
      <c r="D48" s="16">
        <v>1000</v>
      </c>
    </row>
    <row r="49" spans="1:4" x14ac:dyDescent="0.25">
      <c r="A49" s="2">
        <v>45299</v>
      </c>
      <c r="B49" s="39">
        <v>3</v>
      </c>
      <c r="C49" s="36" t="s">
        <v>110</v>
      </c>
      <c r="D49" s="16">
        <v>3000</v>
      </c>
    </row>
    <row r="50" spans="1:4" x14ac:dyDescent="0.25">
      <c r="A50" s="2">
        <v>45299</v>
      </c>
      <c r="B50" s="39">
        <v>2</v>
      </c>
      <c r="C50" s="36" t="s">
        <v>111</v>
      </c>
      <c r="D50" s="16">
        <v>20000</v>
      </c>
    </row>
    <row r="51" spans="1:4" x14ac:dyDescent="0.25">
      <c r="A51" s="2">
        <v>45299</v>
      </c>
      <c r="B51" s="39">
        <v>1</v>
      </c>
      <c r="C51" s="36" t="s">
        <v>106</v>
      </c>
      <c r="D51" s="16">
        <v>26000</v>
      </c>
    </row>
    <row r="52" spans="1:4" x14ac:dyDescent="0.25">
      <c r="A52" s="14">
        <v>45300</v>
      </c>
      <c r="B52" s="39">
        <v>1</v>
      </c>
      <c r="C52" s="36" t="s">
        <v>96</v>
      </c>
      <c r="D52" s="16">
        <v>1000</v>
      </c>
    </row>
    <row r="53" spans="1:4" x14ac:dyDescent="0.25">
      <c r="A53" s="14">
        <v>45300</v>
      </c>
      <c r="B53" s="39">
        <v>6</v>
      </c>
      <c r="C53" s="36" t="s">
        <v>94</v>
      </c>
      <c r="D53" s="16">
        <v>2000</v>
      </c>
    </row>
    <row r="54" spans="1:4" x14ac:dyDescent="0.25">
      <c r="A54" s="14">
        <v>45300</v>
      </c>
      <c r="B54" s="39">
        <v>14</v>
      </c>
      <c r="C54" s="36" t="s">
        <v>86</v>
      </c>
      <c r="D54" s="16">
        <v>2000</v>
      </c>
    </row>
    <row r="55" spans="1:4" x14ac:dyDescent="0.25">
      <c r="A55" s="14">
        <v>45300</v>
      </c>
      <c r="B55" s="39">
        <v>2</v>
      </c>
      <c r="C55" s="36" t="s">
        <v>112</v>
      </c>
      <c r="D55" s="16">
        <v>2400</v>
      </c>
    </row>
    <row r="56" spans="1:4" x14ac:dyDescent="0.25">
      <c r="A56" s="14">
        <v>45300</v>
      </c>
      <c r="B56" s="39">
        <v>17</v>
      </c>
      <c r="C56" s="36" t="s">
        <v>86</v>
      </c>
      <c r="D56" s="16">
        <v>3000</v>
      </c>
    </row>
    <row r="57" spans="1:4" x14ac:dyDescent="0.25">
      <c r="A57" s="14">
        <v>45300</v>
      </c>
      <c r="B57" s="39">
        <v>8</v>
      </c>
      <c r="C57" s="36" t="s">
        <v>113</v>
      </c>
      <c r="D57" s="16">
        <v>3300</v>
      </c>
    </row>
    <row r="58" spans="1:4" x14ac:dyDescent="0.25">
      <c r="A58" s="14">
        <v>45300</v>
      </c>
      <c r="B58" s="39">
        <v>12</v>
      </c>
      <c r="C58" s="36" t="s">
        <v>114</v>
      </c>
      <c r="D58" s="16">
        <v>3500</v>
      </c>
    </row>
    <row r="59" spans="1:4" x14ac:dyDescent="0.25">
      <c r="A59" s="14">
        <v>45300</v>
      </c>
      <c r="B59" s="39">
        <v>9</v>
      </c>
      <c r="C59" s="36" t="s">
        <v>115</v>
      </c>
      <c r="D59" s="16">
        <v>4800</v>
      </c>
    </row>
    <row r="60" spans="1:4" x14ac:dyDescent="0.25">
      <c r="A60" s="14">
        <v>45300</v>
      </c>
      <c r="B60" s="39">
        <v>5</v>
      </c>
      <c r="C60" s="36" t="s">
        <v>94</v>
      </c>
      <c r="D60" s="16">
        <v>5000</v>
      </c>
    </row>
    <row r="61" spans="1:4" x14ac:dyDescent="0.25">
      <c r="A61" s="14">
        <v>45300</v>
      </c>
      <c r="B61" s="39">
        <v>11</v>
      </c>
      <c r="C61" s="36" t="s">
        <v>93</v>
      </c>
      <c r="D61" s="16">
        <v>5000</v>
      </c>
    </row>
    <row r="62" spans="1:4" x14ac:dyDescent="0.25">
      <c r="A62" s="14">
        <v>45300</v>
      </c>
      <c r="B62" s="39">
        <v>16</v>
      </c>
      <c r="C62" s="36" t="s">
        <v>86</v>
      </c>
      <c r="D62" s="16">
        <v>5000</v>
      </c>
    </row>
    <row r="63" spans="1:4" x14ac:dyDescent="0.25">
      <c r="A63" s="14">
        <v>45300</v>
      </c>
      <c r="B63" s="39">
        <v>18</v>
      </c>
      <c r="C63" s="36" t="s">
        <v>86</v>
      </c>
      <c r="D63" s="16">
        <v>5000</v>
      </c>
    </row>
    <row r="64" spans="1:4" x14ac:dyDescent="0.25">
      <c r="A64" s="14">
        <v>45300</v>
      </c>
      <c r="B64" s="39">
        <v>19</v>
      </c>
      <c r="C64" s="36" t="s">
        <v>86</v>
      </c>
      <c r="D64" s="16">
        <v>5000</v>
      </c>
    </row>
    <row r="65" spans="1:4" x14ac:dyDescent="0.25">
      <c r="A65" s="14">
        <v>45300</v>
      </c>
      <c r="B65" s="39">
        <v>10</v>
      </c>
      <c r="C65" s="36" t="s">
        <v>116</v>
      </c>
      <c r="D65" s="16">
        <v>5200</v>
      </c>
    </row>
    <row r="66" spans="1:4" x14ac:dyDescent="0.25">
      <c r="A66" s="14">
        <v>45300</v>
      </c>
      <c r="B66" s="39">
        <v>20</v>
      </c>
      <c r="C66" s="36" t="s">
        <v>86</v>
      </c>
      <c r="D66" s="16">
        <v>7000</v>
      </c>
    </row>
    <row r="67" spans="1:4" x14ac:dyDescent="0.25">
      <c r="A67" s="14">
        <v>45300</v>
      </c>
      <c r="B67" s="39">
        <v>4</v>
      </c>
      <c r="C67" s="36" t="s">
        <v>94</v>
      </c>
      <c r="D67" s="16">
        <v>12000</v>
      </c>
    </row>
    <row r="68" spans="1:4" x14ac:dyDescent="0.25">
      <c r="A68" s="14">
        <v>45300</v>
      </c>
      <c r="B68" s="39">
        <v>15</v>
      </c>
      <c r="C68" s="36" t="s">
        <v>86</v>
      </c>
      <c r="D68" s="16">
        <v>12000</v>
      </c>
    </row>
    <row r="69" spans="1:4" x14ac:dyDescent="0.25">
      <c r="A69" s="14">
        <v>45300</v>
      </c>
      <c r="B69" s="39">
        <v>7</v>
      </c>
      <c r="C69" s="36" t="s">
        <v>89</v>
      </c>
      <c r="D69" s="16">
        <v>20000</v>
      </c>
    </row>
    <row r="70" spans="1:4" x14ac:dyDescent="0.25">
      <c r="A70" s="14">
        <v>45300</v>
      </c>
      <c r="B70" s="39">
        <v>3</v>
      </c>
      <c r="C70" s="36" t="s">
        <v>117</v>
      </c>
      <c r="D70" s="16">
        <v>25000</v>
      </c>
    </row>
    <row r="71" spans="1:4" x14ac:dyDescent="0.25">
      <c r="A71" s="14">
        <v>45300</v>
      </c>
      <c r="B71" s="39">
        <v>21</v>
      </c>
      <c r="C71" s="36" t="s">
        <v>288</v>
      </c>
      <c r="D71" s="16">
        <v>26000</v>
      </c>
    </row>
    <row r="72" spans="1:4" x14ac:dyDescent="0.25">
      <c r="A72" s="14">
        <v>45300</v>
      </c>
      <c r="B72" s="39">
        <v>13</v>
      </c>
      <c r="C72" s="36" t="s">
        <v>87</v>
      </c>
      <c r="D72" s="16">
        <v>28000</v>
      </c>
    </row>
    <row r="73" spans="1:4" x14ac:dyDescent="0.25">
      <c r="A73" s="14">
        <v>45301</v>
      </c>
      <c r="B73" s="39">
        <v>1</v>
      </c>
      <c r="C73" s="36" t="s">
        <v>118</v>
      </c>
      <c r="D73" s="16">
        <v>500</v>
      </c>
    </row>
    <row r="74" spans="1:4" x14ac:dyDescent="0.25">
      <c r="A74" s="14">
        <v>45301</v>
      </c>
      <c r="B74" s="39">
        <v>19</v>
      </c>
      <c r="C74" s="36" t="s">
        <v>119</v>
      </c>
      <c r="D74" s="16">
        <v>1200</v>
      </c>
    </row>
    <row r="75" spans="1:4" x14ac:dyDescent="0.25">
      <c r="A75" s="14">
        <v>45301</v>
      </c>
      <c r="B75" s="39">
        <v>13</v>
      </c>
      <c r="C75" s="36" t="s">
        <v>120</v>
      </c>
      <c r="D75" s="16">
        <v>1300</v>
      </c>
    </row>
    <row r="76" spans="1:4" x14ac:dyDescent="0.25">
      <c r="A76" s="14">
        <v>45301</v>
      </c>
      <c r="B76" s="39">
        <v>9</v>
      </c>
      <c r="C76" s="36" t="s">
        <v>121</v>
      </c>
      <c r="D76" s="16">
        <v>2000</v>
      </c>
    </row>
    <row r="77" spans="1:4" x14ac:dyDescent="0.25">
      <c r="A77" s="14">
        <v>45301</v>
      </c>
      <c r="B77" s="39">
        <v>17</v>
      </c>
      <c r="C77" s="36" t="s">
        <v>122</v>
      </c>
      <c r="D77" s="16">
        <v>2500</v>
      </c>
    </row>
    <row r="78" spans="1:4" x14ac:dyDescent="0.25">
      <c r="A78" s="14">
        <v>45301</v>
      </c>
      <c r="B78" s="39">
        <v>20</v>
      </c>
      <c r="C78" s="36" t="s">
        <v>123</v>
      </c>
      <c r="D78" s="16">
        <v>4000</v>
      </c>
    </row>
    <row r="79" spans="1:4" x14ac:dyDescent="0.25">
      <c r="A79" s="14">
        <v>45301</v>
      </c>
      <c r="B79" s="39">
        <v>7</v>
      </c>
      <c r="C79" s="36" t="s">
        <v>124</v>
      </c>
      <c r="D79" s="16">
        <v>5000</v>
      </c>
    </row>
    <row r="80" spans="1:4" x14ac:dyDescent="0.25">
      <c r="A80" s="14">
        <v>45301</v>
      </c>
      <c r="B80" s="39">
        <v>18</v>
      </c>
      <c r="C80" s="36" t="s">
        <v>125</v>
      </c>
      <c r="D80" s="16">
        <v>5100</v>
      </c>
    </row>
    <row r="81" spans="1:4" x14ac:dyDescent="0.25">
      <c r="A81" s="14">
        <v>45301</v>
      </c>
      <c r="B81" s="39">
        <v>10</v>
      </c>
      <c r="C81" s="36" t="s">
        <v>126</v>
      </c>
      <c r="D81" s="16">
        <v>5500</v>
      </c>
    </row>
    <row r="82" spans="1:4" x14ac:dyDescent="0.25">
      <c r="A82" s="14">
        <v>45301</v>
      </c>
      <c r="B82" s="39">
        <v>14</v>
      </c>
      <c r="C82" s="36" t="s">
        <v>127</v>
      </c>
      <c r="D82" s="16">
        <v>7300</v>
      </c>
    </row>
    <row r="83" spans="1:4" x14ac:dyDescent="0.25">
      <c r="A83" s="14">
        <v>45301</v>
      </c>
      <c r="B83" s="39">
        <v>6</v>
      </c>
      <c r="C83" s="36" t="s">
        <v>128</v>
      </c>
      <c r="D83" s="16">
        <v>8500</v>
      </c>
    </row>
    <row r="84" spans="1:4" x14ac:dyDescent="0.25">
      <c r="A84" s="14">
        <v>45301</v>
      </c>
      <c r="B84" s="39">
        <v>2</v>
      </c>
      <c r="C84" s="36" t="s">
        <v>129</v>
      </c>
      <c r="D84" s="16">
        <v>14000</v>
      </c>
    </row>
    <row r="85" spans="1:4" x14ac:dyDescent="0.25">
      <c r="A85" s="14">
        <v>45301</v>
      </c>
      <c r="B85" s="39">
        <v>11</v>
      </c>
      <c r="C85" s="36" t="s">
        <v>94</v>
      </c>
      <c r="D85" s="16">
        <v>15000</v>
      </c>
    </row>
    <row r="86" spans="1:4" x14ac:dyDescent="0.25">
      <c r="A86" s="14">
        <v>45301</v>
      </c>
      <c r="B86" s="39">
        <v>16</v>
      </c>
      <c r="C86" s="36" t="s">
        <v>130</v>
      </c>
      <c r="D86" s="16">
        <v>26000</v>
      </c>
    </row>
    <row r="87" spans="1:4" x14ac:dyDescent="0.25">
      <c r="A87" s="14">
        <v>45301</v>
      </c>
      <c r="B87" s="39">
        <v>8</v>
      </c>
      <c r="C87" s="36" t="s">
        <v>87</v>
      </c>
      <c r="D87" s="16">
        <v>28000</v>
      </c>
    </row>
    <row r="88" spans="1:4" x14ac:dyDescent="0.25">
      <c r="A88" s="14">
        <v>45301</v>
      </c>
      <c r="B88" s="39">
        <v>15</v>
      </c>
      <c r="C88" s="36" t="s">
        <v>131</v>
      </c>
      <c r="D88" s="16">
        <v>30000</v>
      </c>
    </row>
    <row r="89" spans="1:4" x14ac:dyDescent="0.25">
      <c r="A89" s="14">
        <v>45301</v>
      </c>
      <c r="B89" s="39">
        <v>4</v>
      </c>
      <c r="C89" s="36" t="s">
        <v>132</v>
      </c>
      <c r="D89" s="16">
        <v>70000</v>
      </c>
    </row>
    <row r="90" spans="1:4" x14ac:dyDescent="0.25">
      <c r="A90" s="14">
        <v>45301</v>
      </c>
      <c r="B90" s="39">
        <v>5</v>
      </c>
      <c r="C90" s="36" t="s">
        <v>133</v>
      </c>
      <c r="D90" s="16">
        <v>80000</v>
      </c>
    </row>
    <row r="91" spans="1:4" x14ac:dyDescent="0.25">
      <c r="A91" s="14">
        <v>45301</v>
      </c>
      <c r="B91" s="39">
        <v>12</v>
      </c>
      <c r="C91" s="36" t="s">
        <v>134</v>
      </c>
      <c r="D91" s="16">
        <v>125000</v>
      </c>
    </row>
    <row r="92" spans="1:4" x14ac:dyDescent="0.25">
      <c r="A92" s="14">
        <v>45301</v>
      </c>
      <c r="B92" s="39">
        <v>3</v>
      </c>
      <c r="C92" s="36" t="s">
        <v>93</v>
      </c>
      <c r="D92" s="16">
        <v>190000</v>
      </c>
    </row>
    <row r="93" spans="1:4" x14ac:dyDescent="0.25">
      <c r="A93" s="14">
        <v>45301</v>
      </c>
      <c r="B93" s="39">
        <v>21</v>
      </c>
      <c r="C93" s="36" t="s">
        <v>135</v>
      </c>
      <c r="D93" s="16">
        <v>280000</v>
      </c>
    </row>
    <row r="94" spans="1:4" x14ac:dyDescent="0.25">
      <c r="A94" s="14">
        <v>45302</v>
      </c>
      <c r="B94" s="39">
        <v>3</v>
      </c>
      <c r="C94" s="36" t="s">
        <v>136</v>
      </c>
      <c r="D94" s="16">
        <v>14700</v>
      </c>
    </row>
    <row r="95" spans="1:4" x14ac:dyDescent="0.25">
      <c r="A95" s="14">
        <v>45302</v>
      </c>
      <c r="B95" s="39">
        <v>6</v>
      </c>
      <c r="C95" s="36" t="s">
        <v>94</v>
      </c>
      <c r="D95" s="16">
        <v>29000</v>
      </c>
    </row>
    <row r="96" spans="1:4" x14ac:dyDescent="0.25">
      <c r="A96" s="14">
        <v>45302</v>
      </c>
      <c r="B96" s="39">
        <v>5</v>
      </c>
      <c r="C96" s="36" t="s">
        <v>87</v>
      </c>
      <c r="D96" s="16">
        <v>35000</v>
      </c>
    </row>
    <row r="97" spans="1:4" x14ac:dyDescent="0.25">
      <c r="A97" s="14">
        <v>45302</v>
      </c>
      <c r="B97" s="39">
        <v>1</v>
      </c>
      <c r="C97" s="36" t="s">
        <v>137</v>
      </c>
      <c r="D97" s="16">
        <v>39600</v>
      </c>
    </row>
    <row r="98" spans="1:4" x14ac:dyDescent="0.25">
      <c r="A98" s="14">
        <v>45302</v>
      </c>
      <c r="B98" s="39">
        <v>4</v>
      </c>
      <c r="C98" s="36" t="s">
        <v>138</v>
      </c>
      <c r="D98" s="16">
        <v>170000</v>
      </c>
    </row>
    <row r="99" spans="1:4" x14ac:dyDescent="0.25">
      <c r="A99" s="14">
        <v>45302</v>
      </c>
      <c r="B99" s="39">
        <v>2</v>
      </c>
      <c r="C99" s="36" t="s">
        <v>139</v>
      </c>
      <c r="D99" s="16">
        <v>340000</v>
      </c>
    </row>
    <row r="100" spans="1:4" x14ac:dyDescent="0.25">
      <c r="A100" s="14">
        <v>45303</v>
      </c>
      <c r="B100" s="16">
        <v>1</v>
      </c>
      <c r="C100" s="36" t="s">
        <v>87</v>
      </c>
      <c r="D100" s="16">
        <v>21000</v>
      </c>
    </row>
    <row r="101" spans="1:4" x14ac:dyDescent="0.25">
      <c r="A101" s="14">
        <v>45303</v>
      </c>
      <c r="B101" s="16">
        <v>2</v>
      </c>
      <c r="C101" s="36" t="s">
        <v>140</v>
      </c>
      <c r="D101" s="16">
        <v>6000</v>
      </c>
    </row>
    <row r="102" spans="1:4" x14ac:dyDescent="0.25">
      <c r="A102" s="14">
        <v>45303</v>
      </c>
      <c r="B102" s="16">
        <v>3</v>
      </c>
      <c r="C102" s="36" t="s">
        <v>141</v>
      </c>
      <c r="D102" s="16">
        <v>12000</v>
      </c>
    </row>
    <row r="103" spans="1:4" x14ac:dyDescent="0.25">
      <c r="A103" s="14">
        <v>45303</v>
      </c>
      <c r="B103" s="16">
        <v>4</v>
      </c>
      <c r="C103" s="36" t="s">
        <v>142</v>
      </c>
      <c r="D103" s="16">
        <v>30000</v>
      </c>
    </row>
    <row r="104" spans="1:4" x14ac:dyDescent="0.25">
      <c r="A104" s="14">
        <v>45303</v>
      </c>
      <c r="B104" s="16">
        <v>5</v>
      </c>
      <c r="C104" s="36" t="s">
        <v>94</v>
      </c>
      <c r="D104" s="16">
        <v>29000</v>
      </c>
    </row>
    <row r="105" spans="1:4" x14ac:dyDescent="0.25">
      <c r="A105" s="14">
        <v>45303</v>
      </c>
      <c r="B105" s="16">
        <v>6</v>
      </c>
      <c r="C105" s="36" t="s">
        <v>86</v>
      </c>
      <c r="D105" s="16">
        <v>20000</v>
      </c>
    </row>
    <row r="106" spans="1:4" x14ac:dyDescent="0.25">
      <c r="A106" s="14">
        <v>45304</v>
      </c>
      <c r="B106" s="16">
        <v>1</v>
      </c>
      <c r="C106" s="36" t="s">
        <v>143</v>
      </c>
      <c r="D106" s="16">
        <v>38800</v>
      </c>
    </row>
    <row r="107" spans="1:4" x14ac:dyDescent="0.25">
      <c r="A107" s="14">
        <v>45304</v>
      </c>
      <c r="B107" s="16">
        <v>2</v>
      </c>
      <c r="C107" s="36" t="s">
        <v>90</v>
      </c>
      <c r="D107" s="16">
        <v>60000</v>
      </c>
    </row>
    <row r="108" spans="1:4" x14ac:dyDescent="0.25">
      <c r="A108" s="14">
        <v>45304</v>
      </c>
      <c r="B108" s="16">
        <v>3</v>
      </c>
      <c r="C108" s="36" t="s">
        <v>87</v>
      </c>
      <c r="D108" s="16">
        <v>67500</v>
      </c>
    </row>
    <row r="109" spans="1:4" x14ac:dyDescent="0.25">
      <c r="A109" s="14">
        <v>45304</v>
      </c>
      <c r="B109" s="16">
        <v>4</v>
      </c>
      <c r="C109" s="36" t="s">
        <v>96</v>
      </c>
      <c r="D109" s="16">
        <v>10000</v>
      </c>
    </row>
    <row r="110" spans="1:4" x14ac:dyDescent="0.25">
      <c r="A110" s="14">
        <v>45304</v>
      </c>
      <c r="B110" s="16">
        <v>5</v>
      </c>
      <c r="C110" s="36" t="s">
        <v>94</v>
      </c>
      <c r="D110" s="16">
        <v>17000</v>
      </c>
    </row>
    <row r="111" spans="1:4" x14ac:dyDescent="0.25">
      <c r="A111" s="14">
        <v>45304</v>
      </c>
      <c r="B111" s="16">
        <v>6</v>
      </c>
      <c r="C111" s="36" t="s">
        <v>86</v>
      </c>
      <c r="D111" s="16">
        <v>26000</v>
      </c>
    </row>
    <row r="112" spans="1:4" x14ac:dyDescent="0.25">
      <c r="A112" s="14">
        <v>45306</v>
      </c>
      <c r="B112" s="16">
        <v>7</v>
      </c>
      <c r="C112" s="36" t="s">
        <v>139</v>
      </c>
      <c r="D112" s="16">
        <v>340000</v>
      </c>
    </row>
    <row r="113" spans="1:4" x14ac:dyDescent="0.25">
      <c r="A113" s="14">
        <v>45306</v>
      </c>
      <c r="B113" s="40">
        <v>1</v>
      </c>
      <c r="C113" s="36" t="s">
        <v>94</v>
      </c>
      <c r="D113" s="40">
        <v>27000</v>
      </c>
    </row>
    <row r="114" spans="1:4" x14ac:dyDescent="0.25">
      <c r="A114" s="14">
        <v>45306</v>
      </c>
      <c r="B114" s="40">
        <v>2</v>
      </c>
      <c r="C114" s="36" t="s">
        <v>87</v>
      </c>
      <c r="D114" s="40">
        <v>90000</v>
      </c>
    </row>
    <row r="115" spans="1:4" x14ac:dyDescent="0.25">
      <c r="A115" s="14">
        <v>45306</v>
      </c>
      <c r="B115" s="40">
        <v>3</v>
      </c>
      <c r="C115" s="38" t="s">
        <v>136</v>
      </c>
      <c r="D115" s="16">
        <v>14700</v>
      </c>
    </row>
    <row r="116" spans="1:4" x14ac:dyDescent="0.25">
      <c r="A116" s="14">
        <v>45306</v>
      </c>
      <c r="B116" s="40">
        <v>4</v>
      </c>
      <c r="C116" s="36" t="s">
        <v>86</v>
      </c>
      <c r="D116" s="40">
        <v>23000</v>
      </c>
    </row>
  </sheetData>
  <conditionalFormatting sqref="D1:D1048576">
    <cfRule type="colorScale" priority="1">
      <colorScale>
        <cfvo type="min"/>
        <cfvo type="percentile" val="50"/>
        <cfvo type="max"/>
        <color rgb="FFF8696B"/>
        <color rgb="FFFFEB84"/>
        <color rgb="FF63BE7B"/>
      </colorScale>
    </cfRule>
  </conditionalFormatting>
  <pageMargins left="0.75" right="0.75" top="1" bottom="1" header="0.5" footer="0.5"/>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sheetPr>
  <dimension ref="A1:I93"/>
  <sheetViews>
    <sheetView zoomScale="78" zoomScaleNormal="140" workbookViewId="0">
      <selection activeCell="C18" sqref="C18"/>
    </sheetView>
  </sheetViews>
  <sheetFormatPr defaultRowHeight="15" x14ac:dyDescent="0.25"/>
  <cols>
    <col min="1" max="1" width="24.5703125" style="31" bestFit="1" customWidth="1"/>
    <col min="2" max="2" width="21" style="31" bestFit="1" customWidth="1"/>
    <col min="3" max="3" width="30.140625" style="31" bestFit="1" customWidth="1"/>
    <col min="4" max="4" width="11.140625" style="43" bestFit="1" customWidth="1"/>
    <col min="5" max="5" width="12.28515625" style="43" bestFit="1" customWidth="1"/>
  </cols>
  <sheetData>
    <row r="1" spans="1:8" s="21" customFormat="1" x14ac:dyDescent="0.25">
      <c r="A1" s="21" t="s">
        <v>174</v>
      </c>
      <c r="B1" s="21" t="s">
        <v>175</v>
      </c>
      <c r="C1" s="21" t="s">
        <v>176</v>
      </c>
      <c r="D1" s="44" t="s">
        <v>323</v>
      </c>
      <c r="E1" s="44" t="s">
        <v>327</v>
      </c>
    </row>
    <row r="2" spans="1:8" x14ac:dyDescent="0.25">
      <c r="A2" s="6" t="s">
        <v>202</v>
      </c>
      <c r="B2" t="s">
        <v>173</v>
      </c>
      <c r="C2" t="s">
        <v>306</v>
      </c>
      <c r="D2" s="43">
        <v>0.32194440000000002</v>
      </c>
      <c r="E2" s="43">
        <v>32.6211111</v>
      </c>
    </row>
    <row r="3" spans="1:8" x14ac:dyDescent="0.25">
      <c r="A3" s="6" t="s">
        <v>177</v>
      </c>
      <c r="B3" t="s">
        <v>178</v>
      </c>
      <c r="C3" s="31" t="s">
        <v>145</v>
      </c>
      <c r="D3" s="43" t="s">
        <v>324</v>
      </c>
      <c r="E3" s="43">
        <v>32.615277800000001</v>
      </c>
    </row>
    <row r="4" spans="1:8" x14ac:dyDescent="0.25">
      <c r="A4" s="6" t="s">
        <v>179</v>
      </c>
      <c r="B4" t="s">
        <v>180</v>
      </c>
      <c r="C4" t="s">
        <v>145</v>
      </c>
      <c r="D4" s="43" t="s">
        <v>324</v>
      </c>
      <c r="E4" s="43">
        <v>33.615277800000001</v>
      </c>
    </row>
    <row r="5" spans="1:8" x14ac:dyDescent="0.25">
      <c r="A5" s="6"/>
      <c r="B5" t="s">
        <v>206</v>
      </c>
      <c r="C5" t="s">
        <v>145</v>
      </c>
      <c r="D5" s="43" t="s">
        <v>324</v>
      </c>
      <c r="E5" s="43">
        <v>33.615277800000001</v>
      </c>
    </row>
    <row r="6" spans="1:8" x14ac:dyDescent="0.25">
      <c r="A6" s="6"/>
      <c r="B6" t="s">
        <v>246</v>
      </c>
      <c r="C6" t="s">
        <v>145</v>
      </c>
      <c r="D6" s="43" t="s">
        <v>324</v>
      </c>
      <c r="E6" s="43">
        <v>33.615277800000001</v>
      </c>
    </row>
    <row r="7" spans="1:8" x14ac:dyDescent="0.25">
      <c r="A7" s="6" t="s">
        <v>277</v>
      </c>
      <c r="B7" t="s">
        <v>318</v>
      </c>
      <c r="C7" s="31" t="s">
        <v>278</v>
      </c>
      <c r="D7" s="43">
        <v>0.3333333</v>
      </c>
      <c r="E7" s="42">
        <v>32.616666700000003</v>
      </c>
    </row>
    <row r="8" spans="1:8" x14ac:dyDescent="0.25">
      <c r="A8" s="6"/>
      <c r="B8" t="s">
        <v>214</v>
      </c>
      <c r="C8" s="31" t="s">
        <v>326</v>
      </c>
      <c r="D8" s="43">
        <v>0.48333330000000002</v>
      </c>
      <c r="E8" s="43">
        <v>32.616666700000003</v>
      </c>
      <c r="H8" s="42"/>
    </row>
    <row r="9" spans="1:8" x14ac:dyDescent="0.25">
      <c r="A9" s="6"/>
      <c r="B9" t="s">
        <v>194</v>
      </c>
      <c r="C9" s="31" t="s">
        <v>146</v>
      </c>
      <c r="D9" s="43">
        <v>0.24305560000000001</v>
      </c>
      <c r="E9" s="43">
        <v>32.571388900000002</v>
      </c>
      <c r="G9" s="42"/>
      <c r="H9" s="42"/>
    </row>
    <row r="10" spans="1:8" x14ac:dyDescent="0.25">
      <c r="A10" s="6" t="s">
        <v>221</v>
      </c>
      <c r="B10" t="s">
        <v>222</v>
      </c>
      <c r="C10" t="s">
        <v>146</v>
      </c>
      <c r="D10" s="43">
        <v>0.24305560000000001</v>
      </c>
      <c r="E10" s="43">
        <v>32.571388900000002</v>
      </c>
    </row>
    <row r="11" spans="1:8" x14ac:dyDescent="0.25">
      <c r="A11" s="6" t="s">
        <v>237</v>
      </c>
      <c r="B11" t="s">
        <v>238</v>
      </c>
      <c r="C11" s="31" t="s">
        <v>146</v>
      </c>
      <c r="D11" s="43">
        <v>0.24305560000000001</v>
      </c>
      <c r="E11" s="43">
        <v>32.571388900000002</v>
      </c>
      <c r="G11" s="42"/>
      <c r="H11" s="42"/>
    </row>
    <row r="12" spans="1:8" x14ac:dyDescent="0.25">
      <c r="A12" s="6" t="s">
        <v>279</v>
      </c>
      <c r="B12" t="s">
        <v>319</v>
      </c>
      <c r="C12" t="s">
        <v>146</v>
      </c>
      <c r="D12" s="43">
        <v>0.24305560000000001</v>
      </c>
      <c r="E12" s="43">
        <v>32.571388900000002</v>
      </c>
    </row>
    <row r="13" spans="1:8" x14ac:dyDescent="0.25">
      <c r="A13" s="6" t="s">
        <v>188</v>
      </c>
      <c r="B13" t="s">
        <v>189</v>
      </c>
      <c r="C13" t="s">
        <v>303</v>
      </c>
      <c r="D13" s="43">
        <v>0.53333330000000001</v>
      </c>
      <c r="E13" s="43">
        <v>32.633333299999997</v>
      </c>
      <c r="G13" s="42"/>
      <c r="H13" s="42"/>
    </row>
    <row r="14" spans="1:8" x14ac:dyDescent="0.25">
      <c r="A14" s="6"/>
      <c r="B14" t="s">
        <v>263</v>
      </c>
      <c r="C14" s="31" t="s">
        <v>284</v>
      </c>
      <c r="D14" s="43">
        <v>6.6666699999999995E-2</v>
      </c>
      <c r="E14" s="43">
        <v>32.466666699999998</v>
      </c>
    </row>
    <row r="15" spans="1:8" x14ac:dyDescent="0.25">
      <c r="A15" s="6" t="s">
        <v>196</v>
      </c>
      <c r="B15" t="s">
        <v>147</v>
      </c>
      <c r="C15" s="31" t="s">
        <v>151</v>
      </c>
      <c r="D15" s="43">
        <v>0.1666667</v>
      </c>
      <c r="E15" s="43">
        <v>32.533333300000002</v>
      </c>
    </row>
    <row r="16" spans="1:8" x14ac:dyDescent="0.25">
      <c r="A16" s="6" t="s">
        <v>200</v>
      </c>
      <c r="B16" t="s">
        <v>201</v>
      </c>
      <c r="C16" t="s">
        <v>151</v>
      </c>
      <c r="D16" s="43">
        <v>0.1666667</v>
      </c>
      <c r="E16" s="43">
        <v>32.533333300000002</v>
      </c>
    </row>
    <row r="17" spans="1:5" x14ac:dyDescent="0.25">
      <c r="A17" s="6" t="s">
        <v>243</v>
      </c>
      <c r="B17" t="s">
        <v>244</v>
      </c>
      <c r="C17" t="s">
        <v>152</v>
      </c>
      <c r="D17" s="43">
        <v>0.43333329999999998</v>
      </c>
      <c r="E17" s="43">
        <v>32.633333299999997</v>
      </c>
    </row>
    <row r="18" spans="1:5" x14ac:dyDescent="0.25">
      <c r="A18" s="6" t="s">
        <v>247</v>
      </c>
      <c r="B18" t="s">
        <v>248</v>
      </c>
      <c r="C18" t="s">
        <v>152</v>
      </c>
      <c r="D18" s="43">
        <v>0.43333329999999998</v>
      </c>
      <c r="E18" s="43">
        <v>32.633333299999997</v>
      </c>
    </row>
    <row r="19" spans="1:5" x14ac:dyDescent="0.25">
      <c r="A19" s="6" t="s">
        <v>185</v>
      </c>
      <c r="B19" t="s">
        <v>186</v>
      </c>
      <c r="C19" s="31" t="s">
        <v>187</v>
      </c>
      <c r="D19" s="43">
        <v>0.3411111</v>
      </c>
      <c r="E19" s="43">
        <v>32.564166700000001</v>
      </c>
    </row>
    <row r="20" spans="1:5" x14ac:dyDescent="0.25">
      <c r="A20" s="6" t="s">
        <v>216</v>
      </c>
      <c r="B20" t="s">
        <v>217</v>
      </c>
      <c r="C20" s="31" t="s">
        <v>187</v>
      </c>
      <c r="D20" s="43">
        <v>0.3411111</v>
      </c>
      <c r="E20" s="43">
        <v>32.564166700000001</v>
      </c>
    </row>
    <row r="21" spans="1:5" x14ac:dyDescent="0.25">
      <c r="A21" s="6" t="s">
        <v>226</v>
      </c>
      <c r="B21" t="s">
        <v>227</v>
      </c>
      <c r="C21" t="s">
        <v>187</v>
      </c>
      <c r="D21" s="43">
        <v>0.3411111</v>
      </c>
      <c r="E21" s="43">
        <v>32.564166700000001</v>
      </c>
    </row>
    <row r="22" spans="1:5" x14ac:dyDescent="0.25">
      <c r="A22" s="6" t="s">
        <v>241</v>
      </c>
      <c r="B22" t="s">
        <v>242</v>
      </c>
      <c r="C22" t="s">
        <v>187</v>
      </c>
      <c r="D22" s="43">
        <v>0.3411111</v>
      </c>
      <c r="E22" s="43">
        <v>32.564166700000001</v>
      </c>
    </row>
    <row r="23" spans="1:5" x14ac:dyDescent="0.25">
      <c r="A23" s="6"/>
      <c r="B23" t="s">
        <v>149</v>
      </c>
      <c r="C23" s="31" t="s">
        <v>305</v>
      </c>
      <c r="D23" s="43">
        <v>0.30611110000000002</v>
      </c>
      <c r="E23" s="43">
        <v>32.6211111</v>
      </c>
    </row>
    <row r="24" spans="1:5" x14ac:dyDescent="0.25">
      <c r="A24" s="6" t="s">
        <v>181</v>
      </c>
      <c r="B24" t="s">
        <v>182</v>
      </c>
      <c r="C24" t="s">
        <v>183</v>
      </c>
      <c r="D24" s="43">
        <v>0.29664600000000002</v>
      </c>
      <c r="E24" s="43" t="s">
        <v>325</v>
      </c>
    </row>
    <row r="25" spans="1:5" x14ac:dyDescent="0.25">
      <c r="A25" s="6"/>
      <c r="B25" t="s">
        <v>148</v>
      </c>
      <c r="C25" s="31" t="s">
        <v>183</v>
      </c>
      <c r="D25" s="43">
        <v>0.29664600000000002</v>
      </c>
      <c r="E25" s="43" t="s">
        <v>325</v>
      </c>
    </row>
    <row r="26" spans="1:5" x14ac:dyDescent="0.25">
      <c r="A26" s="6" t="s">
        <v>212</v>
      </c>
      <c r="B26" t="s">
        <v>213</v>
      </c>
      <c r="C26" t="s">
        <v>153</v>
      </c>
      <c r="D26" s="43">
        <v>0.3461111</v>
      </c>
      <c r="E26" s="43">
        <v>32.623333299999999</v>
      </c>
    </row>
    <row r="27" spans="1:5" x14ac:dyDescent="0.25">
      <c r="A27" s="6" t="s">
        <v>280</v>
      </c>
      <c r="B27" t="s">
        <v>320</v>
      </c>
      <c r="C27" s="31" t="s">
        <v>153</v>
      </c>
      <c r="D27" s="43">
        <v>0.3461111</v>
      </c>
      <c r="E27" s="43">
        <v>32.623333299999999</v>
      </c>
    </row>
    <row r="28" spans="1:5" x14ac:dyDescent="0.25">
      <c r="A28" s="6" t="s">
        <v>280</v>
      </c>
      <c r="B28" t="s">
        <v>321</v>
      </c>
      <c r="C28" s="31" t="s">
        <v>281</v>
      </c>
      <c r="D28" s="43">
        <v>0.3461111</v>
      </c>
      <c r="E28" s="43">
        <v>32.623333299999999</v>
      </c>
    </row>
    <row r="29" spans="1:5" x14ac:dyDescent="0.25">
      <c r="A29" s="6" t="s">
        <v>228</v>
      </c>
      <c r="B29" t="s">
        <v>229</v>
      </c>
      <c r="C29" t="s">
        <v>154</v>
      </c>
      <c r="D29" s="42">
        <v>0.31666670000000002</v>
      </c>
      <c r="E29" s="42">
        <v>32.5833333</v>
      </c>
    </row>
    <row r="30" spans="1:5" x14ac:dyDescent="0.25">
      <c r="A30" s="6" t="s">
        <v>258</v>
      </c>
      <c r="B30" t="s">
        <v>259</v>
      </c>
      <c r="C30" s="31" t="s">
        <v>154</v>
      </c>
      <c r="D30" s="42">
        <v>0.31666670000000002</v>
      </c>
      <c r="E30" s="42">
        <v>32.5833333</v>
      </c>
    </row>
    <row r="31" spans="1:5" x14ac:dyDescent="0.25">
      <c r="A31" s="6" t="s">
        <v>219</v>
      </c>
      <c r="B31" t="s">
        <v>220</v>
      </c>
      <c r="C31" t="s">
        <v>155</v>
      </c>
      <c r="D31" s="43">
        <v>0.4166667</v>
      </c>
      <c r="E31" s="43">
        <v>32.533333300000002</v>
      </c>
    </row>
    <row r="32" spans="1:5" x14ac:dyDescent="0.25">
      <c r="A32" s="6" t="s">
        <v>235</v>
      </c>
      <c r="B32" t="s">
        <v>236</v>
      </c>
      <c r="C32" s="31" t="s">
        <v>155</v>
      </c>
      <c r="D32" s="43">
        <v>0.4166667</v>
      </c>
      <c r="E32" s="43">
        <v>32.533333300000002</v>
      </c>
    </row>
    <row r="33" spans="1:9" x14ac:dyDescent="0.25">
      <c r="A33" s="6"/>
      <c r="B33" t="s">
        <v>148</v>
      </c>
      <c r="C33" t="s">
        <v>156</v>
      </c>
      <c r="D33" s="43">
        <v>0.3333333</v>
      </c>
      <c r="E33" s="43">
        <v>32.616666700000003</v>
      </c>
    </row>
    <row r="34" spans="1:9" x14ac:dyDescent="0.25">
      <c r="A34" s="6" t="s">
        <v>209</v>
      </c>
      <c r="B34" t="s">
        <v>210</v>
      </c>
      <c r="C34" s="31" t="s">
        <v>157</v>
      </c>
      <c r="D34" s="43">
        <v>0.36666670000000001</v>
      </c>
      <c r="E34" s="43">
        <v>32.616666700000003</v>
      </c>
    </row>
    <row r="35" spans="1:9" x14ac:dyDescent="0.25">
      <c r="A35" s="6"/>
      <c r="B35" t="s">
        <v>184</v>
      </c>
      <c r="C35" s="31" t="s">
        <v>158</v>
      </c>
      <c r="D35" s="43">
        <v>0.27222220000000003</v>
      </c>
      <c r="E35" s="43">
        <v>32.583055600000002</v>
      </c>
    </row>
    <row r="36" spans="1:9" x14ac:dyDescent="0.25">
      <c r="A36" s="6"/>
      <c r="B36" t="s">
        <v>215</v>
      </c>
      <c r="C36" t="s">
        <v>158</v>
      </c>
      <c r="D36" s="43">
        <v>0.26666669999999998</v>
      </c>
      <c r="E36" s="43">
        <v>32.616666700000003</v>
      </c>
    </row>
    <row r="37" spans="1:9" x14ac:dyDescent="0.25">
      <c r="A37" s="6" t="s">
        <v>203</v>
      </c>
      <c r="B37" t="s">
        <v>204</v>
      </c>
      <c r="C37" s="31" t="s">
        <v>205</v>
      </c>
      <c r="D37" s="43">
        <v>0.36666670000000001</v>
      </c>
      <c r="E37" s="43">
        <v>32.5833333</v>
      </c>
    </row>
    <row r="38" spans="1:9" x14ac:dyDescent="0.25">
      <c r="A38" s="6"/>
      <c r="B38" t="s">
        <v>231</v>
      </c>
      <c r="C38" t="s">
        <v>159</v>
      </c>
      <c r="D38" s="43">
        <v>0.28333330000000001</v>
      </c>
      <c r="E38" s="43">
        <v>32.633333299999997</v>
      </c>
    </row>
    <row r="39" spans="1:9" x14ac:dyDescent="0.25">
      <c r="A39" s="6"/>
      <c r="B39" t="s">
        <v>231</v>
      </c>
      <c r="C39" t="s">
        <v>159</v>
      </c>
      <c r="D39" s="43">
        <v>0.28333330000000001</v>
      </c>
      <c r="E39" s="43">
        <v>32.633333299999997</v>
      </c>
    </row>
    <row r="40" spans="1:9" x14ac:dyDescent="0.25">
      <c r="A40" s="6" t="s">
        <v>256</v>
      </c>
      <c r="B40" t="s">
        <v>257</v>
      </c>
      <c r="C40" s="31" t="s">
        <v>161</v>
      </c>
      <c r="D40" s="42">
        <v>0.3333333</v>
      </c>
      <c r="E40" s="42">
        <v>32.566666699999999</v>
      </c>
    </row>
    <row r="41" spans="1:9" x14ac:dyDescent="0.25">
      <c r="A41" s="6"/>
      <c r="B41" t="s">
        <v>195</v>
      </c>
      <c r="C41" s="41" t="s">
        <v>162</v>
      </c>
      <c r="D41" s="43">
        <v>0.31222220000000001</v>
      </c>
      <c r="E41" s="43">
        <v>32.564722199999999</v>
      </c>
      <c r="H41" s="42"/>
      <c r="I41" s="42"/>
    </row>
    <row r="42" spans="1:9" x14ac:dyDescent="0.25">
      <c r="A42" s="6" t="s">
        <v>190</v>
      </c>
      <c r="B42" t="s">
        <v>191</v>
      </c>
      <c r="C42" s="41" t="s">
        <v>164</v>
      </c>
      <c r="D42" s="43">
        <v>0.38611109999999998</v>
      </c>
      <c r="E42" s="43">
        <v>32.616944400000001</v>
      </c>
    </row>
    <row r="43" spans="1:9" x14ac:dyDescent="0.25">
      <c r="A43" s="6" t="s">
        <v>197</v>
      </c>
      <c r="B43" t="s">
        <v>198</v>
      </c>
      <c r="C43" s="41" t="s">
        <v>164</v>
      </c>
      <c r="D43" s="43">
        <v>0.38611109999999998</v>
      </c>
      <c r="E43" s="43">
        <v>32.616944400000001</v>
      </c>
      <c r="G43" s="42"/>
      <c r="H43" s="42"/>
    </row>
    <row r="44" spans="1:9" x14ac:dyDescent="0.25">
      <c r="A44" s="6" t="s">
        <v>230</v>
      </c>
      <c r="B44" t="s">
        <v>163</v>
      </c>
      <c r="C44" s="41" t="s">
        <v>165</v>
      </c>
      <c r="D44" s="43">
        <v>0.23333329999999999</v>
      </c>
      <c r="E44" s="43">
        <v>32.616666700000003</v>
      </c>
      <c r="G44" s="42"/>
      <c r="H44" s="42"/>
    </row>
    <row r="45" spans="1:9" x14ac:dyDescent="0.25">
      <c r="A45" s="6" t="s">
        <v>211</v>
      </c>
      <c r="B45" t="s">
        <v>150</v>
      </c>
      <c r="C45" s="41" t="s">
        <v>252</v>
      </c>
      <c r="D45" s="43">
        <v>0.28333330000000001</v>
      </c>
      <c r="E45" s="43">
        <v>32.616666700000003</v>
      </c>
      <c r="H45" s="42"/>
    </row>
    <row r="46" spans="1:9" x14ac:dyDescent="0.25">
      <c r="A46" s="6"/>
      <c r="B46" t="s">
        <v>251</v>
      </c>
      <c r="C46" s="41" t="s">
        <v>252</v>
      </c>
      <c r="D46" s="43">
        <v>0.28333330000000001</v>
      </c>
      <c r="E46" s="43">
        <v>32.616666700000003</v>
      </c>
    </row>
    <row r="47" spans="1:9" x14ac:dyDescent="0.25">
      <c r="A47" s="6" t="s">
        <v>253</v>
      </c>
      <c r="B47" t="s">
        <v>254</v>
      </c>
      <c r="C47" t="s">
        <v>252</v>
      </c>
      <c r="D47" s="43">
        <v>0.28333330000000001</v>
      </c>
      <c r="E47" s="43">
        <v>32.616666700000003</v>
      </c>
    </row>
    <row r="48" spans="1:9" x14ac:dyDescent="0.25">
      <c r="A48" s="6" t="s">
        <v>255</v>
      </c>
      <c r="B48" t="s">
        <v>171</v>
      </c>
      <c r="C48" s="31" t="s">
        <v>252</v>
      </c>
      <c r="D48" s="43">
        <v>0.28333330000000001</v>
      </c>
      <c r="E48" s="43">
        <v>32.616666700000003</v>
      </c>
    </row>
    <row r="49" spans="1:9" x14ac:dyDescent="0.25">
      <c r="A49" s="6" t="s">
        <v>266</v>
      </c>
      <c r="B49" t="s">
        <v>267</v>
      </c>
      <c r="C49" t="s">
        <v>166</v>
      </c>
      <c r="D49" s="43">
        <v>0.28333330000000001</v>
      </c>
      <c r="E49" s="43">
        <v>32.616666700000003</v>
      </c>
    </row>
    <row r="50" spans="1:9" x14ac:dyDescent="0.25">
      <c r="A50" s="6"/>
      <c r="B50" t="s">
        <v>199</v>
      </c>
      <c r="C50" t="s">
        <v>167</v>
      </c>
      <c r="D50" s="43">
        <v>0.32638889999999998</v>
      </c>
      <c r="E50" s="43">
        <v>32.623333299999999</v>
      </c>
    </row>
    <row r="51" spans="1:9" x14ac:dyDescent="0.25">
      <c r="A51" s="6"/>
      <c r="B51" t="s">
        <v>246</v>
      </c>
      <c r="C51" t="s">
        <v>167</v>
      </c>
      <c r="D51" s="43">
        <v>0.32638889999999998</v>
      </c>
      <c r="E51" s="43">
        <v>32.623333299999999</v>
      </c>
    </row>
    <row r="52" spans="1:9" x14ac:dyDescent="0.25">
      <c r="A52" s="6"/>
      <c r="B52" t="s">
        <v>245</v>
      </c>
      <c r="C52" s="31" t="s">
        <v>310</v>
      </c>
      <c r="D52" s="43">
        <v>0.36666670000000001</v>
      </c>
      <c r="E52" s="43">
        <v>32.633333299999997</v>
      </c>
    </row>
    <row r="53" spans="1:9" x14ac:dyDescent="0.25">
      <c r="A53" s="6"/>
      <c r="B53" t="s">
        <v>232</v>
      </c>
      <c r="C53" t="s">
        <v>168</v>
      </c>
      <c r="D53" s="43">
        <v>0.31666670000000002</v>
      </c>
      <c r="E53" s="43">
        <v>32.5833333</v>
      </c>
      <c r="G53" s="42"/>
      <c r="H53" s="42"/>
    </row>
    <row r="54" spans="1:9" x14ac:dyDescent="0.25">
      <c r="A54" s="6"/>
      <c r="B54" t="s">
        <v>218</v>
      </c>
      <c r="C54" t="s">
        <v>308</v>
      </c>
      <c r="D54" s="43">
        <v>0.31666670000000002</v>
      </c>
      <c r="E54" s="43">
        <v>32.616666700000003</v>
      </c>
    </row>
    <row r="55" spans="1:9" x14ac:dyDescent="0.25">
      <c r="A55" s="6" t="s">
        <v>233</v>
      </c>
      <c r="B55" t="s">
        <v>234</v>
      </c>
      <c r="C55" t="s">
        <v>308</v>
      </c>
      <c r="D55" s="43">
        <v>0.31666670000000002</v>
      </c>
      <c r="E55" s="43">
        <v>32.616666700000003</v>
      </c>
    </row>
    <row r="56" spans="1:9" x14ac:dyDescent="0.25">
      <c r="A56" s="6" t="s">
        <v>273</v>
      </c>
      <c r="B56" t="s">
        <v>314</v>
      </c>
      <c r="C56" t="s">
        <v>274</v>
      </c>
      <c r="D56" s="43">
        <v>0.31666670000000002</v>
      </c>
      <c r="E56" s="43">
        <v>32.616666700000003</v>
      </c>
    </row>
    <row r="57" spans="1:9" x14ac:dyDescent="0.25">
      <c r="A57" s="6" t="s">
        <v>273</v>
      </c>
      <c r="B57" t="s">
        <v>315</v>
      </c>
      <c r="C57" t="s">
        <v>274</v>
      </c>
      <c r="D57" s="43">
        <v>0.31666670000000002</v>
      </c>
      <c r="E57" s="43">
        <v>32.616666700000003</v>
      </c>
    </row>
    <row r="58" spans="1:9" x14ac:dyDescent="0.25">
      <c r="A58" s="6" t="s">
        <v>271</v>
      </c>
      <c r="B58" t="s">
        <v>313</v>
      </c>
      <c r="C58" s="31" t="s">
        <v>272</v>
      </c>
      <c r="D58" s="43">
        <v>0.31666670000000002</v>
      </c>
      <c r="E58" s="43">
        <v>32.616666700000003</v>
      </c>
    </row>
    <row r="59" spans="1:9" x14ac:dyDescent="0.25">
      <c r="A59" s="6" t="s">
        <v>207</v>
      </c>
      <c r="B59" t="s">
        <v>208</v>
      </c>
      <c r="C59" s="31" t="s">
        <v>307</v>
      </c>
      <c r="D59" s="43">
        <v>1.66667E-2</v>
      </c>
      <c r="E59" s="43">
        <v>32.516666700000002</v>
      </c>
    </row>
    <row r="60" spans="1:9" x14ac:dyDescent="0.25">
      <c r="A60" s="6"/>
      <c r="B60" t="s">
        <v>223</v>
      </c>
      <c r="C60" s="31" t="s">
        <v>224</v>
      </c>
      <c r="D60" s="43">
        <v>0.28333330000000001</v>
      </c>
      <c r="E60" s="43">
        <v>32.616666700000003</v>
      </c>
    </row>
    <row r="61" spans="1:9" x14ac:dyDescent="0.25">
      <c r="A61" s="6"/>
      <c r="B61" t="s">
        <v>169</v>
      </c>
      <c r="C61" s="31" t="s">
        <v>224</v>
      </c>
      <c r="D61" s="43">
        <v>0.28333330000000001</v>
      </c>
      <c r="E61" s="43">
        <v>32.616666700000003</v>
      </c>
    </row>
    <row r="62" spans="1:9" x14ac:dyDescent="0.25">
      <c r="A62" s="6" t="s">
        <v>192</v>
      </c>
      <c r="B62" t="s">
        <v>193</v>
      </c>
      <c r="C62" t="s">
        <v>304</v>
      </c>
      <c r="D62" s="43">
        <v>0.23333329999999999</v>
      </c>
      <c r="E62" s="43">
        <v>32.566666699999999</v>
      </c>
      <c r="H62" s="42"/>
      <c r="I62" s="42"/>
    </row>
    <row r="63" spans="1:9" x14ac:dyDescent="0.25">
      <c r="A63" s="6" t="s">
        <v>249</v>
      </c>
      <c r="B63" s="31" t="s">
        <v>250</v>
      </c>
      <c r="C63" t="s">
        <v>309</v>
      </c>
      <c r="D63" s="43">
        <v>0.2916667</v>
      </c>
      <c r="E63" s="43">
        <v>32.5833333</v>
      </c>
    </row>
    <row r="64" spans="1:9" x14ac:dyDescent="0.25">
      <c r="A64" s="6"/>
      <c r="B64" s="31" t="s">
        <v>144</v>
      </c>
      <c r="C64" t="s">
        <v>170</v>
      </c>
      <c r="D64" s="43">
        <v>0.34305560000000002</v>
      </c>
      <c r="E64" s="43">
        <v>32.615833299999998</v>
      </c>
    </row>
    <row r="65" spans="1:5" x14ac:dyDescent="0.25">
      <c r="A65" s="6" t="s">
        <v>264</v>
      </c>
      <c r="B65" s="31" t="s">
        <v>265</v>
      </c>
      <c r="C65" t="s">
        <v>170</v>
      </c>
      <c r="D65" s="43">
        <v>0.34305560000000002</v>
      </c>
      <c r="E65" s="43">
        <v>32.615833299999998</v>
      </c>
    </row>
    <row r="66" spans="1:5" x14ac:dyDescent="0.25">
      <c r="A66" s="6" t="s">
        <v>275</v>
      </c>
      <c r="B66" s="31" t="s">
        <v>316</v>
      </c>
      <c r="C66" t="s">
        <v>276</v>
      </c>
      <c r="D66" s="43">
        <v>0.34305560000000002</v>
      </c>
      <c r="E66" s="43">
        <v>32.615833299999998</v>
      </c>
    </row>
    <row r="67" spans="1:5" x14ac:dyDescent="0.25">
      <c r="A67" s="6" t="s">
        <v>275</v>
      </c>
      <c r="B67" s="31" t="s">
        <v>317</v>
      </c>
      <c r="C67" t="s">
        <v>276</v>
      </c>
      <c r="D67" s="43">
        <v>0.34305560000000002</v>
      </c>
      <c r="E67" s="43">
        <v>32.615833299999998</v>
      </c>
    </row>
    <row r="68" spans="1:5" x14ac:dyDescent="0.25">
      <c r="A68" s="6" t="s">
        <v>282</v>
      </c>
      <c r="B68" s="31" t="s">
        <v>322</v>
      </c>
      <c r="C68" t="s">
        <v>283</v>
      </c>
      <c r="D68" s="43">
        <v>0.34305560000000002</v>
      </c>
      <c r="E68" s="43">
        <v>32.615833299999998</v>
      </c>
    </row>
    <row r="69" spans="1:5" x14ac:dyDescent="0.25">
      <c r="A69" s="6" t="s">
        <v>270</v>
      </c>
      <c r="B69" s="31" t="s">
        <v>312</v>
      </c>
      <c r="C69" t="s">
        <v>172</v>
      </c>
      <c r="D69" s="43">
        <v>0.31940000000000002</v>
      </c>
      <c r="E69" s="43">
        <v>32.712499999999999</v>
      </c>
    </row>
    <row r="70" spans="1:5" x14ac:dyDescent="0.25">
      <c r="A70" s="6" t="s">
        <v>225</v>
      </c>
      <c r="B70" s="31" t="s">
        <v>160</v>
      </c>
      <c r="C70" t="s">
        <v>286</v>
      </c>
      <c r="D70" s="43">
        <v>0.26666669999999998</v>
      </c>
      <c r="E70" s="43">
        <v>32.549999999999997</v>
      </c>
    </row>
    <row r="71" spans="1:5" x14ac:dyDescent="0.25">
      <c r="A71" s="6" t="s">
        <v>239</v>
      </c>
      <c r="B71" s="31" t="s">
        <v>240</v>
      </c>
      <c r="C71" t="s">
        <v>286</v>
      </c>
      <c r="D71" s="43">
        <v>0.26666669999999998</v>
      </c>
      <c r="E71" s="43">
        <v>32.549999999999997</v>
      </c>
    </row>
    <row r="72" spans="1:5" x14ac:dyDescent="0.25">
      <c r="A72" s="6"/>
      <c r="B72" s="31" t="s">
        <v>262</v>
      </c>
      <c r="C72" t="s">
        <v>286</v>
      </c>
      <c r="D72" s="43">
        <v>0.26666669999999998</v>
      </c>
      <c r="E72" s="43">
        <v>32.549999999999997</v>
      </c>
    </row>
    <row r="73" spans="1:5" x14ac:dyDescent="0.25">
      <c r="A73" s="6" t="s">
        <v>268</v>
      </c>
      <c r="B73" s="31" t="s">
        <v>311</v>
      </c>
      <c r="C73" t="s">
        <v>269</v>
      </c>
      <c r="D73" s="43">
        <v>0.48333330000000002</v>
      </c>
      <c r="E73" s="43">
        <v>32.533333300000002</v>
      </c>
    </row>
    <row r="74" spans="1:5" x14ac:dyDescent="0.25">
      <c r="A74" s="6" t="s">
        <v>260</v>
      </c>
      <c r="B74" s="31" t="s">
        <v>261</v>
      </c>
      <c r="C74" t="s">
        <v>285</v>
      </c>
      <c r="D74" s="43">
        <v>0.26666669999999998</v>
      </c>
      <c r="E74" s="43">
        <v>32.5833333</v>
      </c>
    </row>
    <row r="75" spans="1:5" x14ac:dyDescent="0.25">
      <c r="A75" s="6"/>
      <c r="C75"/>
    </row>
    <row r="76" spans="1:5" x14ac:dyDescent="0.25">
      <c r="A76" s="6"/>
      <c r="C76"/>
    </row>
    <row r="77" spans="1:5" x14ac:dyDescent="0.25">
      <c r="A77" s="6"/>
      <c r="C77"/>
    </row>
    <row r="78" spans="1:5" x14ac:dyDescent="0.25">
      <c r="A78" s="6"/>
      <c r="C78"/>
    </row>
    <row r="79" spans="1:5" x14ac:dyDescent="0.25">
      <c r="A79" s="6"/>
      <c r="C79"/>
    </row>
    <row r="80" spans="1:5" x14ac:dyDescent="0.25">
      <c r="A80" s="6"/>
      <c r="C80"/>
    </row>
    <row r="81" spans="1:3" x14ac:dyDescent="0.25">
      <c r="A81" s="6"/>
      <c r="C81"/>
    </row>
    <row r="82" spans="1:3" x14ac:dyDescent="0.25">
      <c r="A82" s="6"/>
      <c r="C82"/>
    </row>
    <row r="83" spans="1:3" x14ac:dyDescent="0.25">
      <c r="A83" s="6"/>
      <c r="C83"/>
    </row>
    <row r="84" spans="1:3" x14ac:dyDescent="0.25">
      <c r="A84" s="6"/>
      <c r="C84"/>
    </row>
    <row r="85" spans="1:3" x14ac:dyDescent="0.25">
      <c r="A85" s="6"/>
      <c r="C85"/>
    </row>
    <row r="86" spans="1:3" x14ac:dyDescent="0.25">
      <c r="A86" s="6"/>
      <c r="C86"/>
    </row>
    <row r="87" spans="1:3" x14ac:dyDescent="0.25">
      <c r="A87" s="6"/>
      <c r="C87"/>
    </row>
    <row r="88" spans="1:3" x14ac:dyDescent="0.25">
      <c r="A88" s="6"/>
      <c r="C88"/>
    </row>
    <row r="89" spans="1:3" x14ac:dyDescent="0.25">
      <c r="A89" s="6"/>
      <c r="C89"/>
    </row>
    <row r="90" spans="1:3" x14ac:dyDescent="0.25">
      <c r="A90" s="6"/>
      <c r="C90"/>
    </row>
    <row r="91" spans="1:3" x14ac:dyDescent="0.25">
      <c r="A91" s="6"/>
    </row>
    <row r="92" spans="1:3" x14ac:dyDescent="0.25">
      <c r="A92" s="6"/>
    </row>
    <row r="93" spans="1:3" x14ac:dyDescent="0.25">
      <c r="A93" s="6"/>
    </row>
  </sheetData>
  <sortState ref="A2:E93">
    <sortCondition ref="C1"/>
  </sortState>
  <pageMargins left="0.75" right="0.75" top="1" bottom="1" header="0.5" footer="0.5"/>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 BOARD</vt:lpstr>
      <vt:lpstr>SALES</vt:lpstr>
      <vt:lpstr>EXPENSES</vt:lpstr>
      <vt:lpstr>CUSTOMERS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Tulyahikayo Tevin</dc:creator>
  <cp:lastModifiedBy>Tulyahikayo Tevin</cp:lastModifiedBy>
  <dcterms:created xsi:type="dcterms:W3CDTF">2024-01-07T18:30:47Z</dcterms:created>
  <dcterms:modified xsi:type="dcterms:W3CDTF">2025-03-25T21:02:39Z</dcterms:modified>
</cp:coreProperties>
</file>