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Pine8th\"/>
    </mc:Choice>
  </mc:AlternateContent>
  <xr:revisionPtr revIDLastSave="0" documentId="13_ncr:1_{74FEB2E1-413B-4572-BA07-20E07E9CA582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CHEMSUMM" sheetId="1" r:id="rId1"/>
    <sheet name="Refs and Values" sheetId="2" r:id="rId2"/>
  </sheets>
  <externalReferences>
    <externalReference r:id="rId3"/>
  </externalReferences>
  <definedNames>
    <definedName name="R_atm">[1]Constants!$C$2</definedName>
    <definedName name="R_Pa">[1]Constants!$C$3</definedName>
  </definedNames>
  <calcPr calcId="191029"/>
</workbook>
</file>

<file path=xl/calcChain.xml><?xml version="1.0" encoding="utf-8"?>
<calcChain xmlns="http://schemas.openxmlformats.org/spreadsheetml/2006/main">
  <c r="G5" i="1" l="1"/>
  <c r="P14" i="2"/>
  <c r="H5" i="1"/>
  <c r="H4" i="1"/>
  <c r="H3" i="1"/>
  <c r="G4" i="1"/>
  <c r="O13" i="2"/>
  <c r="G3" i="1"/>
  <c r="N12" i="2"/>
  <c r="D3" i="1" l="1"/>
  <c r="D4" i="1"/>
  <c r="D5" i="1"/>
  <c r="D6" i="1"/>
  <c r="D2" i="1"/>
  <c r="C3" i="1" l="1"/>
  <c r="L9" i="2"/>
  <c r="L8" i="2"/>
  <c r="L3" i="1"/>
  <c r="K3" i="1"/>
  <c r="C5" i="1"/>
  <c r="C4" i="1"/>
  <c r="C6" i="1"/>
  <c r="K6" i="1"/>
  <c r="H6" i="1"/>
  <c r="C15" i="2" l="1"/>
  <c r="C12" i="2"/>
  <c r="C11" i="2"/>
  <c r="C9" i="2"/>
  <c r="C7" i="2"/>
  <c r="H2" i="1" l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tc={6F7FD141-D115-4CA7-A1BB-1CF8844A9756}</author>
    <author>Rodgers, Timothy</author>
  </authors>
  <commentList>
    <comment ref="C1" authorId="0" shapeId="0" xr:uid="{6F7FD141-D115-4CA7-A1BB-1CF8844A975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  </r>
      </text>
    </comment>
    <comment ref="F1" authorId="1" shapeId="0" xr:uid="{3DDFDCBC-8133-409A-99D1-5F4238B39195}">
      <text>
        <r>
          <rPr>
            <b/>
            <sz val="9"/>
            <color indexed="81"/>
            <rFont val="Tahoma"/>
            <family val="2"/>
          </rPr>
          <t>Rodgers, Timothy:</t>
        </r>
        <r>
          <rPr>
            <sz val="9"/>
            <color indexed="81"/>
            <rFont val="Tahoma"/>
            <family val="2"/>
          </rPr>
          <t xml:space="preserve">
6PPD-Q 
Di et al (2022) 10.1016/j.envint.2022.107374
Average of 14.8d = 355.2 hrs
Min = 12.8d, max - 16.3d
From Hikki et al. (2021) t1/2 of 33h for 6PPD-quinone</t>
        </r>
      </text>
    </comment>
  </commentList>
</comments>
</file>

<file path=xl/sharedStrings.xml><?xml version="1.0" encoding="utf-8"?>
<sst xmlns="http://schemas.openxmlformats.org/spreadsheetml/2006/main" count="108" uniqueCount="77">
  <si>
    <t>Compound</t>
  </si>
  <si>
    <t>MolMass</t>
  </si>
  <si>
    <t>WatDiffCoeff</t>
  </si>
  <si>
    <t>AirDiffCoeff</t>
  </si>
  <si>
    <t>AirOHRateConst</t>
  </si>
  <si>
    <t>WatHL</t>
  </si>
  <si>
    <t>SoilHL</t>
  </si>
  <si>
    <t>L</t>
  </si>
  <si>
    <t>S</t>
  </si>
  <si>
    <t>A</t>
  </si>
  <si>
    <t>B</t>
  </si>
  <si>
    <t>V</t>
  </si>
  <si>
    <t>SMILES</t>
  </si>
  <si>
    <t>pKa</t>
  </si>
  <si>
    <t>chemcharge</t>
  </si>
  <si>
    <t>pKb</t>
  </si>
  <si>
    <t>LogKow</t>
  </si>
  <si>
    <t>LogKaw</t>
  </si>
  <si>
    <t>LogKocW</t>
  </si>
  <si>
    <t>CAS</t>
  </si>
  <si>
    <t>CC(C)CC(C)NC1=CC(=O)C(=CC1=O)NC2=CC=CC=C2</t>
  </si>
  <si>
    <t>6PPDQ</t>
  </si>
  <si>
    <t>VegHL</t>
  </si>
  <si>
    <t>PFOA Koc in SOIL</t>
  </si>
  <si>
    <t xml:space="preserve">1.98 (±0.06) </t>
  </si>
  <si>
    <t>LE</t>
  </si>
  <si>
    <t>Soil</t>
  </si>
  <si>
    <t>PFAS Single Chemical in Solution</t>
  </si>
  <si>
    <t>Milinovic et al., 2015</t>
  </si>
  <si>
    <t>0.041 to 1.6</t>
  </si>
  <si>
    <t>Enevoldsen and Juhler, 2010</t>
  </si>
  <si>
    <t>1.89 (±0.02)</t>
  </si>
  <si>
    <t>PFAS Mixture in Solution</t>
  </si>
  <si>
    <t>Guelfo and Higgins, 2013</t>
  </si>
  <si>
    <t>1.7 to 2.9</t>
  </si>
  <si>
    <t>Pereira et al., 2018</t>
  </si>
  <si>
    <t>2.77 (±0.2) to 3.21 (±0.2)</t>
  </si>
  <si>
    <t>Xiang et al., 2018</t>
  </si>
  <si>
    <t>PFOA pKa</t>
  </si>
  <si>
    <t>E</t>
  </si>
  <si>
    <t>NR</t>
  </si>
  <si>
    <t>Vierke, Berger, and Cousins, 2013</t>
  </si>
  <si>
    <t>Burns et al., 2008</t>
  </si>
  <si>
    <t>3M Company, 2003</t>
  </si>
  <si>
    <t>Brace, 1962</t>
  </si>
  <si>
    <t>Lopez-Fontan, Sarmiento, and Schulz, 2005</t>
  </si>
  <si>
    <t>Ms</t>
  </si>
  <si>
    <t>Gomis et al., 2015</t>
  </si>
  <si>
    <t>Steinle-Darling and Reinhard, 2008</t>
  </si>
  <si>
    <t>Goss, 2008</t>
  </si>
  <si>
    <t>&lt;1.0</t>
  </si>
  <si>
    <t>Cheng et al., 2009</t>
  </si>
  <si>
    <t>PFOA</t>
  </si>
  <si>
    <t>BaP</t>
  </si>
  <si>
    <t>Phe</t>
  </si>
  <si>
    <t>Benzotriazole</t>
  </si>
  <si>
    <t>C1=CC2=NNN=C2C=C1</t>
  </si>
  <si>
    <t>95-14-7</t>
  </si>
  <si>
    <t>335-67-1</t>
  </si>
  <si>
    <t>85-01-8</t>
  </si>
  <si>
    <t>50-32-8</t>
  </si>
  <si>
    <t>C(=O)(C(C(C(C(C(C(C(F)(F)F)(F)F)(F)F)(F)F)(F)F)(F)F)(F)F)O</t>
  </si>
  <si>
    <t>C1=CC=C2C(=C1)C=CC3=CC=CC=C32</t>
  </si>
  <si>
    <t>C1=CC=C2C3=C4C(=CC2=C1)C=CC5=C4C(=CC=C5)C=C3</t>
  </si>
  <si>
    <t>Partition coefficients for PHE, PFOA are newly derived FAVs. BaP is an FAV from Rodgers et al. (2021). Need to provide measured values in SI eventually</t>
  </si>
  <si>
    <t>(1) Pereira, L. A. M.; Martins, L. F. G.; Ascenso, J. R.; Morgado, P.; Ramalho, J. P. P.; Filipe, E. J. M. Diffusion Coefficients of Fluorinated Surfactants in Water: Experimental Results and Prediction by Computer Simulation. J. Chem. Eng. Data 2014, 59 (10), 3151–3159. https://doi.org/10.1021/je500211w.</t>
  </si>
  <si>
    <t>PFOA Water Diffusion Coefficient</t>
  </si>
  <si>
    <t>m2/s</t>
  </si>
  <si>
    <t>cm2/s</t>
  </si>
  <si>
    <t>Half Lives</t>
  </si>
  <si>
    <t>EPI Suite</t>
  </si>
  <si>
    <t>https://www.ncbi.nlm.nih.gov/pmc/articles/PMC4122524/</t>
  </si>
  <si>
    <t>https://academic.oup.com/femsle/article/152/1/141/609041?login=false</t>
  </si>
  <si>
    <t>https://cfpub.epa.gov/si/si_public_file_download.cfm?p_download_id=535926&amp;Lab=NCEA</t>
  </si>
  <si>
    <t>Water</t>
  </si>
  <si>
    <t>Epi for all (except 6PPD-q)</t>
  </si>
  <si>
    <t>Koc for BaP and PHE - from Mackay handbook via https://www.enviro.wiki/index.php?title=Polycyclic_Aromatic_Hydrocarbons_(PAHs)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</si>
</sst>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.5"/>
      <color rgb="FF000000"/>
      <name val="Times New Roman"/>
      <family val="1"/>
    </font>
    <font>
      <sz val="11"/>
      <color rgb="FF21212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15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0" xfId="0" applyBorder="1"/>
    <xf numFmtId="0" fontId="22" fillId="0" borderId="0" xfId="0" applyFont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Fill="1" applyBorder="1"/>
    <xf numFmtId="0" fontId="23" fillId="0" borderId="0" xfId="0" applyFont="1" applyAlignment="1">
      <alignment horizontal="right"/>
    </xf>
    <xf numFmtId="1" fontId="0" fillId="0" borderId="0" xfId="0" applyNumberFormat="1"/>
    <xf numFmtId="165" fontId="0" fillId="0" borderId="0" xfId="0" applyNumberFormat="1"/>
    <xf numFmtId="0" fontId="16" fillId="0" borderId="0" xfId="0" applyFont="1"/>
    <xf numFmtId="164" fontId="18" fillId="0" borderId="0" xfId="42" applyNumberFormat="1"/>
    <xf numFmtId="11" fontId="0" fillId="0" borderId="0" xfId="0" applyNumberForma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A265A84-AE11-4605-A408-C0A7FB475710}"/>
    <cellStyle name="Normal 3" xfId="43" xr:uid="{487139A0-FDB3-4A65-9307-8866B9BF4E5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bcca-my.sharepoint.com/personal/tim_rodgers_ubc_ca/Documents/Postdoc/Active%20Projects/6PPD/Data/Eng_MS/ITRC_PFAS_PhysChemProp_Table_4-1_Oct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Table"/>
      <sheetName val="Solubility (S)"/>
      <sheetName val="Vapor Pressure (VP)"/>
      <sheetName val="Henry's Constant (KH)"/>
      <sheetName val="Critical Micelle Conc. (CMC)"/>
      <sheetName val="Log Koc"/>
      <sheetName val="pKa"/>
      <sheetName val="References"/>
      <sheetName val="Consta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">
          <cell r="B7" t="str">
            <v>3M Company, 2000</v>
          </cell>
        </row>
      </sheetData>
      <sheetData sheetId="8">
        <row r="2">
          <cell r="C2">
            <v>8.2057366080959995E-2</v>
          </cell>
        </row>
        <row r="3">
          <cell r="C3">
            <v>8314.4626181532403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E469431D-55DE-4124-96F2-18CB6D6B3851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E469431D-55DE-4124-96F2-18CB6D6B3851}" id="{6F7FD141-D115-4CA7-A1BB-1CF8844A9756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E469431D-55DE-4124-96F2-18CB6D6B3851}" id="{2A52EE81-425D-4C8F-99C3-BC3B53F4DF3A}" parentId="{6F7FD141-D115-4CA7-A1BB-1CF8844A9756}">
    <text>water viscosity = 1.0791, using Mcgowan's molar volume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2"/>
  <sheetViews>
    <sheetView tabSelected="1" workbookViewId="0">
      <selection activeCell="I15" sqref="I15"/>
    </sheetView>
  </sheetViews>
  <sheetFormatPr defaultRowHeight="15" x14ac:dyDescent="0.25"/>
  <cols>
    <col min="1" max="1" width="13.28515625" bestFit="1" customWidth="1"/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3.7109375" bestFit="1" customWidth="1"/>
    <col min="8" max="8" width="13.7109375" customWidth="1"/>
    <col min="9" max="9" width="11.5703125" bestFit="1" customWidth="1"/>
    <col min="10" max="10" width="11.5703125" customWidth="1"/>
    <col min="11" max="13" width="10.5703125" customWidth="1"/>
    <col min="14" max="14" width="10.85546875" bestFit="1" customWidth="1"/>
    <col min="15" max="19" width="9.28515625" bestFit="1" customWidth="1"/>
    <col min="20" max="20" width="50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16</v>
      </c>
      <c r="J1" t="s">
        <v>17</v>
      </c>
      <c r="K1" t="s">
        <v>18</v>
      </c>
      <c r="L1" t="s">
        <v>13</v>
      </c>
      <c r="M1" t="s">
        <v>15</v>
      </c>
      <c r="N1" t="s">
        <v>14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19</v>
      </c>
    </row>
    <row r="2" spans="1:28" x14ac:dyDescent="0.25">
      <c r="A2" s="1" t="s">
        <v>21</v>
      </c>
      <c r="B2">
        <v>298.39999999999998</v>
      </c>
      <c r="C2" s="2">
        <f>(0.000000074*(2.6*B2)^0.5*(273.15+17)/(1.0791*(S2*100)^0.6))*(3600/100^2)</f>
        <v>7.3648366095385989E-6</v>
      </c>
      <c r="D2" s="13">
        <f>298.15^(1.75)*10^-3*SQRT((28.97+B2)/(28.97*B2))/(1*((S2*100)^(1/3)+(20.1)^(1/3))^2)</f>
        <v>5.1730159612816511E-2</v>
      </c>
      <c r="E2" s="2">
        <v>1.51E-10</v>
      </c>
      <c r="F2" s="1">
        <v>33</v>
      </c>
      <c r="G2" s="2">
        <v>1800</v>
      </c>
      <c r="H2" s="1">
        <f>0.1*900</f>
        <v>90</v>
      </c>
      <c r="I2" s="1">
        <v>4.12</v>
      </c>
      <c r="J2" s="1">
        <v>-8.2799999999999994</v>
      </c>
      <c r="K2" s="1">
        <v>3.14</v>
      </c>
      <c r="L2" s="10">
        <v>999</v>
      </c>
      <c r="M2" s="1"/>
      <c r="N2" s="1">
        <v>0</v>
      </c>
      <c r="O2" s="1">
        <v>10.406000000000001</v>
      </c>
      <c r="P2" s="1">
        <v>2.0299999999999998</v>
      </c>
      <c r="Q2" s="1">
        <v>0.12</v>
      </c>
      <c r="R2" s="1">
        <v>1.72</v>
      </c>
      <c r="S2" s="1">
        <v>2.4436</v>
      </c>
      <c r="T2" t="s">
        <v>20</v>
      </c>
    </row>
    <row r="3" spans="1:28" x14ac:dyDescent="0.25">
      <c r="A3" s="1" t="s">
        <v>52</v>
      </c>
      <c r="B3">
        <v>414.07</v>
      </c>
      <c r="C3" s="2">
        <f>'Refs and Values'!$L$9</f>
        <v>4.8999999999999997E-6</v>
      </c>
      <c r="D3" s="13">
        <f t="shared" ref="D3:D6" si="0">298.15^(1.75)*10^-3*SQRT((28.97+B3)/(28.97*B3))/(1*((S3*100)^(1/3)+(20.1)^(1/3))^2)</f>
        <v>6.2351030201376383E-2</v>
      </c>
      <c r="E3" s="2">
        <v>5.2000000000000001E-13</v>
      </c>
      <c r="F3" s="2">
        <v>1000000</v>
      </c>
      <c r="G3" s="2">
        <f>'Refs and Values'!$N$12</f>
        <v>16464</v>
      </c>
      <c r="H3" s="2">
        <f>0.1*F3</f>
        <v>100000</v>
      </c>
      <c r="I3" s="1">
        <v>1.90861039042722</v>
      </c>
      <c r="J3" s="1">
        <v>-3.2030034260122302</v>
      </c>
      <c r="K3" s="1">
        <f>'Refs and Values'!$C$7</f>
        <v>1.9960999999999998</v>
      </c>
      <c r="L3" s="1">
        <f>'Refs and Values'!$C$15</f>
        <v>2.1819999999999999</v>
      </c>
      <c r="M3" s="1"/>
      <c r="N3" s="1">
        <v>-1</v>
      </c>
      <c r="O3">
        <v>3.2970000000000002</v>
      </c>
      <c r="P3">
        <v>-0.39</v>
      </c>
      <c r="Q3">
        <v>0.46</v>
      </c>
      <c r="R3">
        <v>0.33</v>
      </c>
      <c r="S3" s="1">
        <v>1.5757000000000001</v>
      </c>
      <c r="T3" t="s">
        <v>61</v>
      </c>
      <c r="U3" t="s">
        <v>58</v>
      </c>
    </row>
    <row r="4" spans="1:28" x14ac:dyDescent="0.25">
      <c r="A4" s="1" t="s">
        <v>54</v>
      </c>
      <c r="B4">
        <v>178.23</v>
      </c>
      <c r="C4" s="2">
        <f t="shared" ref="C3:C5" si="1">(0.000000074*(2.6*B4)^0.5*(273.15+17)/(1.0791*(S4*100)^0.6))*(3600/100^2)</f>
        <v>7.7707307432923926E-6</v>
      </c>
      <c r="D4" s="13">
        <f t="shared" si="0"/>
        <v>6.7332001880945375E-2</v>
      </c>
      <c r="E4" s="2">
        <v>1.3E-11</v>
      </c>
      <c r="F4" s="1">
        <v>1440</v>
      </c>
      <c r="G4" s="2">
        <f>'Refs and Values'!$O$13</f>
        <v>1992</v>
      </c>
      <c r="H4" s="2">
        <f>0.1*F4</f>
        <v>144</v>
      </c>
      <c r="I4" s="1">
        <v>4.62529086209583</v>
      </c>
      <c r="J4" s="1">
        <v>-2.7885280247162298</v>
      </c>
      <c r="K4" s="1">
        <v>4.1500000000000004</v>
      </c>
      <c r="L4" s="10">
        <v>999</v>
      </c>
      <c r="M4" s="1"/>
      <c r="N4" s="1">
        <v>0</v>
      </c>
      <c r="O4">
        <v>7.6319999999999997</v>
      </c>
      <c r="P4">
        <v>1.29</v>
      </c>
      <c r="Q4" s="1">
        <v>0</v>
      </c>
      <c r="R4">
        <v>0.26</v>
      </c>
      <c r="S4" s="1">
        <v>1.4543999999999999</v>
      </c>
      <c r="T4" t="s">
        <v>62</v>
      </c>
      <c r="U4" t="s">
        <v>59</v>
      </c>
    </row>
    <row r="5" spans="1:28" x14ac:dyDescent="0.25">
      <c r="A5" s="1" t="s">
        <v>53</v>
      </c>
      <c r="B5" s="11">
        <v>252.316</v>
      </c>
      <c r="C5" s="2">
        <f>(0.000000074*(2.6*B5)^0.5*(273.15+17)/(1.0791*(S5*100)^0.6))*(3600/100^2)</f>
        <v>7.745559321253756E-6</v>
      </c>
      <c r="D5" s="13">
        <f t="shared" si="0"/>
        <v>5.7791957679240537E-2</v>
      </c>
      <c r="E5" s="2">
        <v>5.0000000000000002E-11</v>
      </c>
      <c r="F5" s="1">
        <v>1440</v>
      </c>
      <c r="G5">
        <f>'Refs and Values'!$P$14</f>
        <v>6456</v>
      </c>
      <c r="H5" s="2">
        <f>0.1*F5</f>
        <v>144</v>
      </c>
      <c r="I5" s="3">
        <v>6.6743140127291696</v>
      </c>
      <c r="J5" s="3">
        <v>-4.3017838779277504</v>
      </c>
      <c r="K5">
        <v>6.74</v>
      </c>
      <c r="L5">
        <v>999</v>
      </c>
      <c r="N5" s="1">
        <v>0</v>
      </c>
      <c r="O5">
        <v>11.736000000000001</v>
      </c>
      <c r="P5">
        <v>1.98</v>
      </c>
      <c r="Q5" s="1">
        <v>0</v>
      </c>
      <c r="R5">
        <v>0.44</v>
      </c>
      <c r="S5" s="1">
        <v>1.9536</v>
      </c>
      <c r="T5" t="s">
        <v>63</v>
      </c>
      <c r="U5" t="s">
        <v>60</v>
      </c>
    </row>
    <row r="6" spans="1:28" x14ac:dyDescent="0.25">
      <c r="A6" s="1" t="s">
        <v>55</v>
      </c>
      <c r="B6" s="9">
        <v>119.127</v>
      </c>
      <c r="C6" s="2">
        <f>(0.000000074*(2.6*B6)^0.5*(273.15+17)/(1.0791*(S6*100)^0.6))*(3600/100^2)</f>
        <v>8.6819708262146042E-6</v>
      </c>
      <c r="D6" s="13">
        <f t="shared" si="0"/>
        <v>8.6924966666676776E-2</v>
      </c>
      <c r="E6" s="2">
        <v>9.9999999999999998E-13</v>
      </c>
      <c r="F6" s="10">
        <v>360</v>
      </c>
      <c r="G6" s="10">
        <v>720</v>
      </c>
      <c r="H6" s="1">
        <f>0.1*F6</f>
        <v>36</v>
      </c>
      <c r="I6" s="1">
        <v>1.2300000000000002</v>
      </c>
      <c r="J6" s="1">
        <v>-7.1020259999999986</v>
      </c>
      <c r="K6" s="1">
        <f>LOG(71)</f>
        <v>1.8512583487190752</v>
      </c>
      <c r="L6" s="1">
        <v>8.3699999999999992</v>
      </c>
      <c r="M6" s="1"/>
      <c r="N6" s="1">
        <v>-1</v>
      </c>
      <c r="O6" s="1">
        <v>5.6689999999999996</v>
      </c>
      <c r="P6" s="1">
        <v>1.46</v>
      </c>
      <c r="Q6" s="1">
        <v>0.64</v>
      </c>
      <c r="R6" s="1">
        <v>0.48</v>
      </c>
      <c r="S6" s="1">
        <v>0.86419999999999997</v>
      </c>
      <c r="T6" s="1" t="s">
        <v>56</v>
      </c>
      <c r="U6" t="s">
        <v>57</v>
      </c>
      <c r="Y6" s="5"/>
      <c r="Z6" s="5"/>
      <c r="AA6" s="5"/>
      <c r="AB6" s="5"/>
    </row>
    <row r="7" spans="1:28" x14ac:dyDescent="0.25">
      <c r="I7" s="3"/>
      <c r="J7" s="3"/>
    </row>
    <row r="8" spans="1:28" x14ac:dyDescent="0.25">
      <c r="I8" s="3"/>
      <c r="J8" s="3"/>
    </row>
    <row r="9" spans="1:28" x14ac:dyDescent="0.25">
      <c r="H9" s="4"/>
      <c r="I9" s="3"/>
      <c r="J9" s="3"/>
    </row>
    <row r="10" spans="1:28" x14ac:dyDescent="0.25">
      <c r="H10" s="4"/>
      <c r="I10" s="3"/>
      <c r="J10" s="3"/>
    </row>
    <row r="11" spans="1:28" x14ac:dyDescent="0.25">
      <c r="H11" s="4"/>
      <c r="I11" s="3"/>
      <c r="J11" s="3"/>
    </row>
    <row r="12" spans="1:28" x14ac:dyDescent="0.25">
      <c r="E12" s="5"/>
      <c r="F12" s="5"/>
      <c r="H12" s="6"/>
      <c r="I12" s="7"/>
      <c r="J12" s="7"/>
    </row>
    <row r="13" spans="1:28" x14ac:dyDescent="0.25">
      <c r="E13" s="5"/>
      <c r="F13" s="8"/>
      <c r="H13" s="6"/>
      <c r="I13" s="7"/>
      <c r="J13" s="7"/>
    </row>
    <row r="14" spans="1:28" x14ac:dyDescent="0.25">
      <c r="E14" s="5"/>
      <c r="F14" s="8"/>
      <c r="H14" s="6"/>
      <c r="I14" s="7"/>
      <c r="J14" s="7"/>
    </row>
    <row r="15" spans="1:28" x14ac:dyDescent="0.25">
      <c r="E15" s="5"/>
      <c r="F15" s="5"/>
      <c r="H15" s="6"/>
      <c r="I15" s="5"/>
      <c r="J15" s="5"/>
    </row>
    <row r="16" spans="1:28" x14ac:dyDescent="0.25">
      <c r="E16" s="5"/>
      <c r="F16" s="14"/>
      <c r="H16" s="6"/>
      <c r="I16" s="5"/>
      <c r="J16" s="5"/>
    </row>
    <row r="17" spans="5:10" x14ac:dyDescent="0.25">
      <c r="E17" s="5"/>
      <c r="F17" s="5"/>
      <c r="H17" s="5"/>
      <c r="I17" s="5"/>
      <c r="J17" s="5"/>
    </row>
    <row r="18" spans="5:10" x14ac:dyDescent="0.25">
      <c r="E18" s="5"/>
      <c r="F18" s="5"/>
      <c r="H18" s="5"/>
      <c r="I18" s="5"/>
      <c r="J18" s="5"/>
    </row>
    <row r="19" spans="5:10" x14ac:dyDescent="0.25">
      <c r="E19" s="5"/>
      <c r="F19" s="5"/>
      <c r="H19" s="5"/>
      <c r="I19" s="5"/>
      <c r="J19" s="5"/>
    </row>
    <row r="20" spans="5:10" x14ac:dyDescent="0.25">
      <c r="F20" s="5"/>
    </row>
    <row r="21" spans="5:10" x14ac:dyDescent="0.25">
      <c r="F21" s="5"/>
    </row>
    <row r="22" spans="5:10" x14ac:dyDescent="0.25">
      <c r="F22" s="5"/>
    </row>
  </sheetData>
  <pageMargins left="0.7" right="0.7" top="0.75" bottom="0.75" header="0.3" footer="0.3"/>
  <pageSetup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D9D2-7D61-4847-8A44-4F7476314EC2}">
  <dimension ref="C6:P27"/>
  <sheetViews>
    <sheetView workbookViewId="0">
      <selection activeCell="R25" sqref="R25"/>
    </sheetView>
  </sheetViews>
  <sheetFormatPr defaultRowHeight="15" x14ac:dyDescent="0.25"/>
  <cols>
    <col min="4" max="4" width="22.140625" bestFit="1" customWidth="1"/>
    <col min="7" max="7" width="30.5703125" bestFit="1" customWidth="1"/>
    <col min="8" max="8" width="26.42578125" bestFit="1" customWidth="1"/>
    <col min="12" max="12" width="10" bestFit="1" customWidth="1"/>
  </cols>
  <sheetData>
    <row r="6" spans="3:16" x14ac:dyDescent="0.25">
      <c r="C6" t="s">
        <v>23</v>
      </c>
    </row>
    <row r="7" spans="3:16" x14ac:dyDescent="0.25">
      <c r="C7">
        <f>AVERAGE(C8:C12)</f>
        <v>1.9960999999999998</v>
      </c>
      <c r="L7" s="12" t="s">
        <v>66</v>
      </c>
    </row>
    <row r="8" spans="3:16" x14ac:dyDescent="0.25">
      <c r="C8">
        <v>1.98</v>
      </c>
      <c r="D8" t="s">
        <v>24</v>
      </c>
      <c r="E8" t="s">
        <v>25</v>
      </c>
      <c r="F8" t="s">
        <v>26</v>
      </c>
      <c r="G8" t="s">
        <v>27</v>
      </c>
      <c r="H8" t="s">
        <v>28</v>
      </c>
      <c r="I8">
        <v>54</v>
      </c>
      <c r="L8">
        <f>0.00000000049</f>
        <v>4.8999999999999996E-10</v>
      </c>
      <c r="M8" t="s">
        <v>67</v>
      </c>
      <c r="N8" t="s">
        <v>65</v>
      </c>
    </row>
    <row r="9" spans="3:16" x14ac:dyDescent="0.25">
      <c r="C9">
        <f>AVERAGE(0.041,1.6)</f>
        <v>0.82050000000000001</v>
      </c>
      <c r="D9" t="s">
        <v>29</v>
      </c>
      <c r="E9" t="s">
        <v>25</v>
      </c>
      <c r="F9" t="s">
        <v>26</v>
      </c>
      <c r="G9" t="s">
        <v>27</v>
      </c>
      <c r="H9" t="s">
        <v>30</v>
      </c>
      <c r="I9">
        <v>22</v>
      </c>
      <c r="L9" s="2">
        <f>L8*10000</f>
        <v>4.8999999999999997E-6</v>
      </c>
      <c r="M9" t="s">
        <v>68</v>
      </c>
    </row>
    <row r="10" spans="3:16" x14ac:dyDescent="0.25">
      <c r="C10">
        <v>1.89</v>
      </c>
      <c r="D10" t="s">
        <v>31</v>
      </c>
      <c r="E10" t="s">
        <v>25</v>
      </c>
      <c r="F10" t="s">
        <v>26</v>
      </c>
      <c r="G10" t="s">
        <v>32</v>
      </c>
      <c r="H10" t="s">
        <v>33</v>
      </c>
      <c r="I10">
        <v>27</v>
      </c>
    </row>
    <row r="11" spans="3:16" x14ac:dyDescent="0.25">
      <c r="C11">
        <f>AVERAGE(1.7,2.9)</f>
        <v>2.2999999999999998</v>
      </c>
      <c r="D11" t="s">
        <v>34</v>
      </c>
      <c r="E11" t="s">
        <v>25</v>
      </c>
      <c r="F11" t="s">
        <v>26</v>
      </c>
      <c r="G11" t="s">
        <v>32</v>
      </c>
      <c r="H11" t="s">
        <v>35</v>
      </c>
      <c r="I11">
        <v>62</v>
      </c>
      <c r="L11" t="s">
        <v>69</v>
      </c>
      <c r="M11" t="s">
        <v>70</v>
      </c>
      <c r="N11" t="s">
        <v>71</v>
      </c>
      <c r="O11" t="s">
        <v>72</v>
      </c>
      <c r="P11" t="s">
        <v>73</v>
      </c>
    </row>
    <row r="12" spans="3:16" x14ac:dyDescent="0.25">
      <c r="C12">
        <f>AVERAGE(2.77,3.21)</f>
        <v>2.99</v>
      </c>
      <c r="D12" t="s">
        <v>36</v>
      </c>
      <c r="E12" t="s">
        <v>25</v>
      </c>
      <c r="F12" t="s">
        <v>26</v>
      </c>
      <c r="G12" t="s">
        <v>27</v>
      </c>
      <c r="H12" t="s">
        <v>37</v>
      </c>
      <c r="I12">
        <v>79</v>
      </c>
      <c r="K12" t="s">
        <v>26</v>
      </c>
      <c r="L12" t="s">
        <v>52</v>
      </c>
      <c r="M12" s="2">
        <v>8640</v>
      </c>
      <c r="N12" s="2">
        <f>686*24</f>
        <v>16464</v>
      </c>
    </row>
    <row r="13" spans="3:16" x14ac:dyDescent="0.25">
      <c r="K13" t="s">
        <v>26</v>
      </c>
      <c r="L13" t="s">
        <v>54</v>
      </c>
      <c r="O13" s="2">
        <f>AVERAGE(86,80)*24</f>
        <v>1992</v>
      </c>
    </row>
    <row r="14" spans="3:16" x14ac:dyDescent="0.25">
      <c r="C14" t="s">
        <v>38</v>
      </c>
      <c r="K14" t="s">
        <v>26</v>
      </c>
      <c r="L14" t="s">
        <v>53</v>
      </c>
      <c r="P14">
        <f>AVERAGE(229,309)*24</f>
        <v>6456</v>
      </c>
    </row>
    <row r="15" spans="3:16" x14ac:dyDescent="0.25">
      <c r="C15">
        <f>AVERAGE(C16:C20)</f>
        <v>2.1819999999999999</v>
      </c>
      <c r="K15" t="s">
        <v>74</v>
      </c>
      <c r="M15" t="s">
        <v>75</v>
      </c>
    </row>
    <row r="16" spans="3:16" x14ac:dyDescent="0.25">
      <c r="C16">
        <v>0.5</v>
      </c>
      <c r="D16" t="s">
        <v>39</v>
      </c>
      <c r="E16" t="s">
        <v>40</v>
      </c>
      <c r="G16" t="s">
        <v>41</v>
      </c>
      <c r="H16">
        <v>76</v>
      </c>
    </row>
    <row r="17" spans="3:12" x14ac:dyDescent="0.25">
      <c r="C17">
        <v>3.8</v>
      </c>
      <c r="D17" t="s">
        <v>39</v>
      </c>
      <c r="E17" t="s">
        <v>40</v>
      </c>
      <c r="G17" t="s">
        <v>42</v>
      </c>
      <c r="H17">
        <v>13</v>
      </c>
      <c r="L17" t="s">
        <v>76</v>
      </c>
    </row>
    <row r="18" spans="3:12" x14ac:dyDescent="0.25">
      <c r="C18">
        <v>2.5</v>
      </c>
      <c r="D18" t="s">
        <v>39</v>
      </c>
      <c r="E18" t="s">
        <v>40</v>
      </c>
      <c r="G18" t="s">
        <v>43</v>
      </c>
      <c r="H18">
        <v>2</v>
      </c>
    </row>
    <row r="19" spans="3:12" x14ac:dyDescent="0.25">
      <c r="C19">
        <v>2.8</v>
      </c>
      <c r="D19" t="s">
        <v>39</v>
      </c>
      <c r="E19" t="s">
        <v>40</v>
      </c>
      <c r="G19" t="s">
        <v>44</v>
      </c>
      <c r="H19">
        <v>12</v>
      </c>
    </row>
    <row r="20" spans="3:12" x14ac:dyDescent="0.25">
      <c r="C20">
        <v>1.31</v>
      </c>
      <c r="D20" t="s">
        <v>39</v>
      </c>
      <c r="E20">
        <v>25</v>
      </c>
      <c r="G20" t="s">
        <v>45</v>
      </c>
      <c r="H20">
        <v>52</v>
      </c>
    </row>
    <row r="22" spans="3:12" x14ac:dyDescent="0.25">
      <c r="C22">
        <v>-0.21</v>
      </c>
      <c r="D22" t="s">
        <v>46</v>
      </c>
      <c r="E22" t="s">
        <v>40</v>
      </c>
      <c r="G22" t="s">
        <v>47</v>
      </c>
      <c r="H22">
        <v>24</v>
      </c>
    </row>
    <row r="23" spans="3:12" x14ac:dyDescent="0.25">
      <c r="C23">
        <v>-0.2</v>
      </c>
      <c r="D23" t="s">
        <v>46</v>
      </c>
      <c r="E23" t="s">
        <v>40</v>
      </c>
      <c r="G23" t="s">
        <v>48</v>
      </c>
      <c r="H23">
        <v>73</v>
      </c>
    </row>
    <row r="24" spans="3:12" x14ac:dyDescent="0.25">
      <c r="C24">
        <v>-0.5</v>
      </c>
      <c r="D24" t="s">
        <v>46</v>
      </c>
      <c r="E24" t="s">
        <v>40</v>
      </c>
      <c r="G24" t="s">
        <v>49</v>
      </c>
      <c r="H24">
        <v>26</v>
      </c>
    </row>
    <row r="25" spans="3:12" x14ac:dyDescent="0.25">
      <c r="C25" t="s">
        <v>50</v>
      </c>
      <c r="D25" t="s">
        <v>39</v>
      </c>
      <c r="E25" t="s">
        <v>40</v>
      </c>
      <c r="G25" t="s">
        <v>51</v>
      </c>
      <c r="H25">
        <v>17</v>
      </c>
    </row>
    <row r="27" spans="3:12" x14ac:dyDescent="0.25">
      <c r="C27" t="s">
        <v>64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CHEMSUMM</vt:lpstr>
      <vt:lpstr>Refs and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2018-07-25T15:03:07Z</dcterms:created>
  <dcterms:modified xsi:type="dcterms:W3CDTF">2023-03-27T21:04:16Z</dcterms:modified>
</cp:coreProperties>
</file>