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Pine8th\"/>
    </mc:Choice>
  </mc:AlternateContent>
  <xr:revisionPtr revIDLastSave="0" documentId="13_ncr:1_{D3581266-B3AD-46CC-A3B8-1B6F2FC0CA1F}" xr6:coauthVersionLast="36" xr6:coauthVersionMax="47" xr10:uidLastSave="{00000000-0000-0000-0000-000000000000}"/>
  <bookViews>
    <workbookView xWindow="-105" yWindow="-105" windowWidth="8730" windowHeight="3503" xr2:uid="{00000000-000D-0000-FFFF-FFFF00000000}"/>
  </bookViews>
  <sheets>
    <sheet name="CHEMSUMM" sheetId="1" r:id="rId1"/>
    <sheet name="Kd_biochar_pred" sheetId="3" r:id="rId2"/>
    <sheet name="Refs and Values" sheetId="2" r:id="rId3"/>
  </sheets>
  <externalReferences>
    <externalReference r:id="rId4"/>
  </externalReferences>
  <definedNames>
    <definedName name="R_atm">[1]Constants!$C$2</definedName>
    <definedName name="R_Pa">[1]Constants!$C$3</definedName>
  </definedNames>
  <calcPr calcId="191029"/>
</workbook>
</file>

<file path=xl/calcChain.xml><?xml version="1.0" encoding="utf-8"?>
<calcChain xmlns="http://schemas.openxmlformats.org/spreadsheetml/2006/main">
  <c r="X5" i="3" l="1"/>
  <c r="AG5" i="3"/>
  <c r="AI5" i="3" s="1"/>
  <c r="AJ5" i="3" s="1"/>
  <c r="AH5" i="3"/>
  <c r="X6" i="3"/>
  <c r="Y6" i="3"/>
  <c r="AG6" i="3"/>
  <c r="AI6" i="3" s="1"/>
  <c r="AJ6" i="3" s="1"/>
  <c r="AH6" i="3"/>
  <c r="X7" i="3"/>
  <c r="AG7" i="3"/>
  <c r="AI7" i="3" s="1"/>
  <c r="AJ7" i="3" s="1"/>
  <c r="AH7" i="3"/>
  <c r="X8" i="3"/>
  <c r="AG8" i="3"/>
  <c r="AI8" i="3" s="1"/>
  <c r="AJ8" i="3" s="1"/>
  <c r="AH8" i="3"/>
  <c r="X9" i="3"/>
  <c r="Y9" i="3"/>
  <c r="AG9" i="3"/>
  <c r="AI9" i="3" s="1"/>
  <c r="AJ9" i="3" s="1"/>
  <c r="AH9" i="3"/>
  <c r="N5" i="3" l="1"/>
  <c r="M5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L6" i="3" l="1"/>
  <c r="L7" i="3"/>
  <c r="L8" i="3"/>
  <c r="L9" i="3"/>
  <c r="L5" i="3"/>
  <c r="K6" i="3"/>
  <c r="K7" i="3"/>
  <c r="K8" i="3"/>
  <c r="K9" i="3"/>
  <c r="K5" i="3"/>
  <c r="M9" i="3" l="1"/>
  <c r="N9" i="3" s="1"/>
  <c r="M8" i="3"/>
  <c r="N8" i="3" s="1"/>
  <c r="M7" i="3"/>
  <c r="N7" i="3" s="1"/>
  <c r="M6" i="3"/>
  <c r="N6" i="3" s="1"/>
  <c r="G5" i="1"/>
  <c r="P14" i="2"/>
  <c r="H5" i="1"/>
  <c r="H4" i="1"/>
  <c r="H3" i="1"/>
  <c r="G4" i="1"/>
  <c r="O13" i="2"/>
  <c r="G3" i="1"/>
  <c r="N12" i="2"/>
  <c r="D3" i="1" l="1"/>
  <c r="D4" i="1"/>
  <c r="D5" i="1"/>
  <c r="D6" i="1"/>
  <c r="D2" i="1"/>
  <c r="C3" i="1" l="1"/>
  <c r="L9" i="2"/>
  <c r="L8" i="2"/>
  <c r="M3" i="1"/>
  <c r="K3" i="1"/>
  <c r="C5" i="1"/>
  <c r="C4" i="1"/>
  <c r="C6" i="1"/>
  <c r="K6" i="1"/>
  <c r="H6" i="1"/>
  <c r="C15" i="2" l="1"/>
  <c r="C12" i="2"/>
  <c r="C11" i="2"/>
  <c r="C9" i="2"/>
  <c r="C7" i="2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</commentList>
</comments>
</file>

<file path=xl/sharedStrings.xml><?xml version="1.0" encoding="utf-8"?>
<sst xmlns="http://schemas.openxmlformats.org/spreadsheetml/2006/main" count="199" uniqueCount="102">
  <si>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</si>
  <si>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</si>
  <si>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</si>
  <si>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</si>
  <si>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</si>
  <si>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</si>
  <si>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</si>
  <si>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</si>
  <si>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</si>
  <si>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</si>
  <si>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</si>
  <si>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</si>
  <si>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</si>
  <si>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</si>
  <si>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</si>
  <si>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</si>
  <si>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</si>
  <si>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</si>
  <si>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</si>
  <si>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</si>
  <si>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</si>
  <si>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</si>
  <si>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</si>
  <si>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PFOA Koc in SOIL</t>
  </si>
  <si>
    <t xml:space="preserve">1.98 (±0.06) </t>
  </si>
  <si>
    <t>LE</t>
  </si>
  <si>
    <t>Soil</t>
  </si>
  <si>
    <t>PFAS Single Chemical in Solution</t>
  </si>
  <si>
    <t>Milinovic et al., 2015</t>
  </si>
  <si>
    <t>0.041 to 1.6</t>
  </si>
  <si>
    <t>Enevoldsen and Juhler, 2010</t>
  </si>
  <si>
    <t>1.89 (±0.02)</t>
  </si>
  <si>
    <t>PFAS Mixture in Solution</t>
  </si>
  <si>
    <t>Guelfo and Higgins, 2013</t>
  </si>
  <si>
    <t>1.7 to 2.9</t>
  </si>
  <si>
    <t>Pereira et al., 2018</t>
  </si>
  <si>
    <t>2.77 (±0.2) to 3.21 (±0.2)</t>
  </si>
  <si>
    <t>Xiang et al., 2018</t>
  </si>
  <si>
    <t>PFOA pKa</t>
  </si>
  <si>
    <t>E</t>
  </si>
  <si>
    <t>NR</t>
  </si>
  <si>
    <t>Vierke, Berger, and Cousins, 2013</t>
  </si>
  <si>
    <t>Burns et al., 2008</t>
  </si>
  <si>
    <t>3M Company, 2003</t>
  </si>
  <si>
    <t>Brace, 1962</t>
  </si>
  <si>
    <t>Lopez-Fontan, Sarmiento, and Schulz, 2005</t>
  </si>
  <si>
    <t>Ms</t>
  </si>
  <si>
    <t>Gomis et al., 2015</t>
  </si>
  <si>
    <t>Steinle-Darling and Reinhard, 2008</t>
  </si>
  <si>
    <t>Goss, 2008</t>
  </si>
  <si>
    <t>&lt;1.0</t>
  </si>
  <si>
    <t>Cheng et al., 2009</t>
  </si>
  <si>
    <t>PFOA</t>
  </si>
  <si>
    <t>BaP</t>
  </si>
  <si>
    <t>Phe</t>
  </si>
  <si>
    <t>Benzotriazole</t>
  </si>
  <si>
    <t>C1=CC2=NNN=C2C=C1</t>
  </si>
  <si>
    <t>95-14-7</t>
  </si>
  <si>
    <t>335-67-1</t>
  </si>
  <si>
    <t>85-01-8</t>
  </si>
  <si>
    <t>50-32-8</t>
  </si>
  <si>
    <t>C(=O)(C(C(C(C(C(C(C(F)(F)F)(F)F)(F)F)(F)F)(F)F)(F)F)(F)F)O</t>
  </si>
  <si>
    <t>C1=CC=C2C(=C1)C=CC3=CC=CC=C32</t>
  </si>
  <si>
    <t>C1=CC=C2C3=C4C(=CC2=C1)C=CC5=C4C(=CC=C5)C=C3</t>
  </si>
  <si>
    <t>Partition coefficients for PHE, PFOA are newly derived FAVs. BaP is an FAV from Rodgers et al. (2021). Need to provide measured values in SI eventually</t>
  </si>
  <si>
    <t>(1) Pereira, L. A. M.; Martins, L. F. G.; Ascenso, J. R.; Morgado, P.; Ramalho, J. P. P.; Filipe, E. J. M. Diffusion Coefficients of Fluorinated Surfactants in Water: Experimental Results and Prediction by Computer Simulation. J. Chem. Eng. Data 2014, 59 (10), 3151–3159. https://doi.org/10.1021/je500211w.</t>
  </si>
  <si>
    <t>PFOA Water Diffusion Coefficient</t>
  </si>
  <si>
    <t>m2/s</t>
  </si>
  <si>
    <t>cm2/s</t>
  </si>
  <si>
    <t>Half Lives</t>
  </si>
  <si>
    <t>EPI Suite</t>
  </si>
  <si>
    <t>https://www.ncbi.nlm.nih.gov/pmc/articles/PMC4122524/</t>
  </si>
  <si>
    <t>https://academic.oup.com/femsle/article/152/1/141/609041?login=false</t>
  </si>
  <si>
    <t>https://cfpub.epa.gov/si/si_public_file_download.cfm?p_download_id=535926&amp;Lab=NCEA</t>
  </si>
  <si>
    <t>Water</t>
  </si>
  <si>
    <t>Epi for all (except 6PPD-q)</t>
  </si>
  <si>
    <t>Koc for BaP and PHE - from Mackay handbook via https://www.enviro.wiki/index.php?title=Polycyclic_Aromatic_Hydrocarbons_(PAHs)</t>
  </si>
  <si>
    <t>BET</t>
  </si>
  <si>
    <t>Vt</t>
  </si>
  <si>
    <t>log Ce (umol/L)</t>
  </si>
  <si>
    <t>ug/L</t>
  </si>
  <si>
    <t>Kd</t>
  </si>
  <si>
    <t>Model 1</t>
  </si>
  <si>
    <t>SSA</t>
  </si>
  <si>
    <t>pH</t>
  </si>
  <si>
    <t>LogD</t>
  </si>
  <si>
    <t>A-</t>
  </si>
  <si>
    <t>H/C</t>
  </si>
  <si>
    <t>C</t>
  </si>
  <si>
    <t>O/C</t>
  </si>
  <si>
    <t>Wei et al 2020 for biochar characteristics</t>
  </si>
  <si>
    <t>Kf</t>
  </si>
  <si>
    <t>n</t>
  </si>
  <si>
    <t>n(av)</t>
  </si>
  <si>
    <t>logKf(av)</t>
  </si>
  <si>
    <t>Ce (ug/kg)</t>
  </si>
  <si>
    <t>Kd (equivalent, L/kg)</t>
  </si>
  <si>
    <t>Log Kd (L/kg)</t>
  </si>
  <si>
    <t>Average Log Kd (umol/g)</t>
  </si>
  <si>
    <t>LogKdam</t>
  </si>
  <si>
    <t>Used Values</t>
  </si>
  <si>
    <t>Freundlich Model of Sigmund et al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</si>
</sst>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0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  <font>
      <sz val="11"/>
      <color rgb="FF2121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0" fontId="23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164" fontId="18" fillId="0" borderId="0" xfId="42" applyNumberFormat="1"/>
    <xf numFmtId="11" fontId="0" fillId="0" borderId="0" xfId="0" applyNumberFormat="1" applyBorder="1"/>
    <xf numFmtId="170" fontId="0" fillId="0" borderId="0" xfId="0" applyNumberFormat="1"/>
    <xf numFmtId="170" fontId="0" fillId="0" borderId="0" xfId="0" applyNumberFormat="1" applyFill="1"/>
    <xf numFmtId="0" fontId="0" fillId="0" borderId="0" xfId="0"/>
    <xf numFmtId="0" fontId="16" fillId="0" borderId="0" xfId="0" applyFont="1"/>
    <xf numFmtId="2" fontId="0" fillId="0" borderId="0" xfId="0" applyNumberFormat="1"/>
    <xf numFmtId="0" fontId="23" fillId="0" borderId="0" xfId="0" applyFont="1" applyAlignment="1">
      <alignment horizontal="right"/>
    </xf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Kd_biochar_pred!$X$5:$X$9</c:f>
              <c:numCache>
                <c:formatCode>0.00</c:formatCode>
                <c:ptCount val="5"/>
                <c:pt idx="0">
                  <c:v>3.14</c:v>
                </c:pt>
                <c:pt idx="1">
                  <c:v>-2.3794119850920863</c:v>
                </c:pt>
                <c:pt idx="2">
                  <c:v>4.1500000000000004</c:v>
                </c:pt>
                <c:pt idx="3">
                  <c:v>6.74</c:v>
                </c:pt>
                <c:pt idx="4">
                  <c:v>1.2245666857799544</c:v>
                </c:pt>
              </c:numCache>
            </c:numRef>
          </c:xVal>
          <c:yVal>
            <c:numRef>
              <c:f>Kd_biochar_pred!$N$5:$N$9</c:f>
              <c:numCache>
                <c:formatCode>General</c:formatCode>
                <c:ptCount val="5"/>
                <c:pt idx="0">
                  <c:v>4.2520999999999995</c:v>
                </c:pt>
                <c:pt idx="1">
                  <c:v>3.44408</c:v>
                </c:pt>
                <c:pt idx="2">
                  <c:v>6.7060500000000003</c:v>
                </c:pt>
                <c:pt idx="3">
                  <c:v>7.1948499999999997</c:v>
                </c:pt>
                <c:pt idx="4">
                  <c:v>6.64595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5-485A-B921-E70E1B8D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7439"/>
        <c:axId val="2060823407"/>
      </c:scatterChart>
      <c:valAx>
        <c:axId val="3170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23407"/>
        <c:crosses val="autoZero"/>
        <c:crossBetween val="midCat"/>
      </c:valAx>
      <c:valAx>
        <c:axId val="2060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23</xdr:row>
      <xdr:rowOff>161924</xdr:rowOff>
    </xdr:from>
    <xdr:to>
      <xdr:col>23</xdr:col>
      <xdr:colOff>85725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5416-FC2B-4B29-860E-18388F0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personal/tim_rodgers_ubc_ca/Documents/Postdoc/Active%20Projects/6PPD/Data/Eng_MS/ITRC_PFAS_PhysChemProp_Table_4-1_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Table"/>
      <sheetName val="Solubility (S)"/>
      <sheetName val="Vapor Pressure (VP)"/>
      <sheetName val="Henry's Constant (KH)"/>
      <sheetName val="Critical Micelle Conc. (CMC)"/>
      <sheetName val="Log Koc"/>
      <sheetName val="pKa"/>
      <sheetName val="Reference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 t="str">
            <v>3M Company, 2000</v>
          </cell>
        </row>
      </sheetData>
      <sheetData sheetId="8">
        <row r="2">
          <cell r="C2">
            <v>8.2057366080959995E-2</v>
          </cell>
        </row>
        <row r="3">
          <cell r="C3">
            <v>8314.4626181532403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E4110-AAF7-4602-8CA1-B31B83E5751B}" name="Table2" displayName="Table2" ref="C11:L31" totalsRowShown="0">
  <autoFilter ref="C11:L31" xr:uid="{B4A1B920-DC8B-445E-834E-FD5C80B16E26}"/>
  <tableColumns count="10">
    <tableColumn id="1" xr3:uid="{680884C5-0132-457F-BEF2-CE55437E4561}" name="MolMass" dataDxfId="0"/>
    <tableColumn id="2" xr3:uid="{9CDF3320-1411-48CF-BF19-F78B164E1E7A}" name="E"/>
    <tableColumn id="3" xr3:uid="{2691486F-7EEE-49A2-ABEC-B99E1B4ED75A}" name="S"/>
    <tableColumn id="4" xr3:uid="{210DA22D-CA01-4FB2-B914-A19E8EA26C2F}" name="A"/>
    <tableColumn id="5" xr3:uid="{FD6830AD-F87B-40DE-AD72-12E226D5D1D1}" name="B"/>
    <tableColumn id="6" xr3:uid="{61076DE3-EF86-466F-8F70-8A4082BC6336}" name="V"/>
    <tableColumn id="7" xr3:uid="{5FCE3394-E336-4680-9F29-947168EFFB16}" name="BET"/>
    <tableColumn id="8" xr3:uid="{562F2207-DE64-4525-8A75-B81F052B3069}" name="Vt"/>
    <tableColumn id="9" xr3:uid="{4C7AD215-399F-4E72-BBD4-DB0DC30F4B25}" name="log Ce (umol/L)"/>
    <tableColumn id="10" xr3:uid="{0F75C457-9877-4C69-AC4B-D0521B7B4401}" name="K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2"/>
  <sheetViews>
    <sheetView tabSelected="1" workbookViewId="0">
      <selection activeCell="K16" sqref="K16"/>
    </sheetView>
  </sheetViews>
  <sheetFormatPr defaultRowHeight="14.25" x14ac:dyDescent="0.45"/>
  <cols>
    <col min="1" max="1" width="13.265625" bestFit="1" customWidth="1"/>
    <col min="2" max="2" width="9.265625" bestFit="1" customWidth="1"/>
    <col min="3" max="3" width="12" bestFit="1" customWidth="1"/>
    <col min="4" max="4" width="10.73046875" bestFit="1" customWidth="1"/>
    <col min="5" max="5" width="14.265625" bestFit="1" customWidth="1"/>
    <col min="6" max="6" width="9.265625" bestFit="1" customWidth="1"/>
    <col min="7" max="7" width="13.73046875" bestFit="1" customWidth="1"/>
    <col min="8" max="8" width="13.73046875" customWidth="1"/>
    <col min="9" max="9" width="11.59765625" bestFit="1" customWidth="1"/>
    <col min="10" max="10" width="11.59765625" customWidth="1"/>
    <col min="11" max="11" width="10.59765625" customWidth="1"/>
    <col min="12" max="12" width="10.59765625" style="17" customWidth="1"/>
    <col min="13" max="14" width="10.59765625" customWidth="1"/>
    <col min="15" max="15" width="10.86328125" bestFit="1" customWidth="1"/>
    <col min="16" max="20" width="9.265625" bestFit="1" customWidth="1"/>
    <col min="21" max="21" width="50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s="17" t="s">
        <v>99</v>
      </c>
      <c r="M1" t="s">
        <v>13</v>
      </c>
      <c r="N1" t="s">
        <v>15</v>
      </c>
      <c r="O1" t="s">
        <v>14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19</v>
      </c>
    </row>
    <row r="2" spans="1:29" x14ac:dyDescent="0.45">
      <c r="A2" s="1" t="s">
        <v>21</v>
      </c>
      <c r="B2">
        <v>298.39999999999998</v>
      </c>
      <c r="C2" s="2">
        <f>(0.000000074*(2.6*B2)^0.5*(273.15+17)/(1.0791*(T2*100)^0.6))*(3600/100^2)</f>
        <v>7.3648366095385989E-6</v>
      </c>
      <c r="D2" s="13">
        <f>298.15^(1.75)*10^-3*SQRT((28.97+B2)/(28.97*B2))/(1*((T2*100)^(1/3)+(20.1)^(1/3))^2)</f>
        <v>5.1730159612816511E-2</v>
      </c>
      <c r="E2" s="2">
        <v>1.51E-10</v>
      </c>
      <c r="F2" s="1">
        <v>33</v>
      </c>
      <c r="G2" s="2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9">
        <v>4.2520999999999995</v>
      </c>
      <c r="M2" s="10">
        <v>999</v>
      </c>
      <c r="N2" s="1"/>
      <c r="O2" s="1">
        <v>0</v>
      </c>
      <c r="P2" s="1">
        <v>10.406000000000001</v>
      </c>
      <c r="Q2" s="1">
        <v>2.0299999999999998</v>
      </c>
      <c r="R2" s="1">
        <v>0.12</v>
      </c>
      <c r="S2" s="1">
        <v>1.72</v>
      </c>
      <c r="T2" s="1">
        <v>2.4436</v>
      </c>
      <c r="U2" t="s">
        <v>20</v>
      </c>
    </row>
    <row r="3" spans="1:29" x14ac:dyDescent="0.45">
      <c r="A3" s="1" t="s">
        <v>52</v>
      </c>
      <c r="B3">
        <v>414.07</v>
      </c>
      <c r="C3" s="2">
        <f>'Refs and Values'!$L$9</f>
        <v>4.8999999999999997E-6</v>
      </c>
      <c r="D3" s="13">
        <f t="shared" ref="D3:D6" si="0">298.15^(1.75)*10^-3*SQRT((28.97+B3)/(28.97*B3))/(1*((T3*100)^(1/3)+(20.1)^(1/3))^2)</f>
        <v>6.2351030201376383E-2</v>
      </c>
      <c r="E3" s="2">
        <v>5.2000000000000001E-13</v>
      </c>
      <c r="F3" s="2">
        <v>1000000</v>
      </c>
      <c r="G3" s="2">
        <f>'Refs and Values'!$N$12</f>
        <v>16464</v>
      </c>
      <c r="H3" s="2">
        <f>0.1*F3</f>
        <v>100000</v>
      </c>
      <c r="I3" s="1">
        <v>1.90861039042722</v>
      </c>
      <c r="J3" s="1">
        <v>-3.2030034260122302</v>
      </c>
      <c r="K3" s="1">
        <f>'Refs and Values'!$C$7</f>
        <v>1.9960999999999998</v>
      </c>
      <c r="L3" s="19">
        <v>3.44408</v>
      </c>
      <c r="M3" s="1">
        <f>'Refs and Values'!$C$15</f>
        <v>2.1819999999999999</v>
      </c>
      <c r="N3" s="1"/>
      <c r="O3" s="1">
        <v>-1</v>
      </c>
      <c r="P3">
        <v>3.2970000000000002</v>
      </c>
      <c r="Q3">
        <v>-0.39</v>
      </c>
      <c r="R3">
        <v>0.46</v>
      </c>
      <c r="S3">
        <v>0.33</v>
      </c>
      <c r="T3" s="1">
        <v>1.5757000000000001</v>
      </c>
      <c r="U3" t="s">
        <v>61</v>
      </c>
      <c r="V3" t="s">
        <v>58</v>
      </c>
    </row>
    <row r="4" spans="1:29" x14ac:dyDescent="0.45">
      <c r="A4" s="1" t="s">
        <v>54</v>
      </c>
      <c r="B4">
        <v>178.23</v>
      </c>
      <c r="C4" s="2">
        <f t="shared" ref="C4" si="1">(0.000000074*(2.6*B4)^0.5*(273.15+17)/(1.0791*(T4*100)^0.6))*(3600/100^2)</f>
        <v>7.7707307432923926E-6</v>
      </c>
      <c r="D4" s="13">
        <f t="shared" si="0"/>
        <v>6.7332001880945375E-2</v>
      </c>
      <c r="E4" s="2">
        <v>1.3E-11</v>
      </c>
      <c r="F4" s="1">
        <v>1440</v>
      </c>
      <c r="G4" s="2">
        <f>'Refs and Values'!$O$13</f>
        <v>1992</v>
      </c>
      <c r="H4" s="2">
        <f>0.1*F4</f>
        <v>144</v>
      </c>
      <c r="I4" s="1">
        <v>4.62529086209583</v>
      </c>
      <c r="J4" s="1">
        <v>-2.7885280247162298</v>
      </c>
      <c r="K4" s="1">
        <v>4.1500000000000004</v>
      </c>
      <c r="L4" s="19">
        <v>6.7060500000000003</v>
      </c>
      <c r="M4" s="10">
        <v>999</v>
      </c>
      <c r="N4" s="1"/>
      <c r="O4" s="1">
        <v>0</v>
      </c>
      <c r="P4">
        <v>7.6319999999999997</v>
      </c>
      <c r="Q4">
        <v>1.29</v>
      </c>
      <c r="R4" s="1">
        <v>0</v>
      </c>
      <c r="S4">
        <v>0.26</v>
      </c>
      <c r="T4" s="1">
        <v>1.4543999999999999</v>
      </c>
      <c r="U4" t="s">
        <v>62</v>
      </c>
      <c r="V4" t="s">
        <v>59</v>
      </c>
    </row>
    <row r="5" spans="1:29" x14ac:dyDescent="0.45">
      <c r="A5" s="1" t="s">
        <v>53</v>
      </c>
      <c r="B5" s="11">
        <v>252.316</v>
      </c>
      <c r="C5" s="2">
        <f>(0.000000074*(2.6*B5)^0.5*(273.15+17)/(1.0791*(T5*100)^0.6))*(3600/100^2)</f>
        <v>7.745559321253756E-6</v>
      </c>
      <c r="D5" s="13">
        <f t="shared" si="0"/>
        <v>5.7791957679240537E-2</v>
      </c>
      <c r="E5" s="2">
        <v>5.0000000000000002E-11</v>
      </c>
      <c r="F5" s="1">
        <v>1440</v>
      </c>
      <c r="G5">
        <f>'Refs and Values'!$P$14</f>
        <v>6456</v>
      </c>
      <c r="H5" s="2">
        <f>0.1*F5</f>
        <v>144</v>
      </c>
      <c r="I5" s="3">
        <v>6.6743140127291696</v>
      </c>
      <c r="J5" s="3">
        <v>-4.3017838779277504</v>
      </c>
      <c r="K5">
        <v>6.74</v>
      </c>
      <c r="L5" s="19">
        <v>7.1948499999999997</v>
      </c>
      <c r="M5">
        <v>999</v>
      </c>
      <c r="O5" s="1">
        <v>0</v>
      </c>
      <c r="P5">
        <v>11.736000000000001</v>
      </c>
      <c r="Q5">
        <v>1.98</v>
      </c>
      <c r="R5" s="1">
        <v>0</v>
      </c>
      <c r="S5">
        <v>0.44</v>
      </c>
      <c r="T5" s="1">
        <v>1.9536</v>
      </c>
      <c r="U5" t="s">
        <v>63</v>
      </c>
      <c r="V5" t="s">
        <v>60</v>
      </c>
    </row>
    <row r="6" spans="1:29" x14ac:dyDescent="0.45">
      <c r="A6" s="1" t="s">
        <v>55</v>
      </c>
      <c r="B6" s="9">
        <v>119.127</v>
      </c>
      <c r="C6" s="2">
        <f>(0.000000074*(2.6*B6)^0.5*(273.15+17)/(1.0791*(T6*100)^0.6))*(3600/100^2)</f>
        <v>8.6819708262146042E-6</v>
      </c>
      <c r="D6" s="13">
        <f t="shared" si="0"/>
        <v>8.6924966666676776E-2</v>
      </c>
      <c r="E6" s="2">
        <v>9.9999999999999998E-13</v>
      </c>
      <c r="F6" s="10">
        <v>360</v>
      </c>
      <c r="G6" s="10">
        <v>720</v>
      </c>
      <c r="H6" s="1">
        <f>0.1*F6</f>
        <v>36</v>
      </c>
      <c r="I6" s="1">
        <v>1.2300000000000002</v>
      </c>
      <c r="J6" s="1">
        <v>-7.1020259999999986</v>
      </c>
      <c r="K6" s="1">
        <f>LOG(71)</f>
        <v>1.8512583487190752</v>
      </c>
      <c r="L6" s="19">
        <v>6.64595</v>
      </c>
      <c r="M6" s="1">
        <v>8.3699999999999992</v>
      </c>
      <c r="N6" s="1"/>
      <c r="O6" s="1">
        <v>-1</v>
      </c>
      <c r="P6" s="1">
        <v>5.6689999999999996</v>
      </c>
      <c r="Q6" s="1">
        <v>1.46</v>
      </c>
      <c r="R6" s="1">
        <v>0.64</v>
      </c>
      <c r="S6" s="1">
        <v>0.48</v>
      </c>
      <c r="T6" s="1">
        <v>0.86419999999999997</v>
      </c>
      <c r="U6" s="1" t="s">
        <v>56</v>
      </c>
      <c r="V6" t="s">
        <v>57</v>
      </c>
      <c r="Z6" s="5"/>
      <c r="AA6" s="5"/>
      <c r="AB6" s="5"/>
      <c r="AC6" s="5"/>
    </row>
    <row r="7" spans="1:29" x14ac:dyDescent="0.45">
      <c r="I7" s="3"/>
      <c r="J7" s="3"/>
    </row>
    <row r="8" spans="1:29" x14ac:dyDescent="0.45">
      <c r="I8" s="3"/>
      <c r="J8" s="3"/>
    </row>
    <row r="9" spans="1:29" x14ac:dyDescent="0.45">
      <c r="H9" s="4"/>
      <c r="I9" s="3"/>
      <c r="J9" s="3"/>
    </row>
    <row r="10" spans="1:29" x14ac:dyDescent="0.45">
      <c r="H10" s="4"/>
      <c r="I10" s="3"/>
      <c r="J10" s="3"/>
    </row>
    <row r="11" spans="1:29" x14ac:dyDescent="0.45">
      <c r="H11" s="4"/>
      <c r="I11" s="3"/>
      <c r="J11" s="3"/>
    </row>
    <row r="12" spans="1:29" x14ac:dyDescent="0.45">
      <c r="E12" s="5"/>
      <c r="F12" s="5"/>
      <c r="H12" s="6"/>
      <c r="I12" s="7"/>
      <c r="J12" s="7"/>
    </row>
    <row r="13" spans="1:29" x14ac:dyDescent="0.45">
      <c r="E13" s="5"/>
      <c r="F13" s="8"/>
      <c r="H13" s="6"/>
      <c r="I13" s="7"/>
      <c r="J13" s="7"/>
    </row>
    <row r="14" spans="1:29" x14ac:dyDescent="0.45">
      <c r="E14" s="5"/>
      <c r="F14" s="8"/>
      <c r="H14" s="6"/>
      <c r="I14" s="7"/>
      <c r="J14" s="7"/>
    </row>
    <row r="15" spans="1:29" x14ac:dyDescent="0.45">
      <c r="E15" s="5"/>
      <c r="F15" s="5"/>
      <c r="H15" s="6"/>
      <c r="I15" s="5"/>
      <c r="J15" s="5"/>
    </row>
    <row r="16" spans="1:29" x14ac:dyDescent="0.45">
      <c r="E16" s="5"/>
      <c r="F16" s="14"/>
      <c r="H16" s="6"/>
      <c r="I16" s="5"/>
      <c r="J16" s="5"/>
    </row>
    <row r="17" spans="5:10" x14ac:dyDescent="0.45">
      <c r="E17" s="5"/>
      <c r="F17" s="5"/>
      <c r="H17" s="5"/>
      <c r="I17" s="5"/>
      <c r="J17" s="5"/>
    </row>
    <row r="18" spans="5:10" x14ac:dyDescent="0.45">
      <c r="E18" s="5"/>
      <c r="F18" s="5"/>
      <c r="H18" s="5"/>
      <c r="I18" s="5"/>
      <c r="J18" s="5"/>
    </row>
    <row r="19" spans="5:10" x14ac:dyDescent="0.45">
      <c r="E19" s="5"/>
      <c r="F19" s="5"/>
      <c r="H19" s="5"/>
      <c r="I19" s="5"/>
      <c r="J19" s="5"/>
    </row>
    <row r="20" spans="5:10" x14ac:dyDescent="0.45">
      <c r="F20" s="5"/>
    </row>
    <row r="21" spans="5:10" x14ac:dyDescent="0.45">
      <c r="F21" s="5"/>
    </row>
    <row r="22" spans="5:10" x14ac:dyDescent="0.45">
      <c r="F22" s="5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7D8-C220-4F45-9E13-59CBB8F4D5BF}">
  <dimension ref="B1:AJ31"/>
  <sheetViews>
    <sheetView workbookViewId="0">
      <selection activeCell="G5" sqref="G5"/>
    </sheetView>
  </sheetViews>
  <sheetFormatPr defaultRowHeight="14.25" x14ac:dyDescent="0.45"/>
  <cols>
    <col min="3" max="3" width="10" customWidth="1"/>
    <col min="11" max="11" width="15" customWidth="1"/>
    <col min="12" max="12" width="13.53125" bestFit="1" customWidth="1"/>
    <col min="13" max="13" width="9.19921875" bestFit="1" customWidth="1"/>
    <col min="15" max="15" width="9.73046875" bestFit="1" customWidth="1"/>
    <col min="21" max="21" width="17.33203125" bestFit="1" customWidth="1"/>
    <col min="31" max="31" width="9.73046875" bestFit="1" customWidth="1"/>
    <col min="36" max="36" width="9.73046875" bestFit="1" customWidth="1"/>
  </cols>
  <sheetData>
    <row r="1" spans="2:36" x14ac:dyDescent="0.45">
      <c r="R1" t="s">
        <v>101</v>
      </c>
    </row>
    <row r="2" spans="2:36" x14ac:dyDescent="0.45">
      <c r="B2" t="s">
        <v>82</v>
      </c>
      <c r="S2" t="s">
        <v>90</v>
      </c>
    </row>
    <row r="3" spans="2:36" x14ac:dyDescent="0.45">
      <c r="B3" s="17"/>
      <c r="C3" s="17"/>
      <c r="D3" s="17"/>
      <c r="E3" s="17"/>
      <c r="F3" s="17"/>
      <c r="G3" s="17"/>
      <c r="H3" s="17"/>
      <c r="I3" s="17"/>
      <c r="J3" s="17"/>
      <c r="K3" s="17">
        <v>1</v>
      </c>
      <c r="L3" s="17" t="s">
        <v>80</v>
      </c>
      <c r="N3" t="s">
        <v>100</v>
      </c>
    </row>
    <row r="4" spans="2:36" x14ac:dyDescent="0.45">
      <c r="B4" s="17"/>
      <c r="C4" s="17" t="s">
        <v>1</v>
      </c>
      <c r="D4" s="17" t="s">
        <v>39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77</v>
      </c>
      <c r="J4" s="17" t="s">
        <v>78</v>
      </c>
      <c r="K4" s="17" t="s">
        <v>79</v>
      </c>
      <c r="L4" s="17" t="s">
        <v>98</v>
      </c>
      <c r="M4" t="s">
        <v>95</v>
      </c>
      <c r="N4" s="18" t="s">
        <v>97</v>
      </c>
      <c r="S4" t="s">
        <v>88</v>
      </c>
      <c r="T4" s="17" t="s">
        <v>87</v>
      </c>
      <c r="U4" s="17" t="s">
        <v>89</v>
      </c>
      <c r="V4" s="17" t="s">
        <v>83</v>
      </c>
      <c r="W4" s="17" t="s">
        <v>84</v>
      </c>
      <c r="X4" s="17" t="s">
        <v>85</v>
      </c>
      <c r="Y4" s="17" t="s">
        <v>86</v>
      </c>
      <c r="Z4" s="17" t="s">
        <v>39</v>
      </c>
      <c r="AA4" s="17" t="s">
        <v>8</v>
      </c>
      <c r="AB4" s="17" t="s">
        <v>9</v>
      </c>
      <c r="AC4" s="17" t="s">
        <v>10</v>
      </c>
      <c r="AD4" s="17" t="s">
        <v>11</v>
      </c>
      <c r="AE4" t="s">
        <v>91</v>
      </c>
      <c r="AF4" t="s">
        <v>92</v>
      </c>
      <c r="AG4" t="s">
        <v>94</v>
      </c>
      <c r="AH4" t="s">
        <v>93</v>
      </c>
      <c r="AI4" t="s">
        <v>95</v>
      </c>
      <c r="AJ4" t="s">
        <v>96</v>
      </c>
    </row>
    <row r="5" spans="2:36" x14ac:dyDescent="0.45">
      <c r="B5" s="19" t="s">
        <v>21</v>
      </c>
      <c r="C5" s="17">
        <v>298.39999999999998</v>
      </c>
      <c r="D5" s="19">
        <v>2.15</v>
      </c>
      <c r="E5" s="19">
        <v>2.0299999999999998</v>
      </c>
      <c r="F5" s="19">
        <v>0.12</v>
      </c>
      <c r="G5" s="19">
        <v>1.72</v>
      </c>
      <c r="H5" s="19">
        <v>2.4436</v>
      </c>
      <c r="I5" s="17">
        <v>189.33290384615387</v>
      </c>
      <c r="J5" s="17">
        <v>0.15167980769230768</v>
      </c>
      <c r="K5" s="15">
        <f>LOG($K$3/1/C5)</f>
        <v>-2.4747988188006311</v>
      </c>
      <c r="L5" s="17">
        <f>AVERAGEIF(Table2[MolMass],"="&amp;B5,Table2[Kd])</f>
        <v>1.2521</v>
      </c>
      <c r="M5">
        <f>(10^(L5)*10^K5)*1000*C5</f>
        <v>17868.989761804281</v>
      </c>
      <c r="N5" s="18">
        <f>LOG(M5/$K$3)</f>
        <v>4.2520999999999995</v>
      </c>
      <c r="R5" s="19" t="s">
        <v>21</v>
      </c>
      <c r="S5">
        <v>79.09</v>
      </c>
      <c r="T5" s="17">
        <v>0.24</v>
      </c>
      <c r="U5" s="17">
        <v>0.17</v>
      </c>
      <c r="V5" s="17">
        <v>85.3</v>
      </c>
      <c r="W5" s="17">
        <v>6.47</v>
      </c>
      <c r="X5" s="19">
        <f>CHEMSUMM!K2</f>
        <v>3.14</v>
      </c>
      <c r="Y5">
        <v>0</v>
      </c>
      <c r="Z5" s="19">
        <v>2.15</v>
      </c>
      <c r="AA5" s="19">
        <v>2.0299999999999998</v>
      </c>
      <c r="AB5" s="19">
        <v>0.12</v>
      </c>
      <c r="AC5" s="19">
        <v>1.72</v>
      </c>
      <c r="AD5" s="19">
        <v>2.4436</v>
      </c>
      <c r="AE5" s="17">
        <v>5.1662089587950391</v>
      </c>
      <c r="AF5" s="17">
        <v>0.4791143812258129</v>
      </c>
      <c r="AG5" s="17">
        <f>AVERAGEIF($R$5:$R$24,"="&amp;R5,$AE$5:$AE$24)</f>
        <v>5.2561474743145284</v>
      </c>
      <c r="AH5" s="17">
        <f>AVERAGEIF($R$5:$R$24,"="&amp;R5,$AF$5:$AF$24)</f>
        <v>0.48774820972488253</v>
      </c>
      <c r="AI5">
        <f>10^AG5*$K$3^(AH5)</f>
        <v>180363.00994492471</v>
      </c>
      <c r="AJ5">
        <f>LOG(AI5/$K$3)</f>
        <v>5.2561474743145293</v>
      </c>
    </row>
    <row r="6" spans="2:36" x14ac:dyDescent="0.45">
      <c r="B6" s="19" t="s">
        <v>52</v>
      </c>
      <c r="C6" s="17">
        <v>414.07</v>
      </c>
      <c r="D6" s="17">
        <v>-0.88</v>
      </c>
      <c r="E6" s="17">
        <v>-0.39</v>
      </c>
      <c r="F6" s="17">
        <v>0.46</v>
      </c>
      <c r="G6" s="17">
        <v>0.33</v>
      </c>
      <c r="H6" s="19">
        <v>1.5757000000000001</v>
      </c>
      <c r="I6" s="17">
        <v>189.33290384615387</v>
      </c>
      <c r="J6" s="17">
        <v>0.15167980769230768</v>
      </c>
      <c r="K6" s="15">
        <f t="shared" ref="K6:K9" si="0">LOG($K$3/1/C6)</f>
        <v>-2.6170737663477652</v>
      </c>
      <c r="L6" s="17">
        <f>AVERAGEIF(Table2[MolMass],"="&amp;B6,Table2[Kd])</f>
        <v>0.44408000000000003</v>
      </c>
      <c r="M6" s="17">
        <f t="shared" ref="M6:M9" si="1">(10^(L6)*10^K6)*1000*C6</f>
        <v>2780.2253570296571</v>
      </c>
      <c r="N6" s="18">
        <f t="shared" ref="N6:N9" si="2">LOG(M6/$K$3)</f>
        <v>3.44408</v>
      </c>
      <c r="O6" s="17"/>
      <c r="R6" s="19" t="s">
        <v>52</v>
      </c>
      <c r="S6" s="17">
        <v>79.09</v>
      </c>
      <c r="T6" s="17">
        <v>0.24</v>
      </c>
      <c r="U6" s="17">
        <v>0.17</v>
      </c>
      <c r="V6" s="17">
        <v>85.3</v>
      </c>
      <c r="W6" s="17">
        <v>6.47</v>
      </c>
      <c r="X6" s="19">
        <f>CHEMSUMM!I3-LOG(1+10^(Kd_biochar_pred!W6-CHEMSUMM!M3))</f>
        <v>-2.3794119850920863</v>
      </c>
      <c r="Y6" s="16">
        <f>1-1/(1+10^(-1*(CHEMSUMM!M3-Kd_biochar_pred!W6)))</f>
        <v>0.99994847979001067</v>
      </c>
      <c r="Z6" s="17">
        <v>-0.88</v>
      </c>
      <c r="AA6" s="17">
        <v>-0.39</v>
      </c>
      <c r="AB6" s="17">
        <v>0.46</v>
      </c>
      <c r="AC6" s="17">
        <v>0.33</v>
      </c>
      <c r="AD6" s="19">
        <v>1.5757000000000001</v>
      </c>
      <c r="AE6" s="17">
        <v>4.5463190816545902</v>
      </c>
      <c r="AF6" s="17">
        <v>0.83052533714390009</v>
      </c>
      <c r="AG6" s="17">
        <f>AVERAGEIF($R$5:$R$24,"="&amp;R6,$AE$5:$AE$24)</f>
        <v>4.9675340275172459</v>
      </c>
      <c r="AH6" s="17">
        <f>AVERAGEIF($R$5:$R$24,"="&amp;R6,$AF$5:$AF$24)</f>
        <v>0.80777915876451334</v>
      </c>
      <c r="AI6" s="17">
        <f t="shared" ref="AI6:AI9" si="3">10^AG6*$K$3^(AH6)</f>
        <v>92797.01949074505</v>
      </c>
      <c r="AJ6" s="17">
        <f t="shared" ref="AJ6:AJ9" si="4">LOG(AI6/$K$3)</f>
        <v>4.9675340275172468</v>
      </c>
    </row>
    <row r="7" spans="2:36" x14ac:dyDescent="0.45">
      <c r="B7" s="19" t="s">
        <v>54</v>
      </c>
      <c r="C7" s="17">
        <v>178.23</v>
      </c>
      <c r="D7" s="17">
        <v>2.06</v>
      </c>
      <c r="E7" s="17">
        <v>1.29</v>
      </c>
      <c r="F7" s="19">
        <v>0</v>
      </c>
      <c r="G7" s="17">
        <v>0.26</v>
      </c>
      <c r="H7" s="19">
        <v>1.4543999999999999</v>
      </c>
      <c r="I7" s="17">
        <v>189.33290384615387</v>
      </c>
      <c r="J7" s="17">
        <v>0.15167980769230768</v>
      </c>
      <c r="K7" s="15">
        <f t="shared" si="0"/>
        <v>-2.2509808070963495</v>
      </c>
      <c r="L7" s="17">
        <f>AVERAGEIF(Table2[MolMass],"="&amp;B7,Table2[Kd])</f>
        <v>3.7060500000000003</v>
      </c>
      <c r="M7" s="17">
        <f t="shared" si="1"/>
        <v>5082179.4994631745</v>
      </c>
      <c r="N7" s="18">
        <f t="shared" si="2"/>
        <v>6.7060500000000003</v>
      </c>
      <c r="O7" s="17"/>
      <c r="R7" s="19" t="s">
        <v>54</v>
      </c>
      <c r="S7" s="17">
        <v>79.09</v>
      </c>
      <c r="T7" s="17">
        <v>0.24</v>
      </c>
      <c r="U7" s="17">
        <v>0.17</v>
      </c>
      <c r="V7" s="17">
        <v>85.3</v>
      </c>
      <c r="W7" s="17">
        <v>6.47</v>
      </c>
      <c r="X7" s="19">
        <f>CHEMSUMM!K4</f>
        <v>4.1500000000000004</v>
      </c>
      <c r="Y7">
        <v>0</v>
      </c>
      <c r="Z7" s="17">
        <v>2.06</v>
      </c>
      <c r="AA7" s="17">
        <v>1.29</v>
      </c>
      <c r="AB7" s="19">
        <v>0</v>
      </c>
      <c r="AC7" s="17">
        <v>0.26</v>
      </c>
      <c r="AD7" s="19">
        <v>1.4543999999999999</v>
      </c>
      <c r="AE7" s="17">
        <v>-7.1659467145981495E-2</v>
      </c>
      <c r="AF7" s="17">
        <v>0.59733577311556507</v>
      </c>
      <c r="AG7" s="17">
        <f>AVERAGEIF($R$5:$R$24,"="&amp;R7,$AE$5:$AE$24)</f>
        <v>6.0224548389247637E-2</v>
      </c>
      <c r="AH7" s="17">
        <f>AVERAGEIF($R$5:$R$24,"="&amp;R7,$AF$5:$AF$24)</f>
        <v>0.57769257954737085</v>
      </c>
      <c r="AI7" s="17">
        <f t="shared" si="3"/>
        <v>1.1487474183775324</v>
      </c>
      <c r="AJ7" s="17">
        <f t="shared" si="4"/>
        <v>6.0224548389247644E-2</v>
      </c>
    </row>
    <row r="8" spans="2:36" x14ac:dyDescent="0.45">
      <c r="B8" s="19" t="s">
        <v>53</v>
      </c>
      <c r="C8" s="21">
        <v>252.316</v>
      </c>
      <c r="D8" s="17">
        <v>3.63</v>
      </c>
      <c r="E8" s="17">
        <v>1.98</v>
      </c>
      <c r="F8" s="19">
        <v>0</v>
      </c>
      <c r="G8" s="17">
        <v>0.44</v>
      </c>
      <c r="H8" s="19">
        <v>1.9536</v>
      </c>
      <c r="I8" s="17">
        <v>189.33290384615387</v>
      </c>
      <c r="J8" s="17">
        <v>0.15167980769230768</v>
      </c>
      <c r="K8" s="15">
        <f t="shared" si="0"/>
        <v>-2.4019447911096794</v>
      </c>
      <c r="L8" s="17">
        <f>AVERAGEIF(Table2[MolMass],"="&amp;B8,Table2[Kd])</f>
        <v>4.1948499999999997</v>
      </c>
      <c r="M8" s="17">
        <f t="shared" si="1"/>
        <v>15662100.268996088</v>
      </c>
      <c r="N8" s="18">
        <f t="shared" si="2"/>
        <v>7.1948499999999997</v>
      </c>
      <c r="O8" s="17"/>
      <c r="R8" s="19" t="s">
        <v>53</v>
      </c>
      <c r="S8" s="17">
        <v>79.09</v>
      </c>
      <c r="T8" s="17">
        <v>0.24</v>
      </c>
      <c r="U8" s="17">
        <v>0.17</v>
      </c>
      <c r="V8" s="17">
        <v>85.3</v>
      </c>
      <c r="W8" s="17">
        <v>6.47</v>
      </c>
      <c r="X8" s="19">
        <f>CHEMSUMM!K5</f>
        <v>6.74</v>
      </c>
      <c r="Y8">
        <v>0</v>
      </c>
      <c r="Z8" s="17">
        <v>3.63</v>
      </c>
      <c r="AA8" s="17">
        <v>1.98</v>
      </c>
      <c r="AB8" s="19">
        <v>0</v>
      </c>
      <c r="AC8" s="17">
        <v>0.44</v>
      </c>
      <c r="AD8" s="19">
        <v>1.9536</v>
      </c>
      <c r="AE8" s="17">
        <v>1.4830342587683041</v>
      </c>
      <c r="AF8" s="17">
        <v>0.50400975004703974</v>
      </c>
      <c r="AG8" s="17">
        <f>AVERAGEIF($R$5:$R$24,"="&amp;R8,$AE$5:$AE$24)</f>
        <v>1.7887608610066046</v>
      </c>
      <c r="AH8" s="17">
        <f>AVERAGEIF($R$5:$R$24,"="&amp;R8,$AF$5:$AF$24)</f>
        <v>0.48641627408780025</v>
      </c>
      <c r="AI8" s="17">
        <f t="shared" si="3"/>
        <v>61.48382262643635</v>
      </c>
      <c r="AJ8" s="17">
        <f t="shared" si="4"/>
        <v>1.7887608610066046</v>
      </c>
    </row>
    <row r="9" spans="2:36" x14ac:dyDescent="0.45">
      <c r="B9" s="19" t="s">
        <v>55</v>
      </c>
      <c r="C9" s="20">
        <v>119.127</v>
      </c>
      <c r="D9" s="19">
        <v>1.47</v>
      </c>
      <c r="E9" s="19">
        <v>1.46</v>
      </c>
      <c r="F9" s="19">
        <v>0.64</v>
      </c>
      <c r="G9" s="19">
        <v>0.48</v>
      </c>
      <c r="H9" s="19">
        <v>0.86419999999999997</v>
      </c>
      <c r="I9" s="17">
        <v>189.33290384615387</v>
      </c>
      <c r="J9" s="17">
        <v>0.15167980769230768</v>
      </c>
      <c r="K9" s="15">
        <f t="shared" si="0"/>
        <v>-2.0760102049930564</v>
      </c>
      <c r="L9" s="17">
        <f>AVERAGEIF(Table2[MolMass],"="&amp;B9,Table2[Kd])</f>
        <v>3.64595</v>
      </c>
      <c r="M9" s="17">
        <f t="shared" si="1"/>
        <v>4425374.2042628517</v>
      </c>
      <c r="N9" s="18">
        <f t="shared" si="2"/>
        <v>6.64595</v>
      </c>
      <c r="O9" s="17"/>
      <c r="R9" s="19" t="s">
        <v>55</v>
      </c>
      <c r="S9" s="17">
        <v>79.09</v>
      </c>
      <c r="T9" s="17">
        <v>0.24</v>
      </c>
      <c r="U9" s="17">
        <v>0.17</v>
      </c>
      <c r="V9" s="17">
        <v>85.3</v>
      </c>
      <c r="W9" s="17">
        <v>6.47</v>
      </c>
      <c r="X9" s="19">
        <f>CHEMSUMM!I6-LOG(1+10^(Kd_biochar_pred!W9-CHEMSUMM!M6))</f>
        <v>1.2245666857799544</v>
      </c>
      <c r="Y9" s="16">
        <f>1-1/(1+10^(-1*(CHEMSUMM!M6-Kd_biochar_pred!W9)))</f>
        <v>1.243273525444244E-2</v>
      </c>
      <c r="Z9" s="19">
        <v>1.47</v>
      </c>
      <c r="AA9" s="19">
        <v>1.46</v>
      </c>
      <c r="AB9" s="19">
        <v>0.64</v>
      </c>
      <c r="AC9" s="19">
        <v>0.48</v>
      </c>
      <c r="AD9" s="19">
        <v>0.86419999999999997</v>
      </c>
      <c r="AE9" s="17">
        <v>5.7677745855689473</v>
      </c>
      <c r="AF9" s="17">
        <v>0.36880927004596509</v>
      </c>
      <c r="AG9" s="17">
        <f>AVERAGEIF($R$5:$R$24,"="&amp;R9,$AE$5:$AE$24)</f>
        <v>5.4989010944744248</v>
      </c>
      <c r="AH9" s="17">
        <f>AVERAGEIF($R$5:$R$24,"="&amp;R9,$AF$5:$AF$24)</f>
        <v>0.30430277820173979</v>
      </c>
      <c r="AI9" s="17">
        <f t="shared" si="3"/>
        <v>315428.61895156227</v>
      </c>
      <c r="AJ9" s="17">
        <f t="shared" si="4"/>
        <v>5.4989010944744257</v>
      </c>
    </row>
    <row r="10" spans="2:36" x14ac:dyDescent="0.45">
      <c r="R10" s="19" t="s">
        <v>21</v>
      </c>
      <c r="S10" s="17">
        <v>65.98</v>
      </c>
      <c r="T10" s="17">
        <v>0.24</v>
      </c>
      <c r="U10" s="17">
        <v>0.17</v>
      </c>
      <c r="V10" s="17">
        <v>3.24</v>
      </c>
      <c r="W10" s="17">
        <v>6.47</v>
      </c>
      <c r="X10" s="19">
        <v>3.14</v>
      </c>
      <c r="Y10" s="17">
        <v>0</v>
      </c>
      <c r="Z10" s="19">
        <v>2.15</v>
      </c>
      <c r="AA10" s="19">
        <v>2.0299999999999998</v>
      </c>
      <c r="AB10" s="19">
        <v>0.12</v>
      </c>
      <c r="AC10" s="19">
        <v>1.72</v>
      </c>
      <c r="AD10" s="19">
        <v>2.4436</v>
      </c>
      <c r="AE10" s="17">
        <v>4.8542628313548075</v>
      </c>
      <c r="AF10" s="17">
        <v>0.50806741629785979</v>
      </c>
      <c r="AG10" s="17"/>
    </row>
    <row r="11" spans="2:36" x14ac:dyDescent="0.45">
      <c r="C11" s="17" t="s">
        <v>1</v>
      </c>
      <c r="D11" s="17" t="s">
        <v>39</v>
      </c>
      <c r="E11" s="17" t="s">
        <v>8</v>
      </c>
      <c r="F11" s="17" t="s">
        <v>9</v>
      </c>
      <c r="G11" s="17" t="s">
        <v>10</v>
      </c>
      <c r="H11" s="17" t="s">
        <v>11</v>
      </c>
      <c r="I11" s="17" t="s">
        <v>77</v>
      </c>
      <c r="J11" s="17" t="s">
        <v>78</v>
      </c>
      <c r="K11" s="17" t="s">
        <v>79</v>
      </c>
      <c r="L11" s="17" t="s">
        <v>81</v>
      </c>
      <c r="R11" s="19" t="s">
        <v>52</v>
      </c>
      <c r="S11" s="17">
        <v>65.98</v>
      </c>
      <c r="T11" s="17">
        <v>0.24</v>
      </c>
      <c r="U11" s="17">
        <v>0.17</v>
      </c>
      <c r="V11" s="17">
        <v>3.24</v>
      </c>
      <c r="W11" s="17">
        <v>6.47</v>
      </c>
      <c r="X11" s="19">
        <v>-2.3794119850920863</v>
      </c>
      <c r="Y11" s="16">
        <v>0.99994847979001067</v>
      </c>
      <c r="Z11" s="17">
        <v>-0.88</v>
      </c>
      <c r="AA11" s="17">
        <v>-0.39</v>
      </c>
      <c r="AB11" s="17">
        <v>0.46</v>
      </c>
      <c r="AC11" s="17">
        <v>0.33</v>
      </c>
      <c r="AD11" s="19">
        <v>1.5757000000000001</v>
      </c>
      <c r="AE11" s="17">
        <v>4.7603979047095928</v>
      </c>
      <c r="AF11" s="17">
        <v>0.81126402978345991</v>
      </c>
      <c r="AG11" s="17"/>
    </row>
    <row r="12" spans="2:36" x14ac:dyDescent="0.45">
      <c r="C12" s="19" t="s">
        <v>21</v>
      </c>
      <c r="D12" s="17">
        <v>2.15</v>
      </c>
      <c r="E12" s="17">
        <v>2.0299999999999998</v>
      </c>
      <c r="F12" s="17">
        <v>0.12</v>
      </c>
      <c r="G12" s="17">
        <v>1.72</v>
      </c>
      <c r="H12" s="17">
        <v>2.4436</v>
      </c>
      <c r="I12" s="17">
        <v>189.33</v>
      </c>
      <c r="J12" s="17">
        <v>0.15168000000000001</v>
      </c>
      <c r="K12" s="17">
        <v>-2.4748000000000001</v>
      </c>
      <c r="L12" s="17">
        <v>1.0613999999999999</v>
      </c>
      <c r="M12" s="3">
        <f>10^(L12)*10^K12</f>
        <v>3.8601128374531966E-2</v>
      </c>
      <c r="R12" s="19" t="s">
        <v>54</v>
      </c>
      <c r="S12" s="17">
        <v>65.98</v>
      </c>
      <c r="T12" s="17">
        <v>0.24</v>
      </c>
      <c r="U12" s="17">
        <v>0.17</v>
      </c>
      <c r="V12" s="17">
        <v>3.24</v>
      </c>
      <c r="W12" s="17">
        <v>6.47</v>
      </c>
      <c r="X12" s="19">
        <v>4.1500000000000004</v>
      </c>
      <c r="Y12" s="17">
        <v>0</v>
      </c>
      <c r="Z12" s="17">
        <v>2.06</v>
      </c>
      <c r="AA12" s="17">
        <v>1.29</v>
      </c>
      <c r="AB12" s="19">
        <v>0</v>
      </c>
      <c r="AC12" s="17">
        <v>0.26</v>
      </c>
      <c r="AD12" s="19">
        <v>1.4543999999999999</v>
      </c>
      <c r="AE12" s="17">
        <v>-0.23824306534089815</v>
      </c>
      <c r="AF12" s="17">
        <v>0.61809802558790328</v>
      </c>
      <c r="AG12" s="17"/>
    </row>
    <row r="13" spans="2:36" x14ac:dyDescent="0.45">
      <c r="C13" s="19" t="s">
        <v>52</v>
      </c>
      <c r="D13" s="17">
        <v>-0.88</v>
      </c>
      <c r="E13" s="17">
        <v>-0.39</v>
      </c>
      <c r="F13" s="17">
        <v>0.46</v>
      </c>
      <c r="G13" s="17">
        <v>0.33</v>
      </c>
      <c r="H13" s="17">
        <v>1.5757000000000001</v>
      </c>
      <c r="I13" s="17">
        <v>189.33</v>
      </c>
      <c r="J13" s="17">
        <v>0.15168000000000001</v>
      </c>
      <c r="K13" s="17">
        <v>-2.6171000000000002</v>
      </c>
      <c r="L13" s="17">
        <v>0.41946</v>
      </c>
      <c r="M13" s="3">
        <f t="shared" ref="M13:M31" si="5">10^(L13)*10^K13</f>
        <v>6.3439536311258454E-3</v>
      </c>
      <c r="R13" s="19" t="s">
        <v>53</v>
      </c>
      <c r="S13" s="17">
        <v>65.98</v>
      </c>
      <c r="T13" s="17">
        <v>0.24</v>
      </c>
      <c r="U13" s="17">
        <v>0.17</v>
      </c>
      <c r="V13" s="17">
        <v>3.24</v>
      </c>
      <c r="W13" s="17">
        <v>6.47</v>
      </c>
      <c r="X13" s="19">
        <v>6.74</v>
      </c>
      <c r="Y13" s="17">
        <v>0</v>
      </c>
      <c r="Z13" s="17">
        <v>3.63</v>
      </c>
      <c r="AA13" s="17">
        <v>1.98</v>
      </c>
      <c r="AB13" s="19">
        <v>0</v>
      </c>
      <c r="AC13" s="17">
        <v>0.44</v>
      </c>
      <c r="AD13" s="19">
        <v>1.9536</v>
      </c>
      <c r="AE13" s="17">
        <v>1.3172361589044053</v>
      </c>
      <c r="AF13" s="17">
        <v>0.5186640484265882</v>
      </c>
      <c r="AG13" s="17"/>
    </row>
    <row r="14" spans="2:36" x14ac:dyDescent="0.45">
      <c r="C14" s="19" t="s">
        <v>54</v>
      </c>
      <c r="D14" s="17">
        <v>2.06</v>
      </c>
      <c r="E14" s="17">
        <v>1.29</v>
      </c>
      <c r="F14" s="17">
        <v>0</v>
      </c>
      <c r="G14" s="17">
        <v>0.26</v>
      </c>
      <c r="H14" s="17">
        <v>1.4543999999999999</v>
      </c>
      <c r="I14" s="17">
        <v>189.33</v>
      </c>
      <c r="J14" s="17">
        <v>0.15168000000000001</v>
      </c>
      <c r="K14" s="17">
        <v>-2.2509999999999999</v>
      </c>
      <c r="L14" s="17">
        <v>3.3515000000000001</v>
      </c>
      <c r="M14" s="3">
        <f t="shared" si="5"/>
        <v>12.603756378944256</v>
      </c>
      <c r="R14" s="19" t="s">
        <v>55</v>
      </c>
      <c r="S14" s="17">
        <v>65.98</v>
      </c>
      <c r="T14" s="17">
        <v>0.24</v>
      </c>
      <c r="U14" s="17">
        <v>0.17</v>
      </c>
      <c r="V14" s="17">
        <v>3.24</v>
      </c>
      <c r="W14" s="17">
        <v>6.47</v>
      </c>
      <c r="X14" s="19">
        <v>1.2245666857799544</v>
      </c>
      <c r="Y14" s="16">
        <v>1.243273525444244E-2</v>
      </c>
      <c r="Z14" s="19">
        <v>1.47</v>
      </c>
      <c r="AA14" s="19">
        <v>1.46</v>
      </c>
      <c r="AB14" s="19">
        <v>0.64</v>
      </c>
      <c r="AC14" s="19">
        <v>0.48</v>
      </c>
      <c r="AD14" s="19">
        <v>0.86419999999999997</v>
      </c>
      <c r="AE14" s="17">
        <v>5.5797193039844872</v>
      </c>
      <c r="AF14" s="17">
        <v>0.38836741030340577</v>
      </c>
      <c r="AG14" s="17"/>
    </row>
    <row r="15" spans="2:36" x14ac:dyDescent="0.45">
      <c r="C15" s="19" t="s">
        <v>53</v>
      </c>
      <c r="D15" s="17">
        <v>3.63</v>
      </c>
      <c r="E15" s="17">
        <v>1.98</v>
      </c>
      <c r="F15" s="17">
        <v>0</v>
      </c>
      <c r="G15" s="17">
        <v>0.44</v>
      </c>
      <c r="H15" s="17">
        <v>1.9536</v>
      </c>
      <c r="I15" s="17">
        <v>189.33</v>
      </c>
      <c r="J15" s="17">
        <v>0.15168000000000001</v>
      </c>
      <c r="K15" s="17">
        <v>-2.4018999999999999</v>
      </c>
      <c r="L15" s="17">
        <v>3.6217999999999999</v>
      </c>
      <c r="M15" s="3">
        <f t="shared" si="5"/>
        <v>16.592048174216277</v>
      </c>
      <c r="R15" t="s">
        <v>21</v>
      </c>
      <c r="S15">
        <v>79.09</v>
      </c>
      <c r="T15">
        <v>0.24</v>
      </c>
      <c r="U15">
        <v>0.17</v>
      </c>
      <c r="V15" s="17">
        <v>189.33290384615387</v>
      </c>
      <c r="W15">
        <v>6.47</v>
      </c>
      <c r="X15">
        <v>3.14</v>
      </c>
      <c r="Y15">
        <v>0</v>
      </c>
      <c r="Z15">
        <v>2.15</v>
      </c>
      <c r="AA15">
        <v>2.0299999999999998</v>
      </c>
      <c r="AB15">
        <v>0.12</v>
      </c>
      <c r="AC15">
        <v>1.72</v>
      </c>
      <c r="AD15">
        <v>2.4436</v>
      </c>
      <c r="AE15" s="17">
        <v>5.510715985334576</v>
      </c>
      <c r="AF15" s="17">
        <v>0.47759835863935884</v>
      </c>
      <c r="AG15" s="17"/>
    </row>
    <row r="16" spans="2:36" x14ac:dyDescent="0.45">
      <c r="C16" s="19" t="s">
        <v>55</v>
      </c>
      <c r="D16" s="17">
        <v>1.47</v>
      </c>
      <c r="E16" s="17">
        <v>1.46</v>
      </c>
      <c r="F16" s="17">
        <v>0.64</v>
      </c>
      <c r="G16" s="17">
        <v>0.48</v>
      </c>
      <c r="H16" s="17">
        <v>0.86419999999999997</v>
      </c>
      <c r="I16" s="17">
        <v>189.33</v>
      </c>
      <c r="J16" s="17">
        <v>0.15168000000000001</v>
      </c>
      <c r="K16" s="17">
        <v>-2.0760000000000001</v>
      </c>
      <c r="L16" s="17">
        <v>3.1423000000000001</v>
      </c>
      <c r="M16" s="3">
        <f t="shared" si="5"/>
        <v>11.649304569904537</v>
      </c>
      <c r="R16" t="s">
        <v>52</v>
      </c>
      <c r="S16">
        <v>79.09</v>
      </c>
      <c r="T16">
        <v>0.24</v>
      </c>
      <c r="U16">
        <v>0.17</v>
      </c>
      <c r="V16" s="17">
        <v>189.33290384615387</v>
      </c>
      <c r="W16">
        <v>6.47</v>
      </c>
      <c r="X16">
        <v>-2.3794119850920863</v>
      </c>
      <c r="Y16">
        <v>0.99994847979001067</v>
      </c>
      <c r="Z16">
        <v>-0.88</v>
      </c>
      <c r="AA16">
        <v>-0.39</v>
      </c>
      <c r="AB16">
        <v>0.46</v>
      </c>
      <c r="AC16">
        <v>0.33</v>
      </c>
      <c r="AD16">
        <v>1.5757000000000001</v>
      </c>
      <c r="AE16" s="17">
        <v>5.0393474331317307</v>
      </c>
      <c r="AF16" s="17">
        <v>0.81690310917092912</v>
      </c>
      <c r="AG16" s="17"/>
    </row>
    <row r="17" spans="3:33" x14ac:dyDescent="0.45">
      <c r="C17" s="19" t="s">
        <v>21</v>
      </c>
      <c r="D17" s="17">
        <v>2.15</v>
      </c>
      <c r="E17" s="17">
        <v>2.0299999999999998</v>
      </c>
      <c r="F17" s="17">
        <v>0.12</v>
      </c>
      <c r="G17" s="17">
        <v>1.72</v>
      </c>
      <c r="H17" s="17">
        <v>2.4436</v>
      </c>
      <c r="I17" s="17">
        <v>189.33</v>
      </c>
      <c r="J17" s="17">
        <v>0.15168000000000001</v>
      </c>
      <c r="K17" s="17">
        <v>-2.7757999999999998</v>
      </c>
      <c r="L17" s="17">
        <v>1.1402000000000001</v>
      </c>
      <c r="M17" s="3">
        <f t="shared" si="5"/>
        <v>2.3141952615112545E-2</v>
      </c>
      <c r="R17" t="s">
        <v>54</v>
      </c>
      <c r="S17">
        <v>79.09</v>
      </c>
      <c r="T17">
        <v>0.24</v>
      </c>
      <c r="U17">
        <v>0.17</v>
      </c>
      <c r="V17" s="17">
        <v>189.33290384615387</v>
      </c>
      <c r="W17">
        <v>6.47</v>
      </c>
      <c r="X17">
        <v>4.1500000000000004</v>
      </c>
      <c r="Y17">
        <v>0</v>
      </c>
      <c r="Z17">
        <v>2.06</v>
      </c>
      <c r="AA17">
        <v>1.29</v>
      </c>
      <c r="AB17">
        <v>0</v>
      </c>
      <c r="AC17">
        <v>0.26</v>
      </c>
      <c r="AD17">
        <v>1.4543999999999999</v>
      </c>
      <c r="AE17" s="17">
        <v>0.21820110127243914</v>
      </c>
      <c r="AF17" s="17">
        <v>0.56484139618017326</v>
      </c>
      <c r="AG17" s="17"/>
    </row>
    <row r="18" spans="3:33" x14ac:dyDescent="0.45">
      <c r="C18" s="19" t="s">
        <v>52</v>
      </c>
      <c r="D18" s="17">
        <v>-0.88</v>
      </c>
      <c r="E18" s="17">
        <v>-0.39</v>
      </c>
      <c r="F18" s="17">
        <v>0.46</v>
      </c>
      <c r="G18" s="17">
        <v>0.33</v>
      </c>
      <c r="H18" s="17">
        <v>1.5757000000000001</v>
      </c>
      <c r="I18" s="17">
        <v>189.33</v>
      </c>
      <c r="J18" s="17">
        <v>0.15168000000000001</v>
      </c>
      <c r="K18" s="17">
        <v>-2.9180999999999999</v>
      </c>
      <c r="L18" s="17">
        <v>0.43012</v>
      </c>
      <c r="M18" s="3">
        <f t="shared" si="5"/>
        <v>3.2510226855345325E-3</v>
      </c>
      <c r="R18" t="s">
        <v>53</v>
      </c>
      <c r="S18">
        <v>79.09</v>
      </c>
      <c r="T18">
        <v>0.24</v>
      </c>
      <c r="U18">
        <v>0.17</v>
      </c>
      <c r="V18" s="17">
        <v>189.33290384615387</v>
      </c>
      <c r="W18">
        <v>6.47</v>
      </c>
      <c r="X18">
        <v>6.74</v>
      </c>
      <c r="Y18">
        <v>0</v>
      </c>
      <c r="Z18">
        <v>3.63</v>
      </c>
      <c r="AA18">
        <v>1.98</v>
      </c>
      <c r="AB18">
        <v>0</v>
      </c>
      <c r="AC18">
        <v>0.44</v>
      </c>
      <c r="AD18">
        <v>1.9536</v>
      </c>
      <c r="AE18" s="17">
        <v>2.0311761278649807</v>
      </c>
      <c r="AF18" s="17">
        <v>0.47477031705780448</v>
      </c>
      <c r="AG18" s="17"/>
    </row>
    <row r="19" spans="3:33" x14ac:dyDescent="0.45">
      <c r="C19" s="19" t="s">
        <v>54</v>
      </c>
      <c r="D19" s="17">
        <v>2.06</v>
      </c>
      <c r="E19" s="17">
        <v>1.29</v>
      </c>
      <c r="F19" s="17">
        <v>0</v>
      </c>
      <c r="G19" s="17">
        <v>0.26</v>
      </c>
      <c r="H19" s="17">
        <v>1.4543999999999999</v>
      </c>
      <c r="I19" s="17">
        <v>189.33</v>
      </c>
      <c r="J19" s="17">
        <v>0.15168000000000001</v>
      </c>
      <c r="K19" s="17">
        <v>-2.552</v>
      </c>
      <c r="L19" s="17">
        <v>3.4967000000000001</v>
      </c>
      <c r="M19" s="3">
        <f t="shared" si="5"/>
        <v>8.8044047616467598</v>
      </c>
      <c r="R19" t="s">
        <v>55</v>
      </c>
      <c r="S19">
        <v>79.09</v>
      </c>
      <c r="T19">
        <v>0.24</v>
      </c>
      <c r="U19">
        <v>0.17</v>
      </c>
      <c r="V19" s="17">
        <v>189.33290384615387</v>
      </c>
      <c r="W19">
        <v>6.47</v>
      </c>
      <c r="X19">
        <v>1.2245666857799544</v>
      </c>
      <c r="Y19">
        <v>1.243273525444244E-2</v>
      </c>
      <c r="Z19">
        <v>1.47</v>
      </c>
      <c r="AA19">
        <v>1.46</v>
      </c>
      <c r="AB19">
        <v>0.64</v>
      </c>
      <c r="AC19">
        <v>0.48</v>
      </c>
      <c r="AD19">
        <v>0.86419999999999997</v>
      </c>
      <c r="AE19" s="17">
        <v>5.6335507811414978</v>
      </c>
      <c r="AF19" s="17">
        <v>0.26608596228376202</v>
      </c>
      <c r="AG19" s="17"/>
    </row>
    <row r="20" spans="3:33" x14ac:dyDescent="0.45">
      <c r="C20" s="19" t="s">
        <v>53</v>
      </c>
      <c r="D20" s="17">
        <v>3.63</v>
      </c>
      <c r="E20" s="17">
        <v>1.98</v>
      </c>
      <c r="F20" s="17">
        <v>0</v>
      </c>
      <c r="G20" s="17">
        <v>0.44</v>
      </c>
      <c r="H20" s="17">
        <v>1.9536</v>
      </c>
      <c r="I20" s="17">
        <v>189.33</v>
      </c>
      <c r="J20" s="17">
        <v>0.15168000000000001</v>
      </c>
      <c r="K20" s="17">
        <v>-2.7029999999999998</v>
      </c>
      <c r="L20" s="17">
        <v>3.8441999999999998</v>
      </c>
      <c r="M20" s="3">
        <f t="shared" si="5"/>
        <v>13.842036815687413</v>
      </c>
      <c r="R20" t="s">
        <v>21</v>
      </c>
      <c r="S20">
        <v>65.98</v>
      </c>
      <c r="T20">
        <v>0.24</v>
      </c>
      <c r="U20">
        <v>0.17</v>
      </c>
      <c r="V20" s="17">
        <v>189.33290384615387</v>
      </c>
      <c r="W20">
        <v>6.47</v>
      </c>
      <c r="X20">
        <v>3.14</v>
      </c>
      <c r="Y20">
        <v>0</v>
      </c>
      <c r="Z20">
        <v>2.15</v>
      </c>
      <c r="AA20">
        <v>2.0299999999999998</v>
      </c>
      <c r="AB20">
        <v>0.12</v>
      </c>
      <c r="AC20">
        <v>1.72</v>
      </c>
      <c r="AD20">
        <v>2.4436</v>
      </c>
      <c r="AE20" s="17">
        <v>5.4934021217736904</v>
      </c>
      <c r="AF20" s="17">
        <v>0.48621268273649854</v>
      </c>
      <c r="AG20" s="17"/>
    </row>
    <row r="21" spans="3:33" x14ac:dyDescent="0.45">
      <c r="C21" s="19" t="s">
        <v>55</v>
      </c>
      <c r="D21" s="17">
        <v>1.47</v>
      </c>
      <c r="E21" s="17">
        <v>1.46</v>
      </c>
      <c r="F21" s="17">
        <v>0.64</v>
      </c>
      <c r="G21" s="17">
        <v>0.48</v>
      </c>
      <c r="H21" s="17">
        <v>0.86419999999999997</v>
      </c>
      <c r="I21" s="17">
        <v>189.33</v>
      </c>
      <c r="J21" s="17">
        <v>0.15168000000000001</v>
      </c>
      <c r="K21" s="17">
        <v>-2.3769999999999998</v>
      </c>
      <c r="L21" s="17">
        <v>3.3445</v>
      </c>
      <c r="M21" s="3">
        <f t="shared" si="5"/>
        <v>9.2789749012733171</v>
      </c>
      <c r="R21" t="s">
        <v>52</v>
      </c>
      <c r="S21">
        <v>65.98</v>
      </c>
      <c r="T21">
        <v>0.24</v>
      </c>
      <c r="U21">
        <v>0.17</v>
      </c>
      <c r="V21" s="17">
        <v>189.33290384615387</v>
      </c>
      <c r="W21">
        <v>6.47</v>
      </c>
      <c r="X21">
        <v>-2.3794119850920863</v>
      </c>
      <c r="Y21">
        <v>0.99994847979001067</v>
      </c>
      <c r="Z21">
        <v>-0.88</v>
      </c>
      <c r="AA21">
        <v>-0.39</v>
      </c>
      <c r="AB21">
        <v>0.46</v>
      </c>
      <c r="AC21">
        <v>0.33</v>
      </c>
      <c r="AD21">
        <v>1.5757000000000001</v>
      </c>
      <c r="AE21" s="17">
        <v>5.5240716905730691</v>
      </c>
      <c r="AF21" s="17">
        <v>0.77242415895976446</v>
      </c>
      <c r="AG21" s="17"/>
    </row>
    <row r="22" spans="3:33" x14ac:dyDescent="0.45">
      <c r="C22" s="19" t="s">
        <v>21</v>
      </c>
      <c r="D22" s="17">
        <v>2.15</v>
      </c>
      <c r="E22" s="17">
        <v>2.0299999999999998</v>
      </c>
      <c r="F22" s="17">
        <v>0.12</v>
      </c>
      <c r="G22" s="17">
        <v>1.72</v>
      </c>
      <c r="H22" s="17">
        <v>2.4436</v>
      </c>
      <c r="I22" s="17">
        <v>189.33</v>
      </c>
      <c r="J22" s="17">
        <v>0.15168000000000001</v>
      </c>
      <c r="K22" s="17">
        <v>-3.4748000000000001</v>
      </c>
      <c r="L22" s="17">
        <v>1.3049999999999999</v>
      </c>
      <c r="M22" s="3">
        <f t="shared" si="5"/>
        <v>6.7639439480960146E-3</v>
      </c>
      <c r="R22" t="s">
        <v>54</v>
      </c>
      <c r="S22">
        <v>65.98</v>
      </c>
      <c r="T22">
        <v>0.24</v>
      </c>
      <c r="U22">
        <v>0.17</v>
      </c>
      <c r="V22" s="17">
        <v>189.33290384615387</v>
      </c>
      <c r="W22">
        <v>6.47</v>
      </c>
      <c r="X22">
        <v>4.1500000000000004</v>
      </c>
      <c r="Y22">
        <v>0</v>
      </c>
      <c r="Z22">
        <v>2.06</v>
      </c>
      <c r="AA22">
        <v>1.29</v>
      </c>
      <c r="AB22">
        <v>0</v>
      </c>
      <c r="AC22">
        <v>0.26</v>
      </c>
      <c r="AD22">
        <v>1.4543999999999999</v>
      </c>
      <c r="AE22" s="17">
        <v>0.33259962477143107</v>
      </c>
      <c r="AF22" s="17">
        <v>0.53049512330584203</v>
      </c>
      <c r="AG22" s="17"/>
    </row>
    <row r="23" spans="3:33" x14ac:dyDescent="0.45">
      <c r="C23" s="19" t="s">
        <v>52</v>
      </c>
      <c r="D23" s="17">
        <v>-0.88</v>
      </c>
      <c r="E23" s="17">
        <v>-0.39</v>
      </c>
      <c r="F23" s="17">
        <v>0.46</v>
      </c>
      <c r="G23" s="17">
        <v>0.33</v>
      </c>
      <c r="H23" s="17">
        <v>1.5757000000000001</v>
      </c>
      <c r="I23" s="17">
        <v>189.33</v>
      </c>
      <c r="J23" s="17">
        <v>0.15168000000000001</v>
      </c>
      <c r="K23" s="17">
        <v>-3.6171000000000002</v>
      </c>
      <c r="L23" s="17">
        <v>0.45152999999999999</v>
      </c>
      <c r="M23" s="3">
        <f t="shared" si="5"/>
        <v>6.8301462015690783E-4</v>
      </c>
      <c r="R23" t="s">
        <v>53</v>
      </c>
      <c r="S23">
        <v>65.98</v>
      </c>
      <c r="T23">
        <v>0.24</v>
      </c>
      <c r="U23">
        <v>0.17</v>
      </c>
      <c r="V23" s="17">
        <v>189.33290384615387</v>
      </c>
      <c r="W23">
        <v>6.47</v>
      </c>
      <c r="X23">
        <v>6.74</v>
      </c>
      <c r="Y23">
        <v>0</v>
      </c>
      <c r="Z23">
        <v>3.63</v>
      </c>
      <c r="AA23">
        <v>1.98</v>
      </c>
      <c r="AB23">
        <v>0</v>
      </c>
      <c r="AC23">
        <v>0.44</v>
      </c>
      <c r="AD23">
        <v>1.9536</v>
      </c>
      <c r="AE23" s="17">
        <v>2.323596898488729</v>
      </c>
      <c r="AF23" s="17">
        <v>0.4482209808197688</v>
      </c>
      <c r="AG23" s="17"/>
    </row>
    <row r="24" spans="3:33" x14ac:dyDescent="0.45">
      <c r="C24" s="19" t="s">
        <v>54</v>
      </c>
      <c r="D24" s="17">
        <v>2.06</v>
      </c>
      <c r="E24" s="17">
        <v>1.29</v>
      </c>
      <c r="F24" s="17">
        <v>0</v>
      </c>
      <c r="G24" s="17">
        <v>0.26</v>
      </c>
      <c r="H24" s="17">
        <v>1.4543999999999999</v>
      </c>
      <c r="I24" s="17">
        <v>189.33</v>
      </c>
      <c r="J24" s="17">
        <v>0.15168000000000001</v>
      </c>
      <c r="K24" s="17">
        <v>-3.2509999999999999</v>
      </c>
      <c r="L24" s="17">
        <v>3.8037000000000001</v>
      </c>
      <c r="M24" s="3">
        <f t="shared" si="5"/>
        <v>3.5702612803901568</v>
      </c>
      <c r="R24" t="s">
        <v>55</v>
      </c>
      <c r="S24">
        <v>65.98</v>
      </c>
      <c r="T24">
        <v>0.24</v>
      </c>
      <c r="U24">
        <v>0.17</v>
      </c>
      <c r="V24" s="17">
        <v>189.33290384615387</v>
      </c>
      <c r="W24">
        <v>6.47</v>
      </c>
      <c r="X24">
        <v>1.2245666857799544</v>
      </c>
      <c r="Y24">
        <v>1.243273525444244E-2</v>
      </c>
      <c r="Z24">
        <v>1.47</v>
      </c>
      <c r="AA24">
        <v>1.46</v>
      </c>
      <c r="AB24">
        <v>0.64</v>
      </c>
      <c r="AC24">
        <v>0.48</v>
      </c>
      <c r="AD24">
        <v>0.86419999999999997</v>
      </c>
      <c r="AE24" s="17">
        <v>5.0145597072027668</v>
      </c>
      <c r="AF24" s="17">
        <v>0.19394847017382624</v>
      </c>
      <c r="AG24" s="17"/>
    </row>
    <row r="25" spans="3:33" x14ac:dyDescent="0.45">
      <c r="C25" s="19" t="s">
        <v>53</v>
      </c>
      <c r="D25" s="17">
        <v>3.63</v>
      </c>
      <c r="E25" s="17">
        <v>1.98</v>
      </c>
      <c r="F25" s="17">
        <v>0</v>
      </c>
      <c r="G25" s="17">
        <v>0.44</v>
      </c>
      <c r="H25" s="17">
        <v>1.9536</v>
      </c>
      <c r="I25" s="17">
        <v>189.33</v>
      </c>
      <c r="J25" s="17">
        <v>0.15168000000000001</v>
      </c>
      <c r="K25" s="17">
        <v>-3.4018999999999999</v>
      </c>
      <c r="L25" s="17">
        <v>4.3368000000000002</v>
      </c>
      <c r="M25" s="3">
        <f t="shared" si="5"/>
        <v>8.6079552386946041</v>
      </c>
    </row>
    <row r="26" spans="3:33" x14ac:dyDescent="0.45">
      <c r="C26" s="19" t="s">
        <v>55</v>
      </c>
      <c r="D26" s="17">
        <v>1.47</v>
      </c>
      <c r="E26" s="17">
        <v>1.46</v>
      </c>
      <c r="F26" s="17">
        <v>0.64</v>
      </c>
      <c r="G26" s="17">
        <v>0.48</v>
      </c>
      <c r="H26" s="17">
        <v>0.86419999999999997</v>
      </c>
      <c r="I26" s="17">
        <v>189.33</v>
      </c>
      <c r="J26" s="17">
        <v>0.15168000000000001</v>
      </c>
      <c r="K26" s="17">
        <v>-3.0760000000000001</v>
      </c>
      <c r="L26" s="17">
        <v>3.7791000000000001</v>
      </c>
      <c r="M26" s="3">
        <f t="shared" si="5"/>
        <v>5.0477751350094726</v>
      </c>
    </row>
    <row r="27" spans="3:33" x14ac:dyDescent="0.45">
      <c r="C27" s="19" t="s">
        <v>21</v>
      </c>
      <c r="D27" s="17">
        <v>2.15</v>
      </c>
      <c r="E27" s="17">
        <v>2.0299999999999998</v>
      </c>
      <c r="F27" s="17">
        <v>0.12</v>
      </c>
      <c r="G27" s="17">
        <v>1.72</v>
      </c>
      <c r="H27" s="17">
        <v>2.4436</v>
      </c>
      <c r="I27" s="17">
        <v>189.33</v>
      </c>
      <c r="J27" s="17">
        <v>0.15168000000000001</v>
      </c>
      <c r="K27" s="17">
        <v>-4.4748000000000001</v>
      </c>
      <c r="L27" s="17">
        <v>1.5018</v>
      </c>
      <c r="M27" s="3">
        <f t="shared" si="5"/>
        <v>1.0641430182243147E-3</v>
      </c>
    </row>
    <row r="28" spans="3:33" x14ac:dyDescent="0.45">
      <c r="C28" s="19" t="s">
        <v>52</v>
      </c>
      <c r="D28" s="17">
        <v>-0.88</v>
      </c>
      <c r="E28" s="17">
        <v>-0.39</v>
      </c>
      <c r="F28" s="17">
        <v>0.46</v>
      </c>
      <c r="G28" s="17">
        <v>0.33</v>
      </c>
      <c r="H28" s="17">
        <v>1.5757000000000001</v>
      </c>
      <c r="I28" s="17">
        <v>189.33</v>
      </c>
      <c r="J28" s="17">
        <v>0.15168000000000001</v>
      </c>
      <c r="K28" s="17">
        <v>-4.6170999999999998</v>
      </c>
      <c r="L28" s="17">
        <v>0.47521000000000002</v>
      </c>
      <c r="M28" s="3">
        <f t="shared" si="5"/>
        <v>7.2129014756196631E-5</v>
      </c>
    </row>
    <row r="29" spans="3:33" x14ac:dyDescent="0.45">
      <c r="C29" s="19" t="s">
        <v>54</v>
      </c>
      <c r="D29" s="17">
        <v>2.06</v>
      </c>
      <c r="E29" s="17">
        <v>1.29</v>
      </c>
      <c r="F29" s="17">
        <v>0</v>
      </c>
      <c r="G29" s="17">
        <v>0.26</v>
      </c>
      <c r="H29" s="17">
        <v>1.4543999999999999</v>
      </c>
      <c r="I29" s="17">
        <v>189.33</v>
      </c>
      <c r="J29" s="17">
        <v>0.15168000000000001</v>
      </c>
      <c r="K29" s="17">
        <v>-4.2510000000000003</v>
      </c>
      <c r="L29" s="17">
        <v>4.1722999999999999</v>
      </c>
      <c r="M29" s="3">
        <f t="shared" si="5"/>
        <v>0.83425727013001738</v>
      </c>
    </row>
    <row r="30" spans="3:33" x14ac:dyDescent="0.45">
      <c r="C30" s="19" t="s">
        <v>53</v>
      </c>
      <c r="D30" s="17">
        <v>3.63</v>
      </c>
      <c r="E30" s="17">
        <v>1.98</v>
      </c>
      <c r="F30" s="17">
        <v>0</v>
      </c>
      <c r="G30" s="17">
        <v>0.44</v>
      </c>
      <c r="H30" s="17">
        <v>1.9536</v>
      </c>
      <c r="I30" s="17">
        <v>189.33</v>
      </c>
      <c r="J30" s="17">
        <v>0.15168000000000001</v>
      </c>
      <c r="K30" s="17">
        <v>-4.4019000000000004</v>
      </c>
      <c r="L30" s="17">
        <v>4.9766000000000004</v>
      </c>
      <c r="M30" s="3">
        <f t="shared" si="5"/>
        <v>3.755778746557723</v>
      </c>
    </row>
    <row r="31" spans="3:33" x14ac:dyDescent="0.45">
      <c r="C31" s="19" t="s">
        <v>55</v>
      </c>
      <c r="D31" s="17">
        <v>1.47</v>
      </c>
      <c r="E31" s="17">
        <v>1.46</v>
      </c>
      <c r="F31" s="17">
        <v>0.64</v>
      </c>
      <c r="G31" s="17">
        <v>0.48</v>
      </c>
      <c r="H31" s="17">
        <v>0.86419999999999997</v>
      </c>
      <c r="I31" s="17">
        <v>189.33</v>
      </c>
      <c r="J31" s="17">
        <v>0.15168000000000001</v>
      </c>
      <c r="K31" s="17">
        <v>-4.0759999999999996</v>
      </c>
      <c r="L31" s="17">
        <v>4.3178999999999998</v>
      </c>
      <c r="M31" s="3">
        <f t="shared" si="5"/>
        <v>1.7454202087913728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9D2-7D61-4847-8A44-4F7476314EC2}">
  <dimension ref="C6:P27"/>
  <sheetViews>
    <sheetView workbookViewId="0">
      <selection activeCell="C8" sqref="C8"/>
    </sheetView>
  </sheetViews>
  <sheetFormatPr defaultRowHeight="14.25" x14ac:dyDescent="0.45"/>
  <cols>
    <col min="4" max="4" width="22.1328125" bestFit="1" customWidth="1"/>
    <col min="7" max="7" width="30.59765625" bestFit="1" customWidth="1"/>
    <col min="8" max="8" width="26.3984375" bestFit="1" customWidth="1"/>
    <col min="12" max="12" width="10" bestFit="1" customWidth="1"/>
  </cols>
  <sheetData>
    <row r="6" spans="3:16" x14ac:dyDescent="0.45">
      <c r="C6" t="s">
        <v>23</v>
      </c>
    </row>
    <row r="7" spans="3:16" x14ac:dyDescent="0.45">
      <c r="C7">
        <f>AVERAGE(C8:C12)</f>
        <v>1.9960999999999998</v>
      </c>
      <c r="L7" s="12" t="s">
        <v>66</v>
      </c>
    </row>
    <row r="8" spans="3:16" x14ac:dyDescent="0.45">
      <c r="C8">
        <v>1.98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>
        <v>54</v>
      </c>
      <c r="L8">
        <f>0.00000000049</f>
        <v>4.8999999999999996E-10</v>
      </c>
      <c r="M8" t="s">
        <v>67</v>
      </c>
      <c r="N8" t="s">
        <v>65</v>
      </c>
    </row>
    <row r="9" spans="3:16" x14ac:dyDescent="0.45">
      <c r="C9">
        <f>AVERAGE(0.041,1.6)</f>
        <v>0.82050000000000001</v>
      </c>
      <c r="D9" t="s">
        <v>29</v>
      </c>
      <c r="E9" t="s">
        <v>25</v>
      </c>
      <c r="F9" t="s">
        <v>26</v>
      </c>
      <c r="G9" t="s">
        <v>27</v>
      </c>
      <c r="H9" t="s">
        <v>30</v>
      </c>
      <c r="I9">
        <v>22</v>
      </c>
      <c r="L9" s="2">
        <f>L8*10000</f>
        <v>4.8999999999999997E-6</v>
      </c>
      <c r="M9" t="s">
        <v>68</v>
      </c>
    </row>
    <row r="10" spans="3:16" x14ac:dyDescent="0.45">
      <c r="C10">
        <v>1.89</v>
      </c>
      <c r="D10" t="s">
        <v>31</v>
      </c>
      <c r="E10" t="s">
        <v>25</v>
      </c>
      <c r="F10" t="s">
        <v>26</v>
      </c>
      <c r="G10" t="s">
        <v>32</v>
      </c>
      <c r="H10" t="s">
        <v>33</v>
      </c>
      <c r="I10">
        <v>27</v>
      </c>
    </row>
    <row r="11" spans="3:16" x14ac:dyDescent="0.45">
      <c r="C11">
        <f>AVERAGE(1.7,2.9)</f>
        <v>2.2999999999999998</v>
      </c>
      <c r="D11" t="s">
        <v>34</v>
      </c>
      <c r="E11" t="s">
        <v>25</v>
      </c>
      <c r="F11" t="s">
        <v>26</v>
      </c>
      <c r="G11" t="s">
        <v>32</v>
      </c>
      <c r="H11" t="s">
        <v>35</v>
      </c>
      <c r="I11">
        <v>62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3:16" x14ac:dyDescent="0.45">
      <c r="C12">
        <f>AVERAGE(2.77,3.21)</f>
        <v>2.99</v>
      </c>
      <c r="D12" t="s">
        <v>36</v>
      </c>
      <c r="E12" t="s">
        <v>25</v>
      </c>
      <c r="F12" t="s">
        <v>26</v>
      </c>
      <c r="G12" t="s">
        <v>27</v>
      </c>
      <c r="H12" t="s">
        <v>37</v>
      </c>
      <c r="I12">
        <v>79</v>
      </c>
      <c r="K12" t="s">
        <v>26</v>
      </c>
      <c r="L12" t="s">
        <v>52</v>
      </c>
      <c r="M12" s="2">
        <v>8640</v>
      </c>
      <c r="N12" s="2">
        <f>686*24</f>
        <v>16464</v>
      </c>
    </row>
    <row r="13" spans="3:16" x14ac:dyDescent="0.45">
      <c r="K13" t="s">
        <v>26</v>
      </c>
      <c r="L13" t="s">
        <v>54</v>
      </c>
      <c r="O13" s="2">
        <f>AVERAGE(86,80)*24</f>
        <v>1992</v>
      </c>
    </row>
    <row r="14" spans="3:16" x14ac:dyDescent="0.45">
      <c r="C14" t="s">
        <v>38</v>
      </c>
      <c r="K14" t="s">
        <v>26</v>
      </c>
      <c r="L14" t="s">
        <v>53</v>
      </c>
      <c r="P14">
        <f>AVERAGE(229,309)*24</f>
        <v>6456</v>
      </c>
    </row>
    <row r="15" spans="3:16" x14ac:dyDescent="0.45">
      <c r="C15">
        <f>AVERAGE(C16:C20)</f>
        <v>2.1819999999999999</v>
      </c>
      <c r="K15" t="s">
        <v>74</v>
      </c>
      <c r="M15" t="s">
        <v>75</v>
      </c>
    </row>
    <row r="16" spans="3:16" x14ac:dyDescent="0.45">
      <c r="C16">
        <v>0.5</v>
      </c>
      <c r="D16" t="s">
        <v>39</v>
      </c>
      <c r="E16" t="s">
        <v>40</v>
      </c>
      <c r="G16" t="s">
        <v>41</v>
      </c>
      <c r="H16">
        <v>76</v>
      </c>
    </row>
    <row r="17" spans="3:12" x14ac:dyDescent="0.45">
      <c r="C17">
        <v>3.8</v>
      </c>
      <c r="D17" t="s">
        <v>39</v>
      </c>
      <c r="E17" t="s">
        <v>40</v>
      </c>
      <c r="G17" t="s">
        <v>42</v>
      </c>
      <c r="H17">
        <v>13</v>
      </c>
      <c r="L17" t="s">
        <v>76</v>
      </c>
    </row>
    <row r="18" spans="3:12" x14ac:dyDescent="0.45">
      <c r="C18">
        <v>2.5</v>
      </c>
      <c r="D18" t="s">
        <v>39</v>
      </c>
      <c r="E18" t="s">
        <v>40</v>
      </c>
      <c r="G18" t="s">
        <v>43</v>
      </c>
      <c r="H18">
        <v>2</v>
      </c>
    </row>
    <row r="19" spans="3:12" x14ac:dyDescent="0.45">
      <c r="C19">
        <v>2.8</v>
      </c>
      <c r="D19" t="s">
        <v>39</v>
      </c>
      <c r="E19" t="s">
        <v>40</v>
      </c>
      <c r="G19" t="s">
        <v>44</v>
      </c>
      <c r="H19">
        <v>12</v>
      </c>
    </row>
    <row r="20" spans="3:12" x14ac:dyDescent="0.45">
      <c r="C20">
        <v>1.31</v>
      </c>
      <c r="D20" t="s">
        <v>39</v>
      </c>
      <c r="E20">
        <v>25</v>
      </c>
      <c r="G20" t="s">
        <v>45</v>
      </c>
      <c r="H20">
        <v>52</v>
      </c>
    </row>
    <row r="22" spans="3:12" x14ac:dyDescent="0.45">
      <c r="C22">
        <v>-0.21</v>
      </c>
      <c r="D22" t="s">
        <v>46</v>
      </c>
      <c r="E22" t="s">
        <v>40</v>
      </c>
      <c r="G22" t="s">
        <v>47</v>
      </c>
      <c r="H22">
        <v>24</v>
      </c>
    </row>
    <row r="23" spans="3:12" x14ac:dyDescent="0.45">
      <c r="C23">
        <v>-0.2</v>
      </c>
      <c r="D23" t="s">
        <v>46</v>
      </c>
      <c r="E23" t="s">
        <v>40</v>
      </c>
      <c r="G23" t="s">
        <v>48</v>
      </c>
      <c r="H23">
        <v>73</v>
      </c>
    </row>
    <row r="24" spans="3:12" x14ac:dyDescent="0.45">
      <c r="C24">
        <v>-0.5</v>
      </c>
      <c r="D24" t="s">
        <v>46</v>
      </c>
      <c r="E24" t="s">
        <v>40</v>
      </c>
      <c r="G24" t="s">
        <v>49</v>
      </c>
      <c r="H24">
        <v>26</v>
      </c>
    </row>
    <row r="25" spans="3:12" x14ac:dyDescent="0.45">
      <c r="C25" t="s">
        <v>50</v>
      </c>
      <c r="D25" t="s">
        <v>39</v>
      </c>
      <c r="E25" t="s">
        <v>40</v>
      </c>
      <c r="G25" t="s">
        <v>51</v>
      </c>
      <c r="H25">
        <v>17</v>
      </c>
    </row>
    <row r="27" spans="3:12" x14ac:dyDescent="0.45">
      <c r="C27" t="s">
        <v>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CHEMSUMM</vt:lpstr>
      <vt:lpstr>Kd_biochar_pred</vt:lpstr>
      <vt:lpstr>Refs and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2023-04-13T23:08:08Z</dcterms:modified>
</cp:coreProperties>
</file>