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processed\"/>
    </mc:Choice>
  </mc:AlternateContent>
  <bookViews>
    <workbookView xWindow="17724" yWindow="456" windowWidth="20676" windowHeight="19524"/>
  </bookViews>
  <sheets>
    <sheet name="Stratified_Data" sheetId="1" r:id="rId1"/>
    <sheet name="Total_Data" sheetId="4"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7" i="1" l="1"/>
  <c r="R15" i="1"/>
  <c r="R13" i="1"/>
  <c r="R12" i="1"/>
  <c r="R11" i="1"/>
  <c r="R10" i="1"/>
  <c r="R9" i="1"/>
  <c r="Q17" i="1"/>
  <c r="Q15" i="1"/>
  <c r="Q13" i="1"/>
  <c r="Q12" i="1"/>
  <c r="Q11" i="1"/>
  <c r="Q10" i="1"/>
  <c r="Q9" i="1"/>
  <c r="M17" i="1"/>
  <c r="M15" i="1"/>
  <c r="M13" i="1"/>
  <c r="M12" i="1"/>
  <c r="M11" i="1"/>
  <c r="M10" i="1"/>
  <c r="M9" i="1"/>
  <c r="L17" i="1"/>
  <c r="L15" i="1"/>
  <c r="L13" i="1"/>
  <c r="L12" i="1"/>
  <c r="L11" i="1"/>
  <c r="L10" i="1"/>
  <c r="L9" i="1"/>
  <c r="H17" i="1"/>
  <c r="H15" i="1"/>
  <c r="H13" i="1"/>
  <c r="H12" i="1"/>
  <c r="H11" i="1"/>
  <c r="H10" i="1"/>
  <c r="H9" i="1"/>
  <c r="G17" i="1"/>
  <c r="G15" i="1"/>
  <c r="G13" i="1"/>
  <c r="G12" i="1"/>
  <c r="G11" i="1"/>
  <c r="G10" i="1"/>
  <c r="G9" i="1"/>
  <c r="C17" i="1"/>
  <c r="C15" i="1"/>
  <c r="C13" i="1"/>
  <c r="C12" i="1"/>
  <c r="C11" i="1"/>
  <c r="C10" i="1"/>
  <c r="C9" i="1"/>
  <c r="B17" i="1"/>
  <c r="B15" i="1"/>
  <c r="B13" i="1"/>
  <c r="B12" i="1"/>
  <c r="B11" i="1"/>
  <c r="B10" i="1"/>
  <c r="B9" i="1"/>
  <c r="E17" i="1"/>
  <c r="E15" i="1"/>
  <c r="E13" i="1"/>
  <c r="E12" i="1"/>
  <c r="E11" i="1"/>
  <c r="E10" i="1"/>
  <c r="E9" i="1"/>
  <c r="D17" i="1"/>
  <c r="F17" i="1"/>
  <c r="D15" i="1"/>
  <c r="F15" i="1"/>
  <c r="D13" i="1"/>
  <c r="F13" i="1"/>
  <c r="D12" i="1"/>
  <c r="F12" i="1"/>
  <c r="D11" i="1"/>
  <c r="F11" i="1"/>
  <c r="D10" i="1"/>
  <c r="F10" i="1"/>
  <c r="D9" i="1"/>
  <c r="F9" i="1"/>
  <c r="I17" i="1"/>
  <c r="J17" i="1"/>
  <c r="I15" i="1"/>
  <c r="J15" i="1"/>
  <c r="I13" i="1"/>
  <c r="J13" i="1"/>
  <c r="I12" i="1"/>
  <c r="J12" i="1"/>
  <c r="I11" i="1"/>
  <c r="J11" i="1"/>
  <c r="I10" i="1"/>
  <c r="J10" i="1"/>
  <c r="I9" i="1"/>
  <c r="J9" i="1"/>
  <c r="K17" i="1"/>
  <c r="K15" i="1"/>
  <c r="K13" i="1"/>
  <c r="K12" i="1"/>
  <c r="K11" i="1"/>
  <c r="K10" i="1"/>
  <c r="K9" i="1"/>
  <c r="N17" i="1"/>
  <c r="O17" i="1"/>
  <c r="N15" i="1"/>
  <c r="O15" i="1"/>
  <c r="N13" i="1"/>
  <c r="O13" i="1"/>
  <c r="N12" i="1"/>
  <c r="O12" i="1"/>
  <c r="N11" i="1"/>
  <c r="O11" i="1"/>
  <c r="N10" i="1"/>
  <c r="O10" i="1"/>
  <c r="N9" i="1"/>
  <c r="O9" i="1"/>
  <c r="P9" i="1"/>
  <c r="P10" i="1"/>
  <c r="P11" i="1"/>
  <c r="P12" i="1"/>
  <c r="P13" i="1"/>
  <c r="P15" i="1"/>
  <c r="P17" i="1"/>
  <c r="S17" i="1"/>
  <c r="T17" i="1"/>
  <c r="S15" i="1"/>
  <c r="T15" i="1"/>
  <c r="S13" i="1"/>
  <c r="T13" i="1"/>
  <c r="S12" i="1"/>
  <c r="T12" i="1"/>
  <c r="S11" i="1"/>
  <c r="T11" i="1"/>
  <c r="S10" i="1"/>
  <c r="T10" i="1"/>
  <c r="S9" i="1"/>
  <c r="T9" i="1"/>
  <c r="U17" i="1"/>
  <c r="U15" i="1"/>
  <c r="U13" i="1"/>
  <c r="U12" i="1"/>
  <c r="U11" i="1"/>
  <c r="U10" i="1"/>
  <c r="U9" i="1"/>
  <c r="C6" i="4"/>
  <c r="E6" i="4"/>
  <c r="F6" i="4"/>
  <c r="G6" i="4"/>
  <c r="C7" i="4"/>
  <c r="E7" i="4"/>
  <c r="F7" i="4"/>
  <c r="G7" i="4"/>
  <c r="C8" i="4"/>
  <c r="E8" i="4"/>
  <c r="F8" i="4"/>
  <c r="G8" i="4"/>
  <c r="C9" i="4"/>
  <c r="E9" i="4"/>
  <c r="F9" i="4"/>
  <c r="G9" i="4"/>
  <c r="G5" i="4"/>
  <c r="F5" i="4"/>
  <c r="E5" i="4"/>
  <c r="C5" i="4"/>
  <c r="G4" i="4"/>
  <c r="F4" i="4"/>
  <c r="E4" i="4"/>
  <c r="C4" i="4"/>
  <c r="G3" i="4"/>
  <c r="F3" i="4"/>
  <c r="E3" i="4"/>
  <c r="C3" i="4"/>
  <c r="G2" i="4"/>
  <c r="F2" i="4"/>
  <c r="E2" i="4"/>
  <c r="C2" i="4"/>
  <c r="C3" i="1"/>
  <c r="H3" i="1"/>
  <c r="M3" i="1"/>
  <c r="R3" i="1"/>
  <c r="U3" i="1"/>
  <c r="T3" i="1"/>
  <c r="P3" i="1"/>
  <c r="O3" i="1"/>
  <c r="F3" i="1"/>
  <c r="E3" i="1"/>
  <c r="K3" i="1"/>
  <c r="J3" i="1"/>
</calcChain>
</file>

<file path=xl/comments1.xml><?xml version="1.0" encoding="utf-8"?>
<comments xmlns="http://schemas.openxmlformats.org/spreadsheetml/2006/main">
  <authors>
    <author>tc={42FA5E22-DB84-4841-A717-EAB954D50958}</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<sst xmlns="http://schemas.openxmlformats.org/spreadsheetml/2006/main" count="122" uniqueCount="87">
  <si>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</si>
  <si>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</si>
  <si>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</si>
  <si>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</si>
  <si>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</si>
  <si>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</si>
  <si>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</si>
  <si>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</si>
  <si>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</si>
  <si>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</si>
  <si>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</si>
  <si>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</si>
  <si>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</si>
  <si>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</si>
  <si>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</si>
  <si>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</si>
  <si>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</si>
  <si>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</si>
  <si>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</si>
  <si>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</si>
  <si>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</si>
  <si>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</si>
  <si>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</si>
  <si>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</si>
  <si>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</si>
  <si>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</si>
  <si>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</si>
  <si>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</si>
  <si>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</si>
  <si>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</si>
  <si>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</si>
  <si>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</si>
  <si>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</si>
  <si>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</si>
  <si>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</si>
  <si>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</si>
  <si>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</si>
  <si>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</si>
  <si>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</si>
  <si>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</si>
  <si>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</si>
  <si>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</si>
  <si>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</si>
  <si>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</si>
  <si>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Hamilton County</t>
  </si>
  <si>
    <t xml:space="preserve">Other counties in MSA: </t>
  </si>
  <si>
    <t xml:space="preserve"> Ohio</t>
  </si>
  <si>
    <t>Butler County</t>
  </si>
  <si>
    <t>Warren County</t>
  </si>
  <si>
    <t>Clermont County</t>
  </si>
  <si>
    <t>Kenton County</t>
  </si>
  <si>
    <t xml:space="preserve"> Kentucky</t>
  </si>
  <si>
    <t>Boone County</t>
  </si>
  <si>
    <t>Campbell County</t>
  </si>
  <si>
    <t>Dearborn County</t>
  </si>
  <si>
    <t xml:space="preserve"> Indiana</t>
  </si>
  <si>
    <t>Brown County</t>
  </si>
  <si>
    <t>Grant County</t>
  </si>
  <si>
    <t>Franklin County</t>
  </si>
  <si>
    <t>Pendleton County</t>
  </si>
  <si>
    <t>Gallatin County</t>
  </si>
  <si>
    <t>Bracken County</t>
  </si>
  <si>
    <t>Union County</t>
  </si>
  <si>
    <t>Ohio County</t>
  </si>
  <si>
    <t>Ohio</t>
  </si>
  <si>
    <t>https://www.hamiltoncountyhealth.org/resources/reports/</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</si>
  <si>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</si>
  <si>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</si>
  <si>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</si>
  <si>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</si>
  <si>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</si>
  <si>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</si>
  <si>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</si>
  <si>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</si>
  <si>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</si>
  <si>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</si>
  <si>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</si>
  <si>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</si>
  <si>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</si>
  <si>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https://odh.ohio.gov/wps/portal/gov/odh/know-our-programs/hiv-aids-surveillance-program/resources/hamilton-county-hiv-surveillance-data-tables</t>
  </si>
  <si>
    <t>https://odh.ohio.gov/wps/portal/gov/odh/know-our-programs/hiv-aids-surveillance-program/Data-and-Statistics/</t>
  </si>
  <si>
    <t>https://odh.ohio.gov/wps/portal/gov/odh/know-our-programs/hiv-aids-surveillance-program/resources/ohio-hiv-surveillance-annual-report</t>
  </si>
  <si>
    <t>https://odh.ohio.gov/wps/wcm/connect/gov/b152089f-2ddb-435f-8d8f-27dff20afc5b/Ohio+HIV+Care+Continuum+2018.pdf?MOD=AJPERES&amp;CONVERT_TO=url&amp;CACHEID=ROOTWORKSPACE.Z18_M1HGGIK0N0JO00QO9DDDDM3000-b152089f-2ddb-435f-8d8f-27dff20afc5b-n8JdmDj</t>
  </si>
  <si>
    <t>Region 8 data</t>
  </si>
  <si>
    <t>Ohio data</t>
  </si>
  <si>
    <t>Has 2 counties not in MSA (Clinton, Highland) that have &lt;3% as many cases as in the other 5</t>
  </si>
  <si>
    <t>Region (has 5 out of 16 counties from the MSA): Brown, Butler, Clermont, Hamilton, Warren - with &gt; 85% of the prevalent cases in MSA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</si>
</sst>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2">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1" fillId="0" borderId="0" xfId="0" applyFont="1" applyBorder="1"/>
    <xf numFmtId="0" fontId="0" fillId="0" borderId="0" xfId="0" applyBorder="1"/>
    <xf numFmtId="0" fontId="0" fillId="0" borderId="0" xfId="0" applyFill="1" applyBorder="1"/>
    <xf numFmtId="0" fontId="2" fillId="0" borderId="0" xfId="1"/>
    <xf numFmtId="0" fontId="0" fillId="0" borderId="0" xfId="0" applyFill="1"/>
    <xf numFmtId="0" fontId="3" fillId="0" borderId="0" xfId="1" applyFont="1"/>
    <xf numFmtId="3" fontId="0" fillId="0" borderId="0" xfId="0" applyNumberFormat="1"/>
    <xf numFmtId="0" fontId="0" fillId="0" borderId="0" xfId="0" applyNumberFormat="1"/>
    <xf numFmtId="0"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0" fillId="0" borderId="0" xfId="0" applyAlignment="1"/>
    <xf numFmtId="0" fontId="1" fillId="0" borderId="0" xfId="0" applyFont="1" applyAlignment="1"/>
    <xf numFmtId="0" fontId="1" fillId="2" borderId="0" xfId="0" applyFont="1" applyFill="1"/>
    <xf numFmtId="0" fontId="0" fillId="2" borderId="2" xfId="0" applyFill="1" applyBorder="1"/>
    <xf numFmtId="2" fontId="0" fillId="2" borderId="2" xfId="0" applyNumberFormat="1" applyFill="1" applyBorder="1"/>
    <xf numFmtId="2" fontId="0" fillId="2" borderId="3" xfId="0" applyNumberFormat="1" applyFill="1" applyBorder="1"/>
    <xf numFmtId="0" fontId="0" fillId="2" borderId="3" xfId="0" applyFill="1" applyBorder="1"/>
    <xf numFmtId="2" fontId="0" fillId="2" borderId="0" xfId="0" applyNumberFormat="1" applyFill="1" applyBorder="1"/>
    <xf numFmtId="0" fontId="0" fillId="2" borderId="0" xfId="0" applyFill="1" applyBorder="1"/>
    <xf numFmtId="2" fontId="0" fillId="2" borderId="1" xfId="0" applyNumberFormat="1" applyFill="1" applyBorder="1"/>
    <xf numFmtId="0" fontId="0" fillId="2" borderId="1" xfId="0" applyFill="1" applyBorder="1"/>
    <xf numFmtId="0" fontId="0" fillId="2" borderId="0" xfId="0" applyFill="1"/>
    <xf numFmtId="0" fontId="0" fillId="3" borderId="0" xfId="0" applyFill="1"/>
    <xf numFmtId="2" fontId="0" fillId="2" borderId="0" xfId="0" applyNumberFormat="1" applyFill="1"/>
    <xf numFmtId="2" fontId="0" fillId="3" borderId="0" xfId="0" applyNumberFormat="1" applyFill="1"/>
    <xf numFmtId="1" fontId="0" fillId="3" borderId="0" xfId="0" applyNumberFormat="1" applyFill="1"/>
    <xf numFmtId="2" fontId="1" fillId="2" borderId="0" xfId="0" applyNumberFormat="1" applyFont="1" applyFill="1"/>
    <xf numFmtId="2" fontId="0" fillId="0" borderId="0" xfId="0" applyNumberFormat="1"/>
    <xf numFmtId="0" fontId="4" fillId="0" borderId="0" xfId="0"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BB6328FC-370D-3549-941F-93F160F40F57}"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BB6328FC-370D-3549-941F-93F160F40F57}" id="{42FA5E22-DB84-4841-A717-EAB954D50958}">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abSelected="1" zoomScale="120" zoomScaleNormal="120" workbookViewId="0">
      <pane xSplit="1" ySplit="1" topLeftCell="B2" activePane="bottomRight" state="frozen"/>
      <selection pane="topRight" activeCell="B1" sqref="B1"/>
      <selection pane="bottomLeft" activeCell="A2" sqref="A2"/>
      <selection pane="bottomRight" activeCell="B21" sqref="B21"/>
    </sheetView>
  </sheetViews>
  <sheetFormatPr defaultColWidth="8.77734375" defaultRowHeight="14.4" x14ac:dyDescent="0.3"/>
  <cols>
    <col min="1" max="1" width="13.33203125" style="1" customWidth="1"/>
    <col min="5" max="5" width="8.77734375" style="50"/>
  </cols>
  <sheetData>
    <row r="1" spans="1:23" s="1" customFormat="1" x14ac:dyDescent="0.3">
      <c r="A1" s="1" t="s">
        <v>22</v>
      </c>
      <c r="B1" s="35" t="s">
        <v>19</v>
      </c>
      <c r="C1" s="35" t="s">
        <v>18</v>
      </c>
      <c r="D1" s="35" t="s">
        <v>17</v>
      </c>
      <c r="E1" s="49" t="s">
        <v>21</v>
      </c>
      <c r="F1" s="35" t="s">
        <v>16</v>
      </c>
      <c r="G1" s="35" t="s">
        <v>19</v>
      </c>
      <c r="H1" s="35" t="s">
        <v>18</v>
      </c>
      <c r="I1" s="35" t="s">
        <v>17</v>
      </c>
      <c r="J1" s="35" t="s">
        <v>21</v>
      </c>
      <c r="K1" s="35" t="s">
        <v>16</v>
      </c>
      <c r="L1" s="35" t="s">
        <v>19</v>
      </c>
      <c r="M1" s="35" t="s">
        <v>18</v>
      </c>
      <c r="N1" s="35" t="s">
        <v>17</v>
      </c>
      <c r="O1" s="35" t="s">
        <v>21</v>
      </c>
      <c r="P1" s="35" t="s">
        <v>16</v>
      </c>
      <c r="Q1" s="35" t="s">
        <v>19</v>
      </c>
      <c r="R1" s="35" t="s">
        <v>18</v>
      </c>
      <c r="S1" s="35" t="s">
        <v>17</v>
      </c>
      <c r="T1" s="35" t="s">
        <v>21</v>
      </c>
      <c r="U1" s="35" t="s">
        <v>16</v>
      </c>
    </row>
    <row r="2" spans="1:23" s="1" customFormat="1" x14ac:dyDescent="0.3">
      <c r="A2" s="1" t="s">
        <v>15</v>
      </c>
      <c r="B2" s="35">
        <v>2018</v>
      </c>
      <c r="C2" s="35">
        <v>2018</v>
      </c>
      <c r="D2" s="35">
        <v>2018</v>
      </c>
      <c r="E2" s="49">
        <v>2018</v>
      </c>
      <c r="F2" s="35">
        <v>2018</v>
      </c>
      <c r="G2" s="35">
        <v>2017</v>
      </c>
      <c r="H2" s="35">
        <v>2017</v>
      </c>
      <c r="I2" s="35">
        <v>2017</v>
      </c>
      <c r="J2" s="35">
        <v>2017</v>
      </c>
      <c r="K2" s="35">
        <v>2017</v>
      </c>
      <c r="L2" s="35">
        <v>2016</v>
      </c>
      <c r="M2" s="35">
        <v>2016</v>
      </c>
      <c r="N2" s="35">
        <v>2016</v>
      </c>
      <c r="O2" s="35">
        <v>2016</v>
      </c>
      <c r="P2" s="35">
        <v>2016</v>
      </c>
      <c r="Q2" s="35">
        <v>2015</v>
      </c>
      <c r="R2" s="35">
        <v>2015</v>
      </c>
      <c r="S2" s="35">
        <v>2015</v>
      </c>
      <c r="T2" s="35">
        <v>2015</v>
      </c>
      <c r="U2" s="35">
        <v>2015</v>
      </c>
    </row>
    <row r="3" spans="1:23" s="5" customFormat="1" x14ac:dyDescent="0.3">
      <c r="A3" s="4" t="s">
        <v>0</v>
      </c>
      <c r="B3" s="36">
        <v>242</v>
      </c>
      <c r="C3" s="37">
        <f>209/B3</f>
        <v>0.86363636363636365</v>
      </c>
      <c r="D3" s="36">
        <v>3828</v>
      </c>
      <c r="E3" s="37">
        <f>2658/D3</f>
        <v>0.69435736677115989</v>
      </c>
      <c r="F3" s="37">
        <f>1784/D3</f>
        <v>0.46603970741901779</v>
      </c>
      <c r="G3" s="36">
        <v>222</v>
      </c>
      <c r="H3" s="37">
        <f>203/G3</f>
        <v>0.9144144144144144</v>
      </c>
      <c r="I3" s="36">
        <v>3730</v>
      </c>
      <c r="J3" s="37">
        <f>2492/I3</f>
        <v>0.66809651474530829</v>
      </c>
      <c r="K3" s="37">
        <f>1595/I3</f>
        <v>0.42761394101876676</v>
      </c>
      <c r="L3" s="36">
        <v>189</v>
      </c>
      <c r="M3" s="37">
        <f>166/L3</f>
        <v>0.87830687830687826</v>
      </c>
      <c r="N3" s="36">
        <v>3564</v>
      </c>
      <c r="O3" s="37">
        <f>1868/N3</f>
        <v>0.52413019079685741</v>
      </c>
      <c r="P3" s="37">
        <f>1392/N3</f>
        <v>0.39057239057239057</v>
      </c>
      <c r="Q3" s="36">
        <v>174</v>
      </c>
      <c r="R3" s="37">
        <f>163/Q3</f>
        <v>0.93678160919540232</v>
      </c>
      <c r="S3" s="36">
        <v>3387</v>
      </c>
      <c r="T3" s="37">
        <f>1670/S3</f>
        <v>0.49306170652494835</v>
      </c>
      <c r="U3" s="37">
        <f>1303/S3</f>
        <v>0.38470622970180102</v>
      </c>
    </row>
    <row r="4" spans="1:23" s="7" customFormat="1" x14ac:dyDescent="0.3">
      <c r="A4" s="6" t="s">
        <v>1</v>
      </c>
      <c r="B4" s="38">
        <v>98</v>
      </c>
      <c r="C4" s="38">
        <v>0.87</v>
      </c>
      <c r="D4" s="38">
        <v>1969</v>
      </c>
      <c r="E4" s="38">
        <v>0.68</v>
      </c>
      <c r="F4" s="39">
        <v>0.44</v>
      </c>
      <c r="G4" s="38">
        <v>106</v>
      </c>
      <c r="H4" s="38">
        <v>0.91</v>
      </c>
      <c r="I4" s="39">
        <v>1923</v>
      </c>
      <c r="J4" s="39">
        <v>0.67</v>
      </c>
      <c r="K4" s="39">
        <v>0.4</v>
      </c>
      <c r="L4" s="38">
        <v>96</v>
      </c>
      <c r="M4" s="38">
        <v>0.86</v>
      </c>
      <c r="N4" s="39">
        <v>1850</v>
      </c>
      <c r="O4" s="39">
        <v>0.52</v>
      </c>
      <c r="P4" s="39">
        <v>0.36</v>
      </c>
      <c r="Q4" s="38">
        <v>107</v>
      </c>
      <c r="R4" s="38">
        <v>0.95</v>
      </c>
      <c r="S4" s="39">
        <v>1757</v>
      </c>
      <c r="T4" s="39">
        <v>0.49</v>
      </c>
      <c r="U4" s="39">
        <v>0.35</v>
      </c>
    </row>
    <row r="5" spans="1:23" s="9" customFormat="1" x14ac:dyDescent="0.3">
      <c r="A5" s="8" t="s">
        <v>2</v>
      </c>
      <c r="B5" s="40">
        <v>12</v>
      </c>
      <c r="C5" s="40">
        <v>0.67</v>
      </c>
      <c r="D5" s="40">
        <v>151</v>
      </c>
      <c r="E5" s="40">
        <v>0.52</v>
      </c>
      <c r="F5" s="41">
        <v>0.37</v>
      </c>
      <c r="G5" s="40">
        <v>10</v>
      </c>
      <c r="H5" s="40">
        <v>1</v>
      </c>
      <c r="I5" s="41">
        <v>140</v>
      </c>
      <c r="J5" s="41">
        <v>0.52</v>
      </c>
      <c r="K5" s="41">
        <v>0.33</v>
      </c>
      <c r="L5" s="40">
        <v>7</v>
      </c>
      <c r="M5" s="40">
        <v>0.86</v>
      </c>
      <c r="N5" s="41">
        <v>126</v>
      </c>
      <c r="O5" s="41">
        <v>0.38</v>
      </c>
      <c r="P5" s="41">
        <v>0.28999999999999998</v>
      </c>
      <c r="Q5" s="40">
        <v>4</v>
      </c>
      <c r="R5" s="40">
        <v>1</v>
      </c>
      <c r="S5" s="41">
        <v>115</v>
      </c>
      <c r="T5" s="41">
        <v>0.39</v>
      </c>
      <c r="U5" s="41">
        <v>0.32</v>
      </c>
      <c r="W5" s="10"/>
    </row>
    <row r="6" spans="1:23" s="3" customFormat="1" x14ac:dyDescent="0.3">
      <c r="A6" s="2" t="s">
        <v>3</v>
      </c>
      <c r="B6" s="42">
        <v>120</v>
      </c>
      <c r="C6" s="42">
        <v>0.89</v>
      </c>
      <c r="D6" s="42">
        <v>1534</v>
      </c>
      <c r="E6" s="42">
        <v>0.72</v>
      </c>
      <c r="F6" s="43">
        <v>0.51</v>
      </c>
      <c r="G6" s="42">
        <v>92</v>
      </c>
      <c r="H6" s="42">
        <v>0.93</v>
      </c>
      <c r="I6" s="43">
        <v>1507</v>
      </c>
      <c r="J6" s="43">
        <v>0.68</v>
      </c>
      <c r="K6" s="43">
        <v>0.47</v>
      </c>
      <c r="L6" s="42">
        <v>77</v>
      </c>
      <c r="M6" s="42">
        <v>0.88</v>
      </c>
      <c r="N6" s="43">
        <v>1465</v>
      </c>
      <c r="O6" s="43">
        <v>0.53</v>
      </c>
      <c r="P6" s="43">
        <v>0.43</v>
      </c>
      <c r="Q6" s="42">
        <v>58</v>
      </c>
      <c r="R6" s="42">
        <v>0.91</v>
      </c>
      <c r="S6" s="43">
        <v>1404</v>
      </c>
      <c r="T6" s="43">
        <v>0.5</v>
      </c>
      <c r="U6" s="43">
        <v>0.43</v>
      </c>
    </row>
    <row r="7" spans="1:23" s="7" customFormat="1" x14ac:dyDescent="0.3">
      <c r="A7" s="6" t="s">
        <v>4</v>
      </c>
      <c r="B7" s="38">
        <v>189</v>
      </c>
      <c r="C7" s="38">
        <v>0.85</v>
      </c>
      <c r="D7" s="38">
        <v>2986</v>
      </c>
      <c r="E7" s="38">
        <v>0.7</v>
      </c>
      <c r="F7" s="39">
        <v>0.48</v>
      </c>
      <c r="G7" s="38">
        <v>161</v>
      </c>
      <c r="H7" s="38">
        <v>0.91</v>
      </c>
      <c r="I7" s="39">
        <v>2915</v>
      </c>
      <c r="J7" s="39">
        <v>0.67</v>
      </c>
      <c r="K7" s="39">
        <v>0.44</v>
      </c>
      <c r="L7" s="38">
        <v>144</v>
      </c>
      <c r="M7" s="38">
        <v>0.86</v>
      </c>
      <c r="N7" s="39">
        <v>2809</v>
      </c>
      <c r="O7" s="39">
        <v>0.53</v>
      </c>
      <c r="P7" s="39">
        <v>0.4</v>
      </c>
      <c r="Q7" s="38">
        <v>138</v>
      </c>
      <c r="R7" s="38">
        <v>0.93</v>
      </c>
      <c r="S7" s="39">
        <v>2668</v>
      </c>
      <c r="T7" s="39">
        <v>0.5</v>
      </c>
      <c r="U7" s="39">
        <v>0.4</v>
      </c>
    </row>
    <row r="8" spans="1:23" s="3" customFormat="1" x14ac:dyDescent="0.3">
      <c r="A8" s="2" t="s">
        <v>5</v>
      </c>
      <c r="B8" s="42">
        <v>53</v>
      </c>
      <c r="C8" s="42">
        <v>0.91</v>
      </c>
      <c r="D8" s="40">
        <v>842</v>
      </c>
      <c r="E8" s="40">
        <v>0.68</v>
      </c>
      <c r="F8" s="43">
        <v>0.42</v>
      </c>
      <c r="G8" s="42">
        <v>61</v>
      </c>
      <c r="H8" s="42">
        <v>0.93</v>
      </c>
      <c r="I8" s="43">
        <v>815</v>
      </c>
      <c r="J8" s="41">
        <v>0.67</v>
      </c>
      <c r="K8" s="43">
        <v>0.4</v>
      </c>
      <c r="L8" s="42">
        <v>45</v>
      </c>
      <c r="M8" s="42">
        <v>0.93</v>
      </c>
      <c r="N8" s="43">
        <v>755</v>
      </c>
      <c r="O8" s="41">
        <v>0.52</v>
      </c>
      <c r="P8" s="41">
        <v>0.36</v>
      </c>
      <c r="Q8" s="42">
        <v>36</v>
      </c>
      <c r="R8" s="42">
        <v>0.94</v>
      </c>
      <c r="S8" s="43">
        <v>719</v>
      </c>
      <c r="T8" s="41">
        <v>0.46</v>
      </c>
      <c r="U8" s="43">
        <v>0.32</v>
      </c>
    </row>
    <row r="9" spans="1:23" s="7" customFormat="1" x14ac:dyDescent="0.3">
      <c r="A9" s="6" t="s">
        <v>6</v>
      </c>
      <c r="B9" s="38">
        <f>17+41</f>
        <v>58</v>
      </c>
      <c r="C9" s="38">
        <f>(15+36)/B9</f>
        <v>0.87931034482758619</v>
      </c>
      <c r="D9" s="38">
        <f>2+29+154</f>
        <v>185</v>
      </c>
      <c r="E9" s="38">
        <f>(2+24+112)/D9</f>
        <v>0.74594594594594599</v>
      </c>
      <c r="F9" s="38">
        <f>(2+20+73)/D9</f>
        <v>0.51351351351351349</v>
      </c>
      <c r="G9" s="38">
        <f>1+19+36</f>
        <v>56</v>
      </c>
      <c r="H9" s="38">
        <f>(1+18+30)/G9</f>
        <v>0.875</v>
      </c>
      <c r="I9" s="38">
        <f>3+24+155</f>
        <v>182</v>
      </c>
      <c r="J9" s="38">
        <f>(3+19+117)/I9</f>
        <v>0.76373626373626369</v>
      </c>
      <c r="K9" s="38">
        <f>(3+12+71)/I9</f>
        <v>0.47252747252747251</v>
      </c>
      <c r="L9" s="38">
        <f>8+27</f>
        <v>35</v>
      </c>
      <c r="M9" s="38">
        <f>(7+21)/L9</f>
        <v>0.8</v>
      </c>
      <c r="N9" s="38">
        <f>2+18+147</f>
        <v>167</v>
      </c>
      <c r="O9" s="38">
        <f>(1+12+81)/N9</f>
        <v>0.56287425149700598</v>
      </c>
      <c r="P9" s="38">
        <f>(1+9+50)/N9</f>
        <v>0.3592814371257485</v>
      </c>
      <c r="Q9" s="38">
        <f>1+12+37</f>
        <v>50</v>
      </c>
      <c r="R9" s="38">
        <f>(1+12+35)/Q9</f>
        <v>0.96</v>
      </c>
      <c r="S9" s="38">
        <f>1+25+156</f>
        <v>182</v>
      </c>
      <c r="T9" s="39">
        <f>(1+20+88)/S9</f>
        <v>0.59890109890109888</v>
      </c>
      <c r="U9" s="38">
        <f>(1+12+58)/S9</f>
        <v>0.39010989010989011</v>
      </c>
    </row>
    <row r="10" spans="1:23" s="9" customFormat="1" x14ac:dyDescent="0.3">
      <c r="A10" s="8" t="s">
        <v>7</v>
      </c>
      <c r="B10" s="40">
        <f>43+45</f>
        <v>88</v>
      </c>
      <c r="C10" s="40">
        <f>(37+39)/B10</f>
        <v>0.86363636363636365</v>
      </c>
      <c r="D10" s="40">
        <f>368+439</f>
        <v>807</v>
      </c>
      <c r="E10" s="40">
        <f>(253+318)/D10</f>
        <v>0.70755885997521684</v>
      </c>
      <c r="F10" s="41">
        <f>(149+201)/D10</f>
        <v>0.43370508054522927</v>
      </c>
      <c r="G10" s="40">
        <f>43+37</f>
        <v>80</v>
      </c>
      <c r="H10" s="40">
        <f>(39+35)/G10</f>
        <v>0.92500000000000004</v>
      </c>
      <c r="I10" s="41">
        <f>393+384</f>
        <v>777</v>
      </c>
      <c r="J10" s="41">
        <f>(253+281)/I10</f>
        <v>0.68725868725868722</v>
      </c>
      <c r="K10" s="41">
        <f>(147+157)/I10</f>
        <v>0.39124839124839123</v>
      </c>
      <c r="L10" s="40">
        <f>46+32</f>
        <v>78</v>
      </c>
      <c r="M10" s="40">
        <f>(41+28)/L10</f>
        <v>0.88461538461538458</v>
      </c>
      <c r="N10" s="41">
        <f>368+329</f>
        <v>697</v>
      </c>
      <c r="O10" s="41">
        <f>(203+192)/N10</f>
        <v>0.56671449067431856</v>
      </c>
      <c r="P10" s="41">
        <f>(111+127)/N10</f>
        <v>0.34146341463414637</v>
      </c>
      <c r="Q10" s="40">
        <f>35+30</f>
        <v>65</v>
      </c>
      <c r="R10" s="40">
        <f>(32+29)/Q10</f>
        <v>0.93846153846153846</v>
      </c>
      <c r="S10" s="41">
        <f>316+302</f>
        <v>618</v>
      </c>
      <c r="T10" s="41">
        <f>(160+158)/S10</f>
        <v>0.5145631067961165</v>
      </c>
      <c r="U10" s="41">
        <f>(104+111)/S10</f>
        <v>0.34789644012944981</v>
      </c>
    </row>
    <row r="11" spans="1:23" s="9" customFormat="1" x14ac:dyDescent="0.3">
      <c r="A11" s="8" t="s">
        <v>8</v>
      </c>
      <c r="B11" s="40">
        <f>37+20</f>
        <v>57</v>
      </c>
      <c r="C11" s="40">
        <f>(32+17)/B11</f>
        <v>0.85964912280701755</v>
      </c>
      <c r="D11" s="40">
        <f>349+383</f>
        <v>732</v>
      </c>
      <c r="E11" s="40">
        <f>(247+245)/D11</f>
        <v>0.67213114754098358</v>
      </c>
      <c r="F11" s="40">
        <f>(164+167)/D11</f>
        <v>0.45218579234972678</v>
      </c>
      <c r="G11" s="40">
        <f>23+19</f>
        <v>42</v>
      </c>
      <c r="H11" s="40">
        <f>(21+19)/G11</f>
        <v>0.95238095238095233</v>
      </c>
      <c r="I11" s="40">
        <f>325+388</f>
        <v>713</v>
      </c>
      <c r="J11" s="41">
        <f>(221+257)/I11</f>
        <v>0.6704067321178121</v>
      </c>
      <c r="K11" s="40">
        <f>(132+162)/I11</f>
        <v>0.41234221598877979</v>
      </c>
      <c r="L11" s="40">
        <f>14+19</f>
        <v>33</v>
      </c>
      <c r="M11" s="40">
        <f>(13+19)/L11</f>
        <v>0.96969696969696972</v>
      </c>
      <c r="N11" s="40">
        <f>317+362</f>
        <v>679</v>
      </c>
      <c r="O11" s="40">
        <f>(166+176)/N11</f>
        <v>0.50368188512518408</v>
      </c>
      <c r="P11" s="41">
        <f>(117+130)/N11</f>
        <v>0.3637702503681885</v>
      </c>
      <c r="Q11" s="40">
        <f>14+11</f>
        <v>25</v>
      </c>
      <c r="R11" s="40">
        <f>(13+11)/Q11</f>
        <v>0.96</v>
      </c>
      <c r="S11" s="40">
        <f>310+352</f>
        <v>662</v>
      </c>
      <c r="T11" s="41">
        <f>(165+168)/S11</f>
        <v>0.50302114803625375</v>
      </c>
      <c r="U11" s="40">
        <f>(130+123)/S11</f>
        <v>0.3821752265861027</v>
      </c>
    </row>
    <row r="12" spans="1:23" s="9" customFormat="1" x14ac:dyDescent="0.3">
      <c r="A12" s="8" t="s">
        <v>9</v>
      </c>
      <c r="B12" s="40">
        <f>12+18</f>
        <v>30</v>
      </c>
      <c r="C12" s="40">
        <f>(8+16)/B12</f>
        <v>0.8</v>
      </c>
      <c r="D12" s="40">
        <f>412+557</f>
        <v>969</v>
      </c>
      <c r="E12" s="40">
        <f>(276+383)/D12</f>
        <v>0.68008255933952533</v>
      </c>
      <c r="F12" s="41">
        <f>(165+261)/D12</f>
        <v>0.43962848297213625</v>
      </c>
      <c r="G12" s="40">
        <f>16+14</f>
        <v>30</v>
      </c>
      <c r="H12" s="40">
        <f>(15+14)/G12</f>
        <v>0.96666666666666667</v>
      </c>
      <c r="I12" s="41">
        <f>434+582</f>
        <v>1016</v>
      </c>
      <c r="J12" s="41">
        <f>(288+374)/I12</f>
        <v>0.65157480314960625</v>
      </c>
      <c r="K12" s="41">
        <f>(184+259)/I12</f>
        <v>0.4360236220472441</v>
      </c>
      <c r="L12" s="40">
        <f>12+13</f>
        <v>25</v>
      </c>
      <c r="M12" s="40">
        <f>(10+11)/L12</f>
        <v>0.84</v>
      </c>
      <c r="N12" s="41">
        <f>458+610</f>
        <v>1068</v>
      </c>
      <c r="O12" s="41">
        <f>(240+299)/N12</f>
        <v>0.50468164794007486</v>
      </c>
      <c r="P12" s="41">
        <f>(187+234)/N12</f>
        <v>0.39419475655430714</v>
      </c>
      <c r="Q12" s="40">
        <f>10+12</f>
        <v>22</v>
      </c>
      <c r="R12" s="40">
        <f>(8+11)/Q12</f>
        <v>0.86363636363636365</v>
      </c>
      <c r="S12" s="41">
        <f>494+586</f>
        <v>1080</v>
      </c>
      <c r="T12" s="41">
        <f>(249+278)/S12</f>
        <v>0.48796296296296299</v>
      </c>
      <c r="U12" s="41">
        <f>(205+227)/S12</f>
        <v>0.4</v>
      </c>
    </row>
    <row r="13" spans="1:23" s="3" customFormat="1" x14ac:dyDescent="0.3">
      <c r="A13" s="2" t="s">
        <v>10</v>
      </c>
      <c r="B13" s="42">
        <f>7+2</f>
        <v>9</v>
      </c>
      <c r="C13" s="40">
        <f>(7+2)/B13</f>
        <v>1</v>
      </c>
      <c r="D13" s="42">
        <f>875+260</f>
        <v>1135</v>
      </c>
      <c r="E13" s="42">
        <f>(614+184)/D13</f>
        <v>0.70308370044052859</v>
      </c>
      <c r="F13" s="42">
        <f>(437+145)/D13</f>
        <v>0.51277533039647583</v>
      </c>
      <c r="G13" s="42">
        <f>11+3</f>
        <v>14</v>
      </c>
      <c r="H13" s="40">
        <f>(9+2)/G13</f>
        <v>0.7857142857142857</v>
      </c>
      <c r="I13" s="42">
        <f>806+236</f>
        <v>1042</v>
      </c>
      <c r="J13" s="43">
        <f>(527+152)/I13</f>
        <v>0.65163147792706333</v>
      </c>
      <c r="K13" s="42">
        <f>(358+110)/I13</f>
        <v>0.44913627639155468</v>
      </c>
      <c r="L13" s="42">
        <f>15+3</f>
        <v>18</v>
      </c>
      <c r="M13" s="40">
        <f>(13+3)/L13</f>
        <v>0.88888888888888884</v>
      </c>
      <c r="N13" s="42">
        <f>752+201</f>
        <v>953</v>
      </c>
      <c r="O13" s="42">
        <f>(398+100)/N13</f>
        <v>0.52256033578174188</v>
      </c>
      <c r="P13" s="43">
        <f>(335+91)/N13</f>
        <v>0.44700944386149005</v>
      </c>
      <c r="Q13" s="42">
        <f>8+4</f>
        <v>12</v>
      </c>
      <c r="R13" s="40">
        <f>(7+4)/Q13</f>
        <v>0.91666666666666663</v>
      </c>
      <c r="S13" s="42">
        <f>669+176</f>
        <v>845</v>
      </c>
      <c r="T13" s="43">
        <f>(300+83)/S13</f>
        <v>0.4532544378698225</v>
      </c>
      <c r="U13" s="42">
        <f>(262+70)/S13</f>
        <v>0.39289940828402364</v>
      </c>
    </row>
    <row r="14" spans="1:23" s="7" customFormat="1" x14ac:dyDescent="0.3">
      <c r="A14" s="6" t="s">
        <v>11</v>
      </c>
      <c r="B14" s="38">
        <v>93</v>
      </c>
      <c r="C14" s="38">
        <v>0.91</v>
      </c>
      <c r="D14" s="38">
        <v>2054</v>
      </c>
      <c r="E14" s="38">
        <v>0.74</v>
      </c>
      <c r="F14" s="39">
        <v>0.5</v>
      </c>
      <c r="G14" s="38">
        <v>99</v>
      </c>
      <c r="H14" s="38">
        <v>0.92</v>
      </c>
      <c r="I14" s="39">
        <v>2035</v>
      </c>
      <c r="J14" s="39">
        <v>0.71</v>
      </c>
      <c r="K14" s="39">
        <v>0.47</v>
      </c>
      <c r="L14" s="38">
        <v>87</v>
      </c>
      <c r="M14" s="38">
        <v>0.9</v>
      </c>
      <c r="N14" s="39">
        <v>2016</v>
      </c>
      <c r="O14" s="39">
        <v>0.57999999999999996</v>
      </c>
      <c r="P14" s="39">
        <v>0.45</v>
      </c>
      <c r="Q14" s="38">
        <v>43832</v>
      </c>
      <c r="R14" s="38">
        <v>0.96</v>
      </c>
      <c r="S14" s="39">
        <v>1904</v>
      </c>
      <c r="T14" s="39">
        <v>0.56000000000000005</v>
      </c>
      <c r="U14" s="39">
        <v>0.46</v>
      </c>
    </row>
    <row r="15" spans="1:23" s="9" customFormat="1" x14ac:dyDescent="0.3">
      <c r="A15" s="8" t="s">
        <v>12</v>
      </c>
      <c r="B15" s="40">
        <f>46+21</f>
        <v>67</v>
      </c>
      <c r="C15" s="40">
        <f>(32+20)/B15</f>
        <v>0.77611940298507465</v>
      </c>
      <c r="D15" s="40">
        <f>134+103</f>
        <v>237</v>
      </c>
      <c r="E15" s="40">
        <f>(94+68)/D15</f>
        <v>0.68354430379746833</v>
      </c>
      <c r="F15" s="41">
        <f>(62+37)/D15</f>
        <v>0.41772151898734178</v>
      </c>
      <c r="G15" s="40">
        <f>21+20</f>
        <v>41</v>
      </c>
      <c r="H15" s="40">
        <f>(18+18)/G15</f>
        <v>0.87804878048780488</v>
      </c>
      <c r="I15" s="41">
        <f>103+93</f>
        <v>196</v>
      </c>
      <c r="J15" s="41">
        <f>(65+59)/I15</f>
        <v>0.63265306122448983</v>
      </c>
      <c r="K15" s="41">
        <f>(39+32)/I15</f>
        <v>0.36224489795918369</v>
      </c>
      <c r="L15" s="40">
        <f>6+8</f>
        <v>14</v>
      </c>
      <c r="M15" s="40">
        <f>(5+8)/L15</f>
        <v>0.9285714285714286</v>
      </c>
      <c r="N15" s="41">
        <f>75+84</f>
        <v>159</v>
      </c>
      <c r="O15" s="41">
        <f>(31+43)/N15</f>
        <v>0.46540880503144655</v>
      </c>
      <c r="P15" s="41">
        <f>(16+30)/N15</f>
        <v>0.28930817610062892</v>
      </c>
      <c r="Q15" s="40">
        <f>2+2</f>
        <v>4</v>
      </c>
      <c r="R15" s="40">
        <f>(2+2)/Q15</f>
        <v>1</v>
      </c>
      <c r="S15" s="41">
        <f>79+84</f>
        <v>163</v>
      </c>
      <c r="T15" s="41">
        <f>(24+33)/S15</f>
        <v>0.34969325153374231</v>
      </c>
      <c r="U15" s="41">
        <f>(18+24)/S15</f>
        <v>0.25766871165644173</v>
      </c>
    </row>
    <row r="16" spans="1:23" s="9" customFormat="1" x14ac:dyDescent="0.3">
      <c r="A16" s="8" t="s">
        <v>13</v>
      </c>
      <c r="B16" s="40">
        <v>9</v>
      </c>
      <c r="C16" s="40">
        <v>1</v>
      </c>
      <c r="D16" s="40">
        <v>138</v>
      </c>
      <c r="E16" s="40">
        <v>0.74</v>
      </c>
      <c r="F16" s="41">
        <v>0.47</v>
      </c>
      <c r="G16" s="40">
        <v>6</v>
      </c>
      <c r="H16" s="40">
        <v>1</v>
      </c>
      <c r="I16" s="41">
        <v>136</v>
      </c>
      <c r="J16" s="41">
        <v>0.68</v>
      </c>
      <c r="K16" s="41">
        <v>0.49</v>
      </c>
      <c r="L16" s="40">
        <v>6</v>
      </c>
      <c r="M16" s="40">
        <v>1</v>
      </c>
      <c r="N16" s="41">
        <v>159</v>
      </c>
      <c r="O16" s="41">
        <v>0.65</v>
      </c>
      <c r="P16" s="41">
        <v>0.52</v>
      </c>
      <c r="Q16" s="40">
        <v>4</v>
      </c>
      <c r="R16" s="40">
        <v>1</v>
      </c>
      <c r="S16" s="41">
        <v>146</v>
      </c>
      <c r="T16" s="41">
        <v>0.57999999999999996</v>
      </c>
      <c r="U16" s="41">
        <v>0.49</v>
      </c>
    </row>
    <row r="17" spans="1:25" s="3" customFormat="1" x14ac:dyDescent="0.3">
      <c r="A17" s="2" t="s">
        <v>14</v>
      </c>
      <c r="B17" s="42">
        <f>5+30</f>
        <v>35</v>
      </c>
      <c r="C17" s="42">
        <f>(3+27)/B17</f>
        <v>0.8571428571428571</v>
      </c>
      <c r="D17" s="42">
        <f>141+665</f>
        <v>806</v>
      </c>
      <c r="E17" s="42">
        <f>(89+475)/D17</f>
        <v>0.69975186104218368</v>
      </c>
      <c r="F17" s="43">
        <f>(63+294)/D17</f>
        <v>0.44292803970223327</v>
      </c>
      <c r="G17" s="42">
        <f>2+40</f>
        <v>42</v>
      </c>
      <c r="H17" s="42">
        <f>(2+39)/G17</f>
        <v>0.97619047619047616</v>
      </c>
      <c r="I17" s="43">
        <f>139+651</f>
        <v>790</v>
      </c>
      <c r="J17" s="43">
        <f>(83+466)/I17</f>
        <v>0.69493670886075953</v>
      </c>
      <c r="K17" s="43">
        <f>(46+277)/I17</f>
        <v>0.4088607594936709</v>
      </c>
      <c r="L17" s="42">
        <f>3+34</f>
        <v>37</v>
      </c>
      <c r="M17" s="42">
        <f>(2+32)/L17</f>
        <v>0.91891891891891897</v>
      </c>
      <c r="N17" s="43">
        <f>112+603</f>
        <v>715</v>
      </c>
      <c r="O17" s="43">
        <f>(42+334)/N17</f>
        <v>0.52587412587412585</v>
      </c>
      <c r="P17" s="43">
        <f>(21+230)/N17</f>
        <v>0.35104895104895106</v>
      </c>
      <c r="Q17" s="42">
        <f>4+33</f>
        <v>37</v>
      </c>
      <c r="R17" s="42">
        <f>(5+31)/Q17</f>
        <v>0.97297297297297303</v>
      </c>
      <c r="S17" s="43">
        <f>120+570</f>
        <v>690</v>
      </c>
      <c r="T17" s="43">
        <f>(42+286)/S17</f>
        <v>0.47536231884057972</v>
      </c>
      <c r="U17" s="43">
        <f>(27+200)/S17</f>
        <v>0.32898550724637682</v>
      </c>
    </row>
    <row r="18" spans="1:25" x14ac:dyDescent="0.3">
      <c r="A18" s="1" t="s">
        <v>20</v>
      </c>
      <c r="B18" s="44"/>
      <c r="C18" s="44">
        <v>3</v>
      </c>
      <c r="D18" s="46"/>
      <c r="E18" s="46"/>
      <c r="F18" s="44"/>
      <c r="G18" s="44"/>
      <c r="H18" s="44">
        <v>3</v>
      </c>
      <c r="I18" s="44"/>
      <c r="J18" s="44"/>
      <c r="K18" s="44"/>
      <c r="L18" s="44"/>
      <c r="M18" s="44">
        <v>3</v>
      </c>
      <c r="N18" s="44"/>
      <c r="O18" s="44"/>
      <c r="P18" s="44"/>
      <c r="Q18" s="44"/>
      <c r="R18" s="44">
        <v>3</v>
      </c>
      <c r="S18" s="44"/>
      <c r="T18" s="44"/>
      <c r="U18" s="44"/>
      <c r="V18" s="16"/>
      <c r="W18" s="15"/>
      <c r="X18" s="15"/>
      <c r="Y18" s="15"/>
    </row>
    <row r="20" spans="1:25" x14ac:dyDescent="0.3">
      <c r="B20" s="51" t="s">
        <v>86</v>
      </c>
    </row>
    <row r="21" spans="1:25" x14ac:dyDescent="0.3">
      <c r="B21" s="15" t="s">
        <v>85</v>
      </c>
    </row>
    <row r="22" spans="1:25" x14ac:dyDescent="0.3">
      <c r="B22" s="15"/>
    </row>
    <row r="23" spans="1:25" x14ac:dyDescent="0.3">
      <c r="B23" s="15"/>
    </row>
    <row r="24" spans="1:25" x14ac:dyDescent="0.3">
      <c r="B24" s="15"/>
    </row>
    <row r="25" spans="1:25" x14ac:dyDescent="0.3">
      <c r="B25" s="15"/>
    </row>
    <row r="26" spans="1:25" x14ac:dyDescent="0.3">
      <c r="B26" s="15"/>
    </row>
    <row r="27" spans="1:25" x14ac:dyDescent="0.3">
      <c r="B27" s="15"/>
    </row>
    <row r="28" spans="1:25" x14ac:dyDescent="0.3">
      <c r="B28" s="15"/>
    </row>
    <row r="29" spans="1:25" x14ac:dyDescent="0.3">
      <c r="B29" s="15"/>
    </row>
    <row r="30" spans="1:25" x14ac:dyDescent="0.3">
      <c r="B30" s="15"/>
    </row>
    <row r="31" spans="1:25" x14ac:dyDescent="0.3">
      <c r="B31" s="15"/>
    </row>
    <row r="32" spans="1:25" x14ac:dyDescent="0.3">
      <c r="B32" s="15"/>
    </row>
    <row r="33" spans="2:2" x14ac:dyDescent="0.3">
      <c r="B33" s="15"/>
    </row>
    <row r="34" spans="2:2" x14ac:dyDescent="0.3">
      <c r="B34" s="15"/>
    </row>
    <row r="35" spans="2:2" x14ac:dyDescent="0.3">
      <c r="B35" s="15"/>
    </row>
    <row r="36" spans="2:2" x14ac:dyDescent="0.3">
      <c r="B36" s="15"/>
    </row>
    <row r="37" spans="2:2" x14ac:dyDescent="0.3">
      <c r="B37" s="15"/>
    </row>
    <row r="38" spans="2:2" x14ac:dyDescent="0.3">
      <c r="B38" s="15"/>
    </row>
    <row r="39" spans="2:2" x14ac:dyDescent="0.3">
      <c r="B39" s="1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zoomScale="120" zoomScaleNormal="120" workbookViewId="0">
      <pane xSplit="1" ySplit="1" topLeftCell="B2" activePane="bottomRight" state="frozen"/>
      <selection pane="topRight" activeCell="B1" sqref="B1"/>
      <selection pane="bottomLeft" activeCell="A2" sqref="A2"/>
      <selection pane="bottomRight" activeCell="A6" sqref="A6:XFD6"/>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44">
        <v>174</v>
      </c>
      <c r="C2" s="46">
        <f>163/B2</f>
        <v>0.93678160919540232</v>
      </c>
      <c r="D2" s="44">
        <v>3387</v>
      </c>
      <c r="E2" s="46">
        <f>1670/D2</f>
        <v>0.49306170652494835</v>
      </c>
      <c r="F2" s="46">
        <f>933/D2</f>
        <v>0.27546501328609391</v>
      </c>
      <c r="G2" s="46">
        <f>1303/D2</f>
        <v>0.38470622970180102</v>
      </c>
    </row>
    <row r="3" spans="1:7" x14ac:dyDescent="0.3">
      <c r="A3" s="1">
        <v>2016</v>
      </c>
      <c r="B3" s="44">
        <v>189</v>
      </c>
      <c r="C3" s="46">
        <f>166/B3</f>
        <v>0.87830687830687826</v>
      </c>
      <c r="D3" s="44">
        <v>3564</v>
      </c>
      <c r="E3" s="46">
        <f>1868/D3</f>
        <v>0.52413019079685741</v>
      </c>
      <c r="F3" s="46">
        <f>991/D3</f>
        <v>0.27805836139169471</v>
      </c>
      <c r="G3" s="46">
        <f>1392/D3</f>
        <v>0.39057239057239057</v>
      </c>
    </row>
    <row r="4" spans="1:7" x14ac:dyDescent="0.3">
      <c r="A4" s="1">
        <v>2017</v>
      </c>
      <c r="B4" s="44">
        <v>222</v>
      </c>
      <c r="C4" s="46">
        <f>203/B4</f>
        <v>0.9144144144144144</v>
      </c>
      <c r="D4" s="44">
        <v>3730</v>
      </c>
      <c r="E4" s="46">
        <f>2492/D4</f>
        <v>0.66809651474530829</v>
      </c>
      <c r="F4" s="46">
        <f>1416/D4</f>
        <v>0.37962466487935659</v>
      </c>
      <c r="G4" s="46">
        <f>1595/D4</f>
        <v>0.42761394101876676</v>
      </c>
    </row>
    <row r="5" spans="1:7" x14ac:dyDescent="0.3">
      <c r="A5" s="1">
        <v>2018</v>
      </c>
      <c r="B5" s="44">
        <v>242</v>
      </c>
      <c r="C5" s="46">
        <f>209/B5</f>
        <v>0.86363636363636365</v>
      </c>
      <c r="D5" s="44">
        <v>3828</v>
      </c>
      <c r="E5" s="46">
        <f>2658/D5</f>
        <v>0.69435736677115989</v>
      </c>
      <c r="F5" s="46">
        <f>1583/D5</f>
        <v>0.41353187042842215</v>
      </c>
      <c r="G5" s="46">
        <f>1784/D5</f>
        <v>0.46603970741901779</v>
      </c>
    </row>
    <row r="6" spans="1:7" x14ac:dyDescent="0.3">
      <c r="A6" s="1">
        <v>2015</v>
      </c>
      <c r="B6" s="48">
        <v>935</v>
      </c>
      <c r="C6" s="47">
        <f>737/B6</f>
        <v>0.78823529411764703</v>
      </c>
      <c r="D6" s="45">
        <v>21201</v>
      </c>
      <c r="E6" s="47">
        <f>12190/D6</f>
        <v>0.57497287863780011</v>
      </c>
      <c r="F6" s="47">
        <f>7626/D6</f>
        <v>0.35970001415027592</v>
      </c>
      <c r="G6" s="47">
        <f>9234/D6</f>
        <v>0.43554549313711616</v>
      </c>
    </row>
    <row r="7" spans="1:7" x14ac:dyDescent="0.3">
      <c r="A7" s="1">
        <v>2016</v>
      </c>
      <c r="B7" s="48">
        <v>979</v>
      </c>
      <c r="C7" s="47">
        <f>812/B7</f>
        <v>0.82941777323799792</v>
      </c>
      <c r="D7" s="45">
        <v>22510</v>
      </c>
      <c r="E7" s="47">
        <f>13154/D7</f>
        <v>0.58436250555308755</v>
      </c>
      <c r="F7" s="47">
        <f>8369/D7</f>
        <v>0.37179031541537094</v>
      </c>
      <c r="G7" s="47">
        <f>10738/D7</f>
        <v>0.4770324300310973</v>
      </c>
    </row>
    <row r="8" spans="1:7" x14ac:dyDescent="0.3">
      <c r="A8" s="1">
        <v>2017</v>
      </c>
      <c r="B8" s="48">
        <v>981</v>
      </c>
      <c r="C8" s="47">
        <f>876/B8</f>
        <v>0.89296636085626913</v>
      </c>
      <c r="D8" s="45">
        <v>23131</v>
      </c>
      <c r="E8" s="47">
        <f>15309/D8</f>
        <v>0.66183909039816691</v>
      </c>
      <c r="F8" s="47">
        <f>9029/D8</f>
        <v>0.39034196532791493</v>
      </c>
      <c r="G8" s="47">
        <f>12416/D8</f>
        <v>0.53676883835545375</v>
      </c>
    </row>
    <row r="9" spans="1:7" x14ac:dyDescent="0.3">
      <c r="A9" s="1">
        <v>2018</v>
      </c>
      <c r="B9" s="48">
        <v>979</v>
      </c>
      <c r="C9" s="47">
        <f>849/B9</f>
        <v>0.86721144024514807</v>
      </c>
      <c r="D9" s="45">
        <v>23530</v>
      </c>
      <c r="E9" s="47">
        <f>16689/D9</f>
        <v>0.70926476838079044</v>
      </c>
      <c r="F9" s="47">
        <f>10969/D9</f>
        <v>0.46617084572885675</v>
      </c>
      <c r="G9" s="47">
        <f>13888/D9</f>
        <v>0.59022524436889079</v>
      </c>
    </row>
    <row r="11" spans="1:7" x14ac:dyDescent="0.3">
      <c r="B11" s="44" t="s">
        <v>83</v>
      </c>
      <c r="C11" s="44"/>
    </row>
    <row r="12" spans="1:7" x14ac:dyDescent="0.3">
      <c r="B12" s="45" t="s">
        <v>84</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120" zoomScaleNormal="120" workbookViewId="0">
      <selection activeCell="F2" sqref="F2"/>
    </sheetView>
  </sheetViews>
  <sheetFormatPr defaultColWidth="8.77734375" defaultRowHeight="14.4" x14ac:dyDescent="0.3"/>
  <cols>
    <col min="1" max="1" width="25.33203125" customWidth="1"/>
  </cols>
  <sheetData>
    <row r="1" spans="1:12" x14ac:dyDescent="0.3">
      <c r="A1" t="s">
        <v>24</v>
      </c>
    </row>
    <row r="2" spans="1:12" x14ac:dyDescent="0.3">
      <c r="K2" s="12"/>
      <c r="L2" s="12"/>
    </row>
    <row r="3" spans="1:12" x14ac:dyDescent="0.3">
      <c r="B3" s="31"/>
    </row>
    <row r="4" spans="1:12" x14ac:dyDescent="0.3">
      <c r="A4" s="13" t="s">
        <v>44</v>
      </c>
      <c r="B4" s="14">
        <v>817473</v>
      </c>
      <c r="C4" t="s">
        <v>64</v>
      </c>
    </row>
    <row r="6" spans="1:12" x14ac:dyDescent="0.3">
      <c r="A6" t="s">
        <v>45</v>
      </c>
    </row>
    <row r="8" spans="1:12" x14ac:dyDescent="0.3">
      <c r="A8" t="s">
        <v>47</v>
      </c>
      <c r="B8" s="32">
        <v>383134</v>
      </c>
      <c r="C8" t="s">
        <v>46</v>
      </c>
      <c r="E8" s="12"/>
      <c r="F8" s="12"/>
      <c r="G8" s="12"/>
    </row>
    <row r="9" spans="1:12" x14ac:dyDescent="0.3">
      <c r="A9" t="s">
        <v>48</v>
      </c>
      <c r="B9" s="32">
        <v>234602</v>
      </c>
      <c r="C9" t="s">
        <v>46</v>
      </c>
    </row>
    <row r="10" spans="1:12" x14ac:dyDescent="0.3">
      <c r="A10" t="s">
        <v>49</v>
      </c>
      <c r="B10" s="32">
        <v>206428</v>
      </c>
      <c r="C10" t="s">
        <v>46</v>
      </c>
    </row>
    <row r="11" spans="1:12" x14ac:dyDescent="0.3">
      <c r="A11" t="s">
        <v>50</v>
      </c>
      <c r="B11" s="32">
        <v>166998</v>
      </c>
      <c r="C11" t="s">
        <v>51</v>
      </c>
    </row>
    <row r="12" spans="1:12" x14ac:dyDescent="0.3">
      <c r="A12" t="s">
        <v>52</v>
      </c>
      <c r="B12" s="32">
        <v>133581</v>
      </c>
      <c r="C12" t="s">
        <v>51</v>
      </c>
    </row>
    <row r="13" spans="1:12" x14ac:dyDescent="0.3">
      <c r="A13" t="s">
        <v>53</v>
      </c>
      <c r="B13" s="32">
        <v>93584</v>
      </c>
      <c r="C13" t="s">
        <v>51</v>
      </c>
    </row>
    <row r="14" spans="1:12" x14ac:dyDescent="0.3">
      <c r="A14" t="s">
        <v>54</v>
      </c>
      <c r="B14" s="14">
        <v>49458</v>
      </c>
      <c r="C14" t="s">
        <v>55</v>
      </c>
    </row>
    <row r="15" spans="1:12" x14ac:dyDescent="0.3">
      <c r="A15" t="s">
        <v>56</v>
      </c>
      <c r="B15" s="14">
        <v>43432</v>
      </c>
      <c r="C15" t="s">
        <v>46</v>
      </c>
    </row>
    <row r="16" spans="1:12" x14ac:dyDescent="0.3">
      <c r="A16" t="s">
        <v>57</v>
      </c>
      <c r="B16" s="14">
        <v>25069</v>
      </c>
      <c r="C16" t="s">
        <v>51</v>
      </c>
    </row>
    <row r="17" spans="1:3" x14ac:dyDescent="0.3">
      <c r="A17" t="s">
        <v>58</v>
      </c>
      <c r="B17" s="14">
        <v>22758</v>
      </c>
      <c r="C17" t="s">
        <v>55</v>
      </c>
    </row>
    <row r="18" spans="1:3" x14ac:dyDescent="0.3">
      <c r="A18" t="s">
        <v>59</v>
      </c>
      <c r="B18" s="14">
        <v>14590</v>
      </c>
      <c r="C18" t="s">
        <v>51</v>
      </c>
    </row>
    <row r="19" spans="1:3" x14ac:dyDescent="0.3">
      <c r="A19" t="s">
        <v>60</v>
      </c>
      <c r="B19" s="14">
        <v>8869</v>
      </c>
      <c r="C19" t="s">
        <v>51</v>
      </c>
    </row>
    <row r="20" spans="1:3" x14ac:dyDescent="0.3">
      <c r="A20" t="s">
        <v>61</v>
      </c>
      <c r="B20" s="14">
        <v>8303</v>
      </c>
      <c r="C20" t="s">
        <v>51</v>
      </c>
    </row>
    <row r="21" spans="1:3" x14ac:dyDescent="0.3">
      <c r="A21" t="s">
        <v>62</v>
      </c>
      <c r="B21" s="14">
        <v>7054</v>
      </c>
      <c r="C21" t="s">
        <v>55</v>
      </c>
    </row>
    <row r="22" spans="1:3" x14ac:dyDescent="0.3">
      <c r="A22" t="s">
        <v>63</v>
      </c>
      <c r="B22" s="14">
        <v>5875</v>
      </c>
      <c r="C22" t="s">
        <v>55</v>
      </c>
    </row>
    <row r="24" spans="1:3" x14ac:dyDescent="0.3">
      <c r="A24" s="33" t="s">
        <v>66</v>
      </c>
      <c r="B24" s="17"/>
    </row>
    <row r="25" spans="1:3" x14ac:dyDescent="0.3">
      <c r="A25" s="33" t="s">
        <v>67</v>
      </c>
    </row>
    <row r="26" spans="1:3" x14ac:dyDescent="0.3">
      <c r="B26" s="33" t="s">
        <v>68</v>
      </c>
    </row>
    <row r="27" spans="1:3" x14ac:dyDescent="0.3">
      <c r="B27" s="33" t="s">
        <v>69</v>
      </c>
    </row>
    <row r="28" spans="1:3" x14ac:dyDescent="0.3">
      <c r="B28" s="33" t="s">
        <v>70</v>
      </c>
    </row>
    <row r="29" spans="1:3" x14ac:dyDescent="0.3">
      <c r="B29" s="33" t="s">
        <v>71</v>
      </c>
    </row>
    <row r="30" spans="1:3" x14ac:dyDescent="0.3">
      <c r="B30" s="33" t="s">
        <v>72</v>
      </c>
    </row>
    <row r="31" spans="1:3" x14ac:dyDescent="0.3">
      <c r="B31" s="33" t="s">
        <v>73</v>
      </c>
    </row>
    <row r="32" spans="1:3" x14ac:dyDescent="0.3">
      <c r="B32" s="33" t="s">
        <v>74</v>
      </c>
    </row>
    <row r="33" spans="2:2" x14ac:dyDescent="0.3">
      <c r="B33" s="34" t="s">
        <v>75</v>
      </c>
    </row>
    <row r="34" spans="2:2" x14ac:dyDescent="0.3">
      <c r="B34" s="33" t="s">
        <v>76</v>
      </c>
    </row>
    <row r="35" spans="2:2" x14ac:dyDescent="0.3">
      <c r="B35" s="33" t="s">
        <v>77</v>
      </c>
    </row>
    <row r="36" spans="2:2" x14ac:dyDescent="0.3">
      <c r="B36" s="33" t="s">
        <v>78</v>
      </c>
    </row>
    <row r="38" spans="2:2" x14ac:dyDescent="0.3">
      <c r="B38" s="11" t="s">
        <v>65</v>
      </c>
    </row>
    <row r="39" spans="2:2" x14ac:dyDescent="0.3">
      <c r="B39" s="11" t="s">
        <v>81</v>
      </c>
    </row>
    <row r="40" spans="2:2" x14ac:dyDescent="0.3">
      <c r="B40" s="11" t="s">
        <v>79</v>
      </c>
    </row>
    <row r="41" spans="2:2" x14ac:dyDescent="0.3">
      <c r="B41" s="11" t="s">
        <v>80</v>
      </c>
    </row>
    <row r="42" spans="2:2" x14ac:dyDescent="0.3">
      <c r="B42" s="11" t="s">
        <v>82</v>
      </c>
    </row>
  </sheetData>
  <hyperlinks>
    <hyperlink ref="B38" r:id="rId1"/>
    <hyperlink ref="B40" r:id="rId2"/>
    <hyperlink ref="B41" r:id="rId3"/>
    <hyperlink ref="B39" r:id="rId4"/>
    <hyperlink ref="B42"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20" t="s">
        <v>28</v>
      </c>
      <c r="B1" s="21" t="s">
        <v>29</v>
      </c>
      <c r="C1" s="22" t="s">
        <v>35</v>
      </c>
    </row>
    <row r="2" spans="1:3" x14ac:dyDescent="0.3">
      <c r="A2" s="20" t="s">
        <v>31</v>
      </c>
      <c r="B2" s="23" t="s">
        <v>27</v>
      </c>
      <c r="C2" s="24"/>
    </row>
    <row r="3" spans="1:3" ht="43.2" x14ac:dyDescent="0.3">
      <c r="A3" s="25" t="s">
        <v>30</v>
      </c>
      <c r="B3" s="19" t="s">
        <v>36</v>
      </c>
      <c r="C3" s="26" t="s">
        <v>37</v>
      </c>
    </row>
    <row r="4" spans="1:3" x14ac:dyDescent="0.3">
      <c r="A4" s="27" t="s">
        <v>32</v>
      </c>
      <c r="B4" s="23" t="s">
        <v>26</v>
      </c>
      <c r="C4" s="24"/>
    </row>
    <row r="5" spans="1:3" ht="28.8" x14ac:dyDescent="0.3">
      <c r="A5" s="27" t="s">
        <v>33</v>
      </c>
      <c r="B5" s="18" t="s">
        <v>34</v>
      </c>
      <c r="C5" s="28" t="s">
        <v>38</v>
      </c>
    </row>
    <row r="6" spans="1:3" x14ac:dyDescent="0.3">
      <c r="A6" s="27" t="s">
        <v>39</v>
      </c>
      <c r="B6" s="18" t="s">
        <v>40</v>
      </c>
      <c r="C6" s="28" t="s">
        <v>38</v>
      </c>
    </row>
    <row r="7" spans="1:3" x14ac:dyDescent="0.3">
      <c r="A7" s="27" t="s">
        <v>41</v>
      </c>
      <c r="B7" s="19" t="s">
        <v>42</v>
      </c>
      <c r="C7" s="29" t="s">
        <v>38</v>
      </c>
    </row>
    <row r="8" spans="1:3" x14ac:dyDescent="0.3">
      <c r="A8" s="30" t="s">
        <v>43</v>
      </c>
    </row>
    <row r="9" spans="1:3" x14ac:dyDescent="0.3">
      <c r="B9" s="17"/>
    </row>
    <row r="10" spans="1:3" x14ac:dyDescent="0.3">
      <c r="A10" s="1" t="s">
        <v>23</v>
      </c>
      <c r="B10" s="17"/>
    </row>
    <row r="11" spans="1:3" x14ac:dyDescent="0.3">
      <c r="B11" s="17"/>
    </row>
    <row r="12" spans="1:3" x14ac:dyDescent="0.3">
      <c r="B12" s="17"/>
    </row>
    <row r="13" spans="1:3" x14ac:dyDescent="0.3">
      <c r="B13" s="17"/>
    </row>
    <row r="14" spans="1:3" x14ac:dyDescent="0.3">
      <c r="B14" s="17"/>
    </row>
    <row r="15" spans="1:3" x14ac:dyDescent="0.3">
      <c r="B15" s="17"/>
    </row>
    <row r="16" spans="1:3" x14ac:dyDescent="0.3">
      <c r="B16" s="17"/>
    </row>
    <row r="17" spans="2:2" x14ac:dyDescent="0.3">
      <c r="B17" s="17"/>
    </row>
    <row r="18" spans="2:2" x14ac:dyDescent="0.3">
      <c r="B18" s="17"/>
    </row>
    <row r="19" spans="2:2" x14ac:dyDescent="0.3">
      <c r="B19" s="17"/>
    </row>
    <row r="20" spans="2:2" x14ac:dyDescent="0.3">
      <c r="B20" s="17"/>
    </row>
    <row r="21" spans="2:2" x14ac:dyDescent="0.3">
      <c r="B21" s="17"/>
    </row>
    <row r="22" spans="2:2" x14ac:dyDescent="0.3">
      <c r="B22" s="17"/>
    </row>
    <row r="23" spans="2:2" x14ac:dyDescent="0.3">
      <c r="B23" s="17"/>
    </row>
    <row r="24" spans="2:2" x14ac:dyDescent="0.3">
      <c r="B24" s="17"/>
    </row>
    <row r="25" spans="2:2" x14ac:dyDescent="0.3">
      <c r="B25" s="17"/>
    </row>
    <row r="26" spans="2:2" x14ac:dyDescent="0.3">
      <c r="B26" s="17"/>
    </row>
    <row r="27" spans="2:2" x14ac:dyDescent="0.3">
      <c r="B2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Todd Fojo</cp:lastModifiedBy>
  <dcterms:created xsi:type="dcterms:W3CDTF">2020-05-23T13:38:33Z</dcterms:created>
  <dcterms:modified xsi:type="dcterms:W3CDTF">2022-01-21T18:50:50Z</dcterms:modified>
</cp:coreProperties>
</file>