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0" yWindow="0" windowWidth="10116" windowHeight="5136"/>
  </bookViews>
  <sheets>
    <sheet name="Stratified_Data" sheetId="1" r:id="rId1"/>
    <sheet name="Total_Data" sheetId="4" r:id="rId2"/>
    <sheet name="Comments" sheetId="2" r:id="rId3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Q3" i="1"/>
  <c r="K13" i="1"/>
  <c r="K9" i="1"/>
  <c r="K8" i="1"/>
  <c r="K7" i="1"/>
  <c r="K5" i="1"/>
  <c r="K4" i="1"/>
  <c r="K17" i="1"/>
  <c r="K15" i="1"/>
  <c r="K14" i="1"/>
  <c r="C13" i="1"/>
  <c r="E13" i="1"/>
  <c r="E9" i="1"/>
  <c r="E8" i="1"/>
  <c r="E7" i="1"/>
  <c r="E6" i="1"/>
  <c r="E5" i="1"/>
  <c r="E17" i="1"/>
  <c r="E15" i="1"/>
  <c r="E14" i="1"/>
  <c r="E4" i="1"/>
  <c r="E20" i="1"/>
  <c r="D20" i="1"/>
  <c r="M13" i="1"/>
  <c r="L13" i="1"/>
  <c r="M12" i="1"/>
  <c r="L12" i="1"/>
  <c r="M11" i="1"/>
  <c r="L11" i="1"/>
  <c r="M10" i="1"/>
  <c r="L10" i="1"/>
  <c r="M9" i="1"/>
  <c r="L9" i="1"/>
  <c r="AR13" i="1"/>
  <c r="AR12" i="1"/>
  <c r="AR11" i="1"/>
  <c r="AR10" i="1"/>
  <c r="AR9" i="1"/>
  <c r="AN13" i="1"/>
  <c r="AN12" i="1"/>
  <c r="AN11" i="1"/>
  <c r="AN10" i="1"/>
  <c r="AN9" i="1"/>
  <c r="AO9" i="1"/>
  <c r="AO10" i="1"/>
  <c r="AO11" i="1"/>
  <c r="AO13" i="1"/>
  <c r="AO12" i="1"/>
  <c r="AP13" i="1"/>
  <c r="AP12" i="1"/>
  <c r="AP11" i="1"/>
  <c r="AP10" i="1"/>
  <c r="AP9" i="1"/>
  <c r="AM13" i="1"/>
  <c r="AM12" i="1"/>
  <c r="AM11" i="1"/>
  <c r="AM10" i="1"/>
  <c r="AM9" i="1"/>
  <c r="AJ13" i="1"/>
  <c r="AJ12" i="1"/>
  <c r="AJ11" i="1"/>
  <c r="AJ10" i="1"/>
  <c r="AJ9" i="1"/>
  <c r="AK13" i="1"/>
  <c r="AK12" i="1"/>
  <c r="AK11" i="1"/>
  <c r="AK10" i="1"/>
  <c r="AK9" i="1"/>
  <c r="AI9" i="1"/>
  <c r="AD13" i="1"/>
  <c r="AD12" i="1"/>
  <c r="AD11" i="1"/>
  <c r="AD10" i="1"/>
  <c r="AD9" i="1"/>
  <c r="AF13" i="1"/>
  <c r="AF12" i="1"/>
  <c r="AF11" i="1"/>
  <c r="AF10" i="1"/>
  <c r="AF9" i="1"/>
  <c r="Y13" i="1"/>
  <c r="Y12" i="1"/>
  <c r="Y11" i="1"/>
  <c r="Y10" i="1"/>
  <c r="Y9" i="1"/>
  <c r="Z13" i="1"/>
  <c r="Z12" i="1"/>
  <c r="Z11" i="1"/>
  <c r="Z10" i="1"/>
  <c r="Z9" i="1"/>
  <c r="AA13" i="1"/>
  <c r="AA12" i="1"/>
  <c r="AA11" i="1"/>
  <c r="AA10" i="1"/>
  <c r="AA9" i="1"/>
  <c r="T13" i="1"/>
  <c r="T12" i="1"/>
  <c r="T11" i="1"/>
  <c r="T10" i="1"/>
  <c r="T9" i="1"/>
  <c r="U13" i="1"/>
  <c r="U12" i="1"/>
  <c r="U11" i="1"/>
  <c r="U10" i="1"/>
  <c r="U9" i="1"/>
  <c r="V13" i="1"/>
  <c r="V12" i="1"/>
  <c r="V11" i="1"/>
  <c r="V10" i="1"/>
  <c r="V9" i="1"/>
  <c r="N13" i="1"/>
  <c r="N12" i="1"/>
  <c r="N11" i="1"/>
  <c r="N10" i="1"/>
  <c r="N9" i="1"/>
  <c r="O13" i="1"/>
  <c r="O12" i="1"/>
  <c r="O11" i="1"/>
  <c r="O10" i="1"/>
  <c r="O9" i="1"/>
  <c r="P13" i="1"/>
  <c r="P12" i="1"/>
  <c r="P11" i="1"/>
  <c r="P10" i="1"/>
  <c r="P9" i="1"/>
  <c r="AE13" i="1"/>
  <c r="AE12" i="1"/>
  <c r="AE11" i="1"/>
  <c r="AE10" i="1"/>
  <c r="AE9" i="1"/>
  <c r="AI13" i="1"/>
  <c r="AI12" i="1"/>
  <c r="AI11" i="1"/>
  <c r="AI10" i="1"/>
  <c r="AH13" i="1"/>
  <c r="AH12" i="1"/>
  <c r="AH11" i="1"/>
  <c r="AH10" i="1"/>
  <c r="AH9" i="1"/>
  <c r="AC13" i="1"/>
  <c r="AC12" i="1"/>
  <c r="AC11" i="1"/>
  <c r="AC10" i="1"/>
  <c r="AC9" i="1"/>
  <c r="X13" i="1"/>
  <c r="X12" i="1"/>
  <c r="X11" i="1"/>
  <c r="X10" i="1"/>
  <c r="X9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<sst xmlns="http://schemas.openxmlformats.org/spreadsheetml/2006/main" count="81" uniqueCount="42">
  <si>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</si>
  <si>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</si>
  <si>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</si>
  <si>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</si>
  <si>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</si>
  <si>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</si>
  <si>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</si>
  <si>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</si>
  <si>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</si>
  <si>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</si>
  <si>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</si>
  <si>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</si>
  <si>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</si>
  <si>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</si>
  <si>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</si>
  <si>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</si>
  <si>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</si>
  <si>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</si>
  <si>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</si>
  <si>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</si>
  <si>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</si>
  <si>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</si>
  <si>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</si>
  <si>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</si>
  <si>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>https://www.health.ny.gov/diseases/aids/general/statistics/cascade_reports/docs/linkage_2018.pdf</t>
  </si>
  <si>
    <t>https://www.health.ny.gov/diseases/aids/general/statistics/cascade_reports/docs/linkage_retention_2016.pdf</t>
  </si>
  <si>
    <t>https://www.health.ny.gov/diseases/aids/general/statistics/cascade_reports/docs/linkage_retention_2017.pdf</t>
  </si>
  <si>
    <t>STATE</t>
  </si>
  <si>
    <t>https://www.health.ny.gov/diseases/aids/general/statistics/cascade_reports/docs/cascade_of_care_2018.pdf</t>
  </si>
  <si>
    <t>https://www.health.ny.gov/diseases/aids/general/statistics/cascade_reports/docs/cascade_of_care_2016.pdf</t>
  </si>
  <si>
    <t xml:space="preserve"> </t>
  </si>
  <si>
    <t>file1</t>
  </si>
  <si>
    <t>file2</t>
  </si>
  <si>
    <t>https://www.health.ny.gov/diseases/aids/general/statistics/cascade_reports/index.htm</t>
  </si>
  <si>
    <t>Aware from NYC subset of state level and from NYC reports</t>
  </si>
  <si>
    <t>NYC Reports:</t>
  </si>
  <si>
    <t>https://www1.nyc.gov/site/doh/data/data-sets/hiv-aids-surveillance-and-epidemiology-reports.page</t>
  </si>
  <si>
    <t>State Reports:</t>
  </si>
  <si>
    <t>https://www.health.ny.gov/diseases/aids/general/statistics/</t>
  </si>
  <si>
    <t>Total engaged, suppressed, and prevalent based off of NYC subsets of state data</t>
  </si>
  <si>
    <t>Stratified engaged, suppressed, and prevalent are state totals</t>
  </si>
  <si>
    <t>Linkage, new from NYC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</si>
</sst>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ny.gov/diseases/aids/general/statistics/cascade_reports/docs/linkage_retention_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4.4" x14ac:dyDescent="0.3"/>
  <cols>
    <col min="1" max="1" width="13.33203125" style="1" customWidth="1"/>
  </cols>
  <sheetData>
    <row r="1" spans="1:49" s="1" customFormat="1" x14ac:dyDescent="0.3">
      <c r="A1" s="1" t="s">
        <v>22</v>
      </c>
      <c r="B1" s="1" t="s">
        <v>16</v>
      </c>
      <c r="C1" s="1" t="s">
        <v>21</v>
      </c>
      <c r="D1" s="1" t="s">
        <v>17</v>
      </c>
      <c r="E1" s="1" t="s">
        <v>23</v>
      </c>
      <c r="F1" s="1" t="s">
        <v>18</v>
      </c>
      <c r="G1" s="1" t="s">
        <v>19</v>
      </c>
      <c r="H1" s="1" t="s">
        <v>16</v>
      </c>
      <c r="I1" s="1" t="s">
        <v>21</v>
      </c>
      <c r="J1" s="1" t="s">
        <v>17</v>
      </c>
      <c r="K1" s="1" t="s">
        <v>23</v>
      </c>
      <c r="L1" s="1" t="s">
        <v>18</v>
      </c>
      <c r="M1" s="1" t="s">
        <v>19</v>
      </c>
      <c r="N1" s="1" t="s">
        <v>16</v>
      </c>
      <c r="O1" s="1" t="s">
        <v>21</v>
      </c>
      <c r="P1" s="1" t="s">
        <v>17</v>
      </c>
      <c r="Q1" s="1" t="s">
        <v>23</v>
      </c>
      <c r="R1" s="1" t="s">
        <v>18</v>
      </c>
      <c r="S1" s="1" t="s">
        <v>19</v>
      </c>
      <c r="T1" s="1" t="s">
        <v>16</v>
      </c>
      <c r="U1" s="1" t="s">
        <v>21</v>
      </c>
      <c r="V1" s="1" t="s">
        <v>17</v>
      </c>
      <c r="W1" s="1" t="s">
        <v>18</v>
      </c>
      <c r="X1" s="1" t="s">
        <v>19</v>
      </c>
      <c r="Y1" s="1" t="s">
        <v>16</v>
      </c>
      <c r="Z1" s="1" t="s">
        <v>21</v>
      </c>
      <c r="AA1" s="1" t="s">
        <v>17</v>
      </c>
      <c r="AB1" s="1" t="s">
        <v>18</v>
      </c>
      <c r="AC1" s="1" t="s">
        <v>19</v>
      </c>
      <c r="AD1" s="1" t="s">
        <v>16</v>
      </c>
      <c r="AE1" s="1" t="s">
        <v>21</v>
      </c>
      <c r="AF1" s="1" t="s">
        <v>17</v>
      </c>
      <c r="AG1" s="1" t="s">
        <v>18</v>
      </c>
      <c r="AH1" s="1" t="s">
        <v>19</v>
      </c>
      <c r="AI1" s="1" t="s">
        <v>16</v>
      </c>
      <c r="AJ1" s="1" t="s">
        <v>21</v>
      </c>
      <c r="AK1" s="1" t="s">
        <v>17</v>
      </c>
      <c r="AL1" s="1" t="s">
        <v>18</v>
      </c>
      <c r="AM1" s="1" t="s">
        <v>19</v>
      </c>
      <c r="AN1" s="1" t="s">
        <v>16</v>
      </c>
      <c r="AO1" s="1" t="s">
        <v>21</v>
      </c>
      <c r="AP1" s="1" t="s">
        <v>17</v>
      </c>
      <c r="AQ1" s="1" t="s">
        <v>18</v>
      </c>
      <c r="AR1" s="1" t="s">
        <v>19</v>
      </c>
    </row>
    <row r="2" spans="1:49" s="1" customFormat="1" x14ac:dyDescent="0.3">
      <c r="A2" s="1" t="s">
        <v>15</v>
      </c>
      <c r="B2" s="1">
        <v>2019</v>
      </c>
      <c r="C2" s="1">
        <v>2019</v>
      </c>
      <c r="D2" s="1">
        <v>2019</v>
      </c>
      <c r="E2" s="1">
        <v>2019</v>
      </c>
      <c r="F2" s="1">
        <v>2019</v>
      </c>
      <c r="G2" s="1">
        <v>2019</v>
      </c>
      <c r="H2" s="1">
        <v>2018</v>
      </c>
      <c r="I2" s="1">
        <v>2018</v>
      </c>
      <c r="J2" s="1">
        <v>2018</v>
      </c>
      <c r="K2" s="1">
        <v>2018</v>
      </c>
      <c r="L2" s="1">
        <v>2018</v>
      </c>
      <c r="M2" s="1">
        <v>2018</v>
      </c>
      <c r="N2" s="1">
        <v>2017</v>
      </c>
      <c r="O2" s="1">
        <v>2017</v>
      </c>
      <c r="P2" s="1">
        <v>2017</v>
      </c>
      <c r="Q2" s="1">
        <v>2017</v>
      </c>
      <c r="R2" s="1">
        <v>2017</v>
      </c>
      <c r="S2" s="1">
        <v>2017</v>
      </c>
      <c r="T2" s="1">
        <v>2016</v>
      </c>
      <c r="U2" s="1">
        <v>2016</v>
      </c>
      <c r="V2" s="1">
        <v>2016</v>
      </c>
      <c r="W2" s="1">
        <v>2016</v>
      </c>
      <c r="X2" s="1">
        <v>2016</v>
      </c>
      <c r="Y2" s="1">
        <v>2015</v>
      </c>
      <c r="Z2" s="1">
        <v>2015</v>
      </c>
      <c r="AA2" s="1">
        <v>2015</v>
      </c>
      <c r="AB2" s="1">
        <v>2015</v>
      </c>
      <c r="AC2" s="1">
        <v>2015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2013</v>
      </c>
      <c r="AJ2" s="1">
        <v>2013</v>
      </c>
      <c r="AK2" s="1">
        <v>2013</v>
      </c>
      <c r="AL2" s="1">
        <v>2013</v>
      </c>
      <c r="AM2" s="1">
        <v>2013</v>
      </c>
      <c r="AN2" s="1">
        <v>2012</v>
      </c>
      <c r="AO2" s="1">
        <v>2012</v>
      </c>
      <c r="AP2" s="1">
        <v>2012</v>
      </c>
      <c r="AQ2" s="1">
        <v>2012</v>
      </c>
      <c r="AR2" s="1">
        <v>2012</v>
      </c>
    </row>
    <row r="3" spans="1:49" s="5" customFormat="1" x14ac:dyDescent="0.3">
      <c r="A3" s="4" t="s">
        <v>0</v>
      </c>
      <c r="B3" s="5">
        <v>0.77</v>
      </c>
      <c r="C3" s="5">
        <v>0.86</v>
      </c>
      <c r="D3" s="5">
        <v>107600</v>
      </c>
      <c r="E3" s="5">
        <v>0.91</v>
      </c>
      <c r="H3" s="5">
        <v>0.75</v>
      </c>
      <c r="I3" s="5">
        <v>0.84</v>
      </c>
      <c r="J3" s="5">
        <v>108700</v>
      </c>
      <c r="K3" s="5">
        <v>0.91</v>
      </c>
      <c r="L3" s="5">
        <v>0.84</v>
      </c>
      <c r="M3" s="5">
        <v>1917</v>
      </c>
      <c r="N3" s="5">
        <v>0.72</v>
      </c>
      <c r="O3" s="5">
        <v>0.83</v>
      </c>
      <c r="P3" s="5">
        <v>111500</v>
      </c>
      <c r="Q3" s="5">
        <f>1-0.091</f>
        <v>0.90900000000000003</v>
      </c>
      <c r="R3" s="5">
        <v>0.81</v>
      </c>
      <c r="S3" s="5">
        <v>2157</v>
      </c>
      <c r="T3" s="5">
        <v>0.7</v>
      </c>
      <c r="U3" s="5">
        <v>0.82</v>
      </c>
      <c r="V3" s="5">
        <v>85774</v>
      </c>
      <c r="W3" s="5">
        <v>0.72</v>
      </c>
      <c r="X3" s="5">
        <v>2279</v>
      </c>
      <c r="Y3" s="5">
        <v>0.67</v>
      </c>
      <c r="Z3" s="5">
        <v>0.81</v>
      </c>
      <c r="AA3" s="5">
        <v>85182</v>
      </c>
      <c r="AB3" s="5">
        <v>0.71</v>
      </c>
      <c r="AC3" s="5">
        <v>2493</v>
      </c>
      <c r="AD3" s="5">
        <v>0.69</v>
      </c>
      <c r="AE3" s="5">
        <v>0.81</v>
      </c>
      <c r="AF3" s="5">
        <v>70478</v>
      </c>
      <c r="AG3" s="5">
        <v>0.72</v>
      </c>
      <c r="AH3" s="5">
        <v>2718</v>
      </c>
      <c r="AI3" s="5">
        <v>0.62</v>
      </c>
      <c r="AJ3" s="5">
        <v>0.78</v>
      </c>
      <c r="AK3" s="5">
        <v>87830</v>
      </c>
      <c r="AL3" s="5">
        <v>0.72</v>
      </c>
      <c r="AM3" s="5">
        <v>2832</v>
      </c>
      <c r="AN3" s="5">
        <v>0.51</v>
      </c>
      <c r="AO3" s="5">
        <v>0.65</v>
      </c>
      <c r="AP3" s="5">
        <v>100457</v>
      </c>
      <c r="AR3" s="5">
        <v>3141</v>
      </c>
    </row>
    <row r="4" spans="1:49" s="7" customFormat="1" x14ac:dyDescent="0.3">
      <c r="A4" s="6" t="s">
        <v>1</v>
      </c>
      <c r="B4" s="7">
        <v>0.73</v>
      </c>
      <c r="C4" s="7">
        <v>0.85</v>
      </c>
      <c r="D4" s="7">
        <v>43000</v>
      </c>
      <c r="E4" s="7">
        <f>1-0.14</f>
        <v>0.86</v>
      </c>
      <c r="H4" s="7">
        <v>0.72</v>
      </c>
      <c r="I4" s="7">
        <v>0.84</v>
      </c>
      <c r="J4" s="7">
        <v>43400</v>
      </c>
      <c r="K4" s="7">
        <f>1-0.148</f>
        <v>0.85199999999999998</v>
      </c>
      <c r="L4" s="7">
        <v>0.81</v>
      </c>
      <c r="M4" s="7">
        <v>879</v>
      </c>
      <c r="N4" s="7">
        <v>0.69</v>
      </c>
      <c r="O4" s="7">
        <v>0.83</v>
      </c>
      <c r="P4" s="7">
        <v>43223</v>
      </c>
      <c r="R4" s="7">
        <v>0.78</v>
      </c>
      <c r="S4" s="7">
        <v>919</v>
      </c>
      <c r="T4" s="7">
        <v>0.66</v>
      </c>
      <c r="U4" s="7">
        <v>0.8</v>
      </c>
      <c r="V4" s="7">
        <v>44030</v>
      </c>
      <c r="W4" s="7">
        <v>0.68</v>
      </c>
      <c r="X4" s="7">
        <v>991</v>
      </c>
      <c r="Y4" s="7">
        <v>0.64</v>
      </c>
      <c r="Z4" s="7">
        <v>0.81</v>
      </c>
      <c r="AA4" s="7">
        <v>44447</v>
      </c>
      <c r="AB4" s="7">
        <v>0.67</v>
      </c>
      <c r="AC4" s="7">
        <v>1040</v>
      </c>
      <c r="AD4" s="7">
        <v>0.64</v>
      </c>
      <c r="AE4" s="7">
        <v>0.8</v>
      </c>
      <c r="AF4" s="7">
        <v>45132</v>
      </c>
      <c r="AG4" s="7">
        <v>0.71</v>
      </c>
      <c r="AH4" s="7">
        <v>1193</v>
      </c>
      <c r="AI4" s="7">
        <v>0.59</v>
      </c>
      <c r="AJ4" s="7">
        <v>0.78</v>
      </c>
      <c r="AK4" s="7">
        <v>46345</v>
      </c>
      <c r="AL4" s="7">
        <v>0.7</v>
      </c>
      <c r="AM4" s="7">
        <v>1191</v>
      </c>
      <c r="AN4" s="7">
        <v>0.48</v>
      </c>
      <c r="AO4" s="7">
        <v>0.65</v>
      </c>
      <c r="AP4" s="7">
        <v>53365</v>
      </c>
      <c r="AR4" s="7">
        <v>1394</v>
      </c>
    </row>
    <row r="5" spans="1:49" s="9" customFormat="1" x14ac:dyDescent="0.3">
      <c r="A5" s="8" t="s">
        <v>2</v>
      </c>
      <c r="B5" s="9">
        <v>0.77</v>
      </c>
      <c r="C5" s="9">
        <v>0.87</v>
      </c>
      <c r="D5" s="9">
        <v>35700</v>
      </c>
      <c r="E5" s="9">
        <f>1-0.167</f>
        <v>0.83299999999999996</v>
      </c>
      <c r="F5" s="10"/>
      <c r="G5" s="10"/>
      <c r="H5" s="9">
        <v>0.76</v>
      </c>
      <c r="I5" s="9">
        <v>0.85</v>
      </c>
      <c r="J5" s="9">
        <v>35700</v>
      </c>
      <c r="K5" s="9">
        <f>1-0.167</f>
        <v>0.83299999999999996</v>
      </c>
      <c r="L5" s="10">
        <v>0.86</v>
      </c>
      <c r="M5" s="10">
        <v>697</v>
      </c>
      <c r="N5" s="10">
        <v>0.73</v>
      </c>
      <c r="O5" s="10">
        <v>0.84</v>
      </c>
      <c r="P5" s="10">
        <v>35313</v>
      </c>
      <c r="Q5" s="10"/>
      <c r="R5" s="10">
        <v>0.79</v>
      </c>
      <c r="S5" s="10">
        <v>774</v>
      </c>
      <c r="T5" s="9">
        <v>0.7</v>
      </c>
      <c r="U5" s="10">
        <v>0.81</v>
      </c>
      <c r="V5" s="10">
        <v>35385</v>
      </c>
      <c r="W5" s="10">
        <v>0.76</v>
      </c>
      <c r="X5" s="10">
        <v>768</v>
      </c>
      <c r="Y5" s="10">
        <v>0.68</v>
      </c>
      <c r="Z5" s="10">
        <v>0.81</v>
      </c>
      <c r="AA5" s="10">
        <v>34756</v>
      </c>
      <c r="AB5" s="10">
        <v>0.75</v>
      </c>
      <c r="AC5" s="10">
        <v>902</v>
      </c>
      <c r="AD5" s="10">
        <v>0.68</v>
      </c>
      <c r="AE5" s="10">
        <v>0.81</v>
      </c>
      <c r="AF5" s="10">
        <v>34750</v>
      </c>
      <c r="AG5" s="10">
        <v>0.71</v>
      </c>
      <c r="AH5" s="10">
        <v>875</v>
      </c>
      <c r="AI5" s="10">
        <v>0.62</v>
      </c>
      <c r="AJ5" s="10">
        <v>0.78</v>
      </c>
      <c r="AK5" s="10">
        <v>34610</v>
      </c>
      <c r="AL5" s="10">
        <v>0.74</v>
      </c>
      <c r="AM5" s="10">
        <v>955</v>
      </c>
      <c r="AN5" s="10">
        <v>0.5</v>
      </c>
      <c r="AO5" s="10">
        <v>0.64</v>
      </c>
      <c r="AP5" s="10">
        <v>40546</v>
      </c>
      <c r="AR5" s="10">
        <v>1019</v>
      </c>
      <c r="AS5" s="10"/>
      <c r="AU5" s="10"/>
      <c r="AV5" s="10"/>
      <c r="AW5" s="10"/>
    </row>
    <row r="6" spans="1:49" s="3" customFormat="1" x14ac:dyDescent="0.3">
      <c r="A6" s="2" t="s">
        <v>3</v>
      </c>
      <c r="B6" s="3">
        <v>0.81</v>
      </c>
      <c r="C6" s="3">
        <v>0.85</v>
      </c>
      <c r="D6" s="3">
        <v>20500</v>
      </c>
      <c r="E6" s="3">
        <f>1-0.113</f>
        <v>0.88700000000000001</v>
      </c>
      <c r="L6" s="3">
        <v>0.86</v>
      </c>
      <c r="M6" s="3">
        <v>219</v>
      </c>
      <c r="N6" s="3">
        <v>0.77</v>
      </c>
      <c r="O6" s="3">
        <v>0.81</v>
      </c>
      <c r="P6" s="3">
        <v>21753</v>
      </c>
      <c r="R6" s="3">
        <v>0.86</v>
      </c>
      <c r="S6" s="3">
        <v>316</v>
      </c>
      <c r="T6" s="3">
        <v>0.74</v>
      </c>
      <c r="U6" s="3">
        <v>0.79</v>
      </c>
      <c r="V6" s="3">
        <v>22414</v>
      </c>
      <c r="W6" s="3">
        <v>0.75</v>
      </c>
      <c r="X6" s="3">
        <v>352</v>
      </c>
      <c r="Y6" s="3">
        <v>0.72</v>
      </c>
      <c r="Z6" s="3">
        <v>0.79</v>
      </c>
      <c r="AA6" s="3">
        <v>22221</v>
      </c>
      <c r="AB6" s="3">
        <v>0.74</v>
      </c>
      <c r="AC6" s="3">
        <v>413</v>
      </c>
      <c r="AD6" s="3">
        <v>0.74</v>
      </c>
      <c r="AE6" s="3">
        <v>0.8</v>
      </c>
      <c r="AF6" s="3">
        <v>22302</v>
      </c>
      <c r="AG6" s="3">
        <v>0.74</v>
      </c>
      <c r="AH6" s="3">
        <v>500</v>
      </c>
      <c r="AI6" s="3">
        <v>0.7</v>
      </c>
      <c r="AJ6" s="3">
        <v>0.77</v>
      </c>
      <c r="AK6" s="3">
        <v>22998</v>
      </c>
      <c r="AL6" s="3">
        <v>0.72</v>
      </c>
      <c r="AM6" s="3">
        <v>517</v>
      </c>
      <c r="AN6" s="3">
        <v>0.56000000000000005</v>
      </c>
      <c r="AO6" s="3">
        <v>0.64</v>
      </c>
      <c r="AP6" s="3">
        <v>26615</v>
      </c>
      <c r="AR6" s="3">
        <v>611</v>
      </c>
    </row>
    <row r="7" spans="1:49" s="7" customFormat="1" x14ac:dyDescent="0.3">
      <c r="A7" s="6" t="s">
        <v>4</v>
      </c>
      <c r="B7" s="7">
        <v>0.76</v>
      </c>
      <c r="C7" s="7">
        <v>0.85</v>
      </c>
      <c r="D7" s="7">
        <v>77400</v>
      </c>
      <c r="E7" s="7">
        <f>1-0.147</f>
        <v>0.85299999999999998</v>
      </c>
      <c r="H7" s="7">
        <v>0.75</v>
      </c>
      <c r="I7" s="7">
        <v>0.84</v>
      </c>
      <c r="J7" s="7">
        <v>77900</v>
      </c>
      <c r="K7" s="7">
        <f>1-0.152</f>
        <v>0.84799999999999998</v>
      </c>
      <c r="L7" s="7">
        <v>0.85</v>
      </c>
      <c r="M7" s="7">
        <v>1484</v>
      </c>
      <c r="N7" s="7">
        <v>0.72</v>
      </c>
      <c r="O7" s="7">
        <v>0.82</v>
      </c>
      <c r="P7" s="7">
        <v>77601</v>
      </c>
      <c r="R7" s="7">
        <v>0.81</v>
      </c>
      <c r="S7" s="7">
        <v>1707</v>
      </c>
      <c r="T7" s="7">
        <v>0.7</v>
      </c>
      <c r="U7" s="7">
        <v>0.8</v>
      </c>
      <c r="V7" s="7">
        <v>78179</v>
      </c>
      <c r="W7" s="7">
        <v>0.72</v>
      </c>
      <c r="X7" s="7">
        <v>1771</v>
      </c>
      <c r="Y7" s="7">
        <v>0.67</v>
      </c>
      <c r="Z7" s="7">
        <v>0.8</v>
      </c>
      <c r="AA7" s="7">
        <v>76882</v>
      </c>
      <c r="AB7" s="7">
        <v>0.72</v>
      </c>
      <c r="AC7" s="7">
        <v>2010</v>
      </c>
      <c r="AD7" s="7">
        <v>0.68</v>
      </c>
      <c r="AE7" s="7">
        <v>0.8</v>
      </c>
      <c r="AF7" s="7">
        <v>77169</v>
      </c>
      <c r="AG7" s="7">
        <v>0.72</v>
      </c>
      <c r="AH7" s="7">
        <v>2194</v>
      </c>
      <c r="AI7" s="7">
        <v>0.63</v>
      </c>
      <c r="AJ7" s="7">
        <v>0.77</v>
      </c>
      <c r="AK7" s="7">
        <v>77664</v>
      </c>
      <c r="AL7" s="7">
        <v>0.71</v>
      </c>
      <c r="AM7" s="7">
        <v>2280</v>
      </c>
      <c r="AN7" s="7">
        <v>0.51</v>
      </c>
      <c r="AO7" s="7">
        <v>0.63</v>
      </c>
      <c r="AP7" s="7">
        <v>88987</v>
      </c>
      <c r="AR7" s="7">
        <v>2494</v>
      </c>
    </row>
    <row r="8" spans="1:49" s="3" customFormat="1" x14ac:dyDescent="0.3">
      <c r="A8" s="2" t="s">
        <v>5</v>
      </c>
      <c r="B8" s="3">
        <v>0.77</v>
      </c>
      <c r="C8" s="3">
        <v>0.87</v>
      </c>
      <c r="D8" s="3">
        <v>30200</v>
      </c>
      <c r="E8" s="3">
        <f>1-0.105</f>
        <v>0.89500000000000002</v>
      </c>
      <c r="H8" s="3">
        <v>0.75</v>
      </c>
      <c r="I8" s="3">
        <v>0.86</v>
      </c>
      <c r="J8" s="3">
        <v>30800</v>
      </c>
      <c r="K8" s="3">
        <f>1-0.112</f>
        <v>0.88800000000000001</v>
      </c>
      <c r="L8" s="3">
        <v>0.79</v>
      </c>
      <c r="M8" s="3">
        <v>374</v>
      </c>
      <c r="N8" s="3">
        <v>0.73</v>
      </c>
      <c r="O8" s="3">
        <v>0.85</v>
      </c>
      <c r="P8" s="3">
        <v>30954</v>
      </c>
      <c r="R8" s="3">
        <v>0.75</v>
      </c>
      <c r="S8" s="3">
        <v>394</v>
      </c>
      <c r="T8" s="3">
        <v>0.7</v>
      </c>
      <c r="U8" s="3">
        <v>0.82</v>
      </c>
      <c r="V8" s="3">
        <v>31683</v>
      </c>
      <c r="W8" s="3">
        <v>0.73</v>
      </c>
      <c r="X8" s="3">
        <v>462</v>
      </c>
      <c r="Y8" s="3">
        <v>0.67</v>
      </c>
      <c r="Z8" s="3">
        <v>0.83</v>
      </c>
      <c r="AA8" s="3">
        <v>31751</v>
      </c>
      <c r="AB8" s="3">
        <v>0.7</v>
      </c>
      <c r="AC8" s="3">
        <v>441</v>
      </c>
      <c r="AD8" s="3">
        <v>0.68</v>
      </c>
      <c r="AE8" s="3">
        <v>0.83</v>
      </c>
      <c r="AF8" s="3">
        <v>32089</v>
      </c>
      <c r="AG8" s="3">
        <v>0.72</v>
      </c>
      <c r="AH8" s="3">
        <v>524</v>
      </c>
      <c r="AI8" s="3">
        <v>0.63</v>
      </c>
      <c r="AJ8" s="3">
        <v>0.81</v>
      </c>
      <c r="AK8" s="3">
        <v>32875</v>
      </c>
      <c r="AL8" s="3">
        <v>0.74</v>
      </c>
      <c r="AM8" s="3">
        <v>552</v>
      </c>
      <c r="AN8" s="3">
        <v>0.52</v>
      </c>
      <c r="AO8" s="3">
        <v>0.69</v>
      </c>
      <c r="AP8" s="3">
        <v>37890</v>
      </c>
      <c r="AR8" s="3">
        <v>647</v>
      </c>
    </row>
    <row r="9" spans="1:49" s="7" customFormat="1" x14ac:dyDescent="0.3">
      <c r="A9" s="6" t="s">
        <v>6</v>
      </c>
      <c r="B9" s="7">
        <v>0.7</v>
      </c>
      <c r="C9" s="7">
        <v>0.85</v>
      </c>
      <c r="D9" s="7">
        <v>2400</v>
      </c>
      <c r="E9" s="7">
        <f>1-0.449</f>
        <v>0.55099999999999993</v>
      </c>
      <c r="H9" s="7">
        <v>0.67</v>
      </c>
      <c r="I9" s="7">
        <v>0.85</v>
      </c>
      <c r="J9" s="7">
        <v>2600</v>
      </c>
      <c r="K9" s="7">
        <f>1-0.44</f>
        <v>0.56000000000000005</v>
      </c>
      <c r="L9" s="7">
        <f>(0.83*70+0.86*670/2)/M9</f>
        <v>0.85481481481481492</v>
      </c>
      <c r="M9" s="7">
        <f>70+670/2</f>
        <v>405</v>
      </c>
      <c r="N9" s="7">
        <f>(262+1330)/P9</f>
        <v>0.63578274760383391</v>
      </c>
      <c r="O9" s="7">
        <f>(330+1776)/P9</f>
        <v>0.84105431309904155</v>
      </c>
      <c r="P9" s="7">
        <f>374+2130</f>
        <v>2504</v>
      </c>
      <c r="R9" s="7">
        <v>0.82</v>
      </c>
      <c r="S9" s="7">
        <f>80+806/2</f>
        <v>483</v>
      </c>
      <c r="T9" s="7">
        <f>(299+1371)/V9</f>
        <v>0.58989756269869309</v>
      </c>
      <c r="U9" s="7">
        <f>(398+1873)/V9</f>
        <v>0.80219003885552809</v>
      </c>
      <c r="V9" s="7">
        <f>463+2368</f>
        <v>2831</v>
      </c>
      <c r="W9" s="7">
        <v>0.71</v>
      </c>
      <c r="X9" s="7">
        <f>79+803/2</f>
        <v>480.5</v>
      </c>
      <c r="Y9" s="7">
        <f>(331+1373)/AA9</f>
        <v>0.54562920268972137</v>
      </c>
      <c r="Z9" s="7">
        <f>(489+2041)/AA9</f>
        <v>0.81011847582452767</v>
      </c>
      <c r="AA9" s="7">
        <f>572+2551</f>
        <v>3123</v>
      </c>
      <c r="AB9" s="7">
        <v>0.68</v>
      </c>
      <c r="AC9" s="7">
        <f>83+896/2</f>
        <v>531</v>
      </c>
      <c r="AD9" s="7">
        <f>(400+1537)/AF9</f>
        <v>0.54779411764705888</v>
      </c>
      <c r="AE9" s="7">
        <f>(602+2229)/(709+2827)</f>
        <v>0.8006221719457014</v>
      </c>
      <c r="AF9" s="7">
        <f>709+2827</f>
        <v>3536</v>
      </c>
      <c r="AG9" s="7">
        <v>0.66</v>
      </c>
      <c r="AH9" s="7">
        <f>104+915/2</f>
        <v>561.5</v>
      </c>
      <c r="AI9" s="7">
        <f>(0.56*400+0.54*1537)/(400+1537)</f>
        <v>0.54413009808982959</v>
      </c>
      <c r="AJ9" s="7">
        <f>(591+2238)/AK9</f>
        <v>0.77000544365813828</v>
      </c>
      <c r="AK9" s="7">
        <f>707+2967</f>
        <v>3674</v>
      </c>
      <c r="AL9" s="7">
        <v>0.72</v>
      </c>
      <c r="AM9" s="7">
        <f>114+1006/2</f>
        <v>617</v>
      </c>
      <c r="AN9" s="7">
        <f>(497+1227)/AP9</f>
        <v>0.42369132464979109</v>
      </c>
      <c r="AO9" s="7">
        <f>(821+2189)/AP9</f>
        <v>0.73973949373310399</v>
      </c>
      <c r="AP9" s="7">
        <f>1054+3015</f>
        <v>4069</v>
      </c>
      <c r="AR9" s="7">
        <f>141+1073/2</f>
        <v>677.5</v>
      </c>
    </row>
    <row r="10" spans="1:49" s="9" customFormat="1" x14ac:dyDescent="0.3">
      <c r="A10" s="8" t="s">
        <v>7</v>
      </c>
      <c r="B10" s="10"/>
      <c r="F10" s="10"/>
      <c r="H10" s="10"/>
      <c r="L10" s="10">
        <f>(0.86*670/2+0.83*517/2)/M10</f>
        <v>0.846933445661331</v>
      </c>
      <c r="M10" s="9">
        <f>670/2+517/2</f>
        <v>593.5</v>
      </c>
      <c r="N10" s="10">
        <f>(4103+11335/2)/P10</f>
        <v>0.63909602302459445</v>
      </c>
      <c r="O10" s="10">
        <f>(5154+13492/2)/P10</f>
        <v>0.7783882783882784</v>
      </c>
      <c r="P10" s="9">
        <f>6503+17570/2</f>
        <v>15288</v>
      </c>
      <c r="R10" s="9">
        <v>0.8</v>
      </c>
      <c r="S10" s="9">
        <f>806/2+597/2</f>
        <v>701.5</v>
      </c>
      <c r="T10" s="10">
        <f>(4040+10739/2)/V10</f>
        <v>0.61491961835054243</v>
      </c>
      <c r="U10" s="10">
        <f>(5103+12920/2)/V10</f>
        <v>0.75565285583583841</v>
      </c>
      <c r="V10" s="10">
        <f>6661+17282/2</f>
        <v>15302</v>
      </c>
      <c r="W10" s="10">
        <v>0.72</v>
      </c>
      <c r="X10" s="9">
        <f>803/2+603/2</f>
        <v>703</v>
      </c>
      <c r="Y10" s="10">
        <f>(3772+9944/2)/AA10</f>
        <v>0.58808891280223285</v>
      </c>
      <c r="Z10" s="10">
        <f>(4971+12489/2)/AA10</f>
        <v>0.75431280895853647</v>
      </c>
      <c r="AA10" s="9">
        <f>6518+16701/2</f>
        <v>14868.5</v>
      </c>
      <c r="AB10" s="10">
        <v>0.73</v>
      </c>
      <c r="AC10" s="9">
        <f>896/2+637/2</f>
        <v>766.5</v>
      </c>
      <c r="AD10" s="10">
        <f>(3603+9809/2)/AF10</f>
        <v>0.58121263877028184</v>
      </c>
      <c r="AE10" s="10">
        <f>(4813+12332/2)/(6399+16477/2)</f>
        <v>0.75005977796754908</v>
      </c>
      <c r="AF10" s="9">
        <f>6399+16477/2</f>
        <v>14637.5</v>
      </c>
      <c r="AG10" s="10">
        <v>0.73</v>
      </c>
      <c r="AH10" s="9">
        <f>915/2+719/2</f>
        <v>817</v>
      </c>
      <c r="AI10" s="9">
        <f>(0.56*3603+0.6*9809/2)/(3603+9809/2)</f>
        <v>0.58305965324713493</v>
      </c>
      <c r="AJ10" s="9">
        <f>(4357+11967/2)/AK10</f>
        <v>0.71308875249982762</v>
      </c>
      <c r="AK10" s="9">
        <f>6080+16842/2</f>
        <v>14501</v>
      </c>
      <c r="AL10" s="10">
        <v>0.69</v>
      </c>
      <c r="AM10" s="9">
        <f>1006/2+662/2</f>
        <v>834</v>
      </c>
      <c r="AN10" s="10">
        <f>(2520+8150/2)/AP10</f>
        <v>0.46917796037420412</v>
      </c>
      <c r="AO10" s="9">
        <f>(3779+11107/2)/AP10</f>
        <v>0.66392772027176039</v>
      </c>
      <c r="AP10" s="9">
        <f>5464+17185/2</f>
        <v>14056.5</v>
      </c>
      <c r="AQ10" s="10"/>
      <c r="AR10" s="9">
        <f>1073/2+762/2</f>
        <v>917.5</v>
      </c>
      <c r="AS10" s="10"/>
      <c r="AV10" s="10"/>
    </row>
    <row r="11" spans="1:49" s="9" customFormat="1" x14ac:dyDescent="0.3">
      <c r="A11" s="8" t="s">
        <v>8</v>
      </c>
      <c r="C11" s="10"/>
      <c r="I11" s="10"/>
      <c r="L11" s="9">
        <f>(0.83*517/2+0.8*276/2)/M11</f>
        <v>0.81955863808322815</v>
      </c>
      <c r="M11" s="9">
        <f>517/2+276/2</f>
        <v>396.5</v>
      </c>
      <c r="N11" s="9">
        <f>(11335/2+15875/2)/P11</f>
        <v>0.67448316890585491</v>
      </c>
      <c r="O11" s="9">
        <f>(13492/2+18400/2)/P11</f>
        <v>0.79054087551435226</v>
      </c>
      <c r="P11" s="9">
        <f>17570/2+22772/2</f>
        <v>20171</v>
      </c>
      <c r="R11" s="9">
        <v>0.77</v>
      </c>
      <c r="S11" s="9">
        <f>597/2+309/2</f>
        <v>453</v>
      </c>
      <c r="T11" s="9">
        <f>(10739/2+16720/2)/V11</f>
        <v>0.65243424335305433</v>
      </c>
      <c r="U11" s="9">
        <f>(12920/2+19569/2)/V11</f>
        <v>0.77194858269774513</v>
      </c>
      <c r="V11" s="9">
        <f>17282/2+24805/2</f>
        <v>21043.5</v>
      </c>
      <c r="W11" s="10">
        <v>0.72</v>
      </c>
      <c r="X11" s="10">
        <f>603/2+408/2</f>
        <v>505.5</v>
      </c>
      <c r="Y11" s="10">
        <f>(9944/2+17378/2)/AA11</f>
        <v>0.6315327184892402</v>
      </c>
      <c r="Z11" s="10">
        <f>(12489/2+21090/2)/AA11</f>
        <v>0.77615976700644895</v>
      </c>
      <c r="AA11" s="9">
        <f>16701/2+26562/2</f>
        <v>21631.5</v>
      </c>
      <c r="AB11" s="10">
        <v>0.71</v>
      </c>
      <c r="AC11" s="9">
        <f>637/2+420/2</f>
        <v>528.5</v>
      </c>
      <c r="AD11" s="10">
        <f>(9809/2+19159/2)/AF11</f>
        <v>0.63866657847741248</v>
      </c>
      <c r="AE11" s="10">
        <f>(12332/2+23010/2)/(16477/2+28880/2)</f>
        <v>0.77919615494851957</v>
      </c>
      <c r="AF11" s="9">
        <f>16477/2+28880/2</f>
        <v>22678.5</v>
      </c>
      <c r="AG11" s="10">
        <v>0.73</v>
      </c>
      <c r="AH11" s="9">
        <f>719/2+515/2</f>
        <v>617</v>
      </c>
      <c r="AI11" s="9">
        <f>(0.6*9809/2+0.66*19159/2)/(9809/2+19159/2)</f>
        <v>0.63968309859154926</v>
      </c>
      <c r="AJ11" s="9">
        <f>(11967/2+24546/2)/AK11</f>
        <v>0.74725252235843076</v>
      </c>
      <c r="AK11" s="9">
        <f>16842/2+32021/2</f>
        <v>24431.5</v>
      </c>
      <c r="AL11" s="10">
        <v>0.74</v>
      </c>
      <c r="AM11" s="9">
        <f>662/2+589/2</f>
        <v>625.5</v>
      </c>
      <c r="AN11" s="10">
        <f>(8150/2+19857/2)/AP11</f>
        <v>0.49784026876655352</v>
      </c>
      <c r="AO11" s="9">
        <f>(11107/2+25510/2)/AP11</f>
        <v>0.65088788950708354</v>
      </c>
      <c r="AP11" s="9">
        <f>17185/2+39072/2</f>
        <v>28128.5</v>
      </c>
      <c r="AQ11" s="10"/>
      <c r="AR11" s="9">
        <f>762/2+643/2</f>
        <v>702.5</v>
      </c>
      <c r="AS11" s="10"/>
      <c r="AV11" s="10"/>
    </row>
    <row r="12" spans="1:49" s="9" customFormat="1" x14ac:dyDescent="0.3">
      <c r="A12" s="8" t="s">
        <v>9</v>
      </c>
      <c r="L12" s="9">
        <f>(0.8*276/2+0.84*260/2)/M12</f>
        <v>0.81940298507462694</v>
      </c>
      <c r="M12" s="9">
        <f>276/2+260/2</f>
        <v>268</v>
      </c>
      <c r="N12" s="10">
        <f>(15875/2+26566/2)/P12</f>
        <v>0.72961543089962011</v>
      </c>
      <c r="O12" s="9">
        <f>(18400/2+30036/2)/P12</f>
        <v>0.83267719919544769</v>
      </c>
      <c r="P12" s="9">
        <f>22772/2+35397/2</f>
        <v>29084.5</v>
      </c>
      <c r="R12" s="10">
        <v>0.81</v>
      </c>
      <c r="S12" s="9">
        <f>309/2+238/2</f>
        <v>273.5</v>
      </c>
      <c r="T12" s="10">
        <f>(16720/2+26371/2)/V12</f>
        <v>0.70642141674453685</v>
      </c>
      <c r="U12" s="9">
        <f>(19569/2+29911/2)/V12</f>
        <v>0.81116083870227385</v>
      </c>
      <c r="V12" s="10">
        <f>24805/2+36194/2</f>
        <v>30499.5</v>
      </c>
      <c r="W12" s="10">
        <v>0.74</v>
      </c>
      <c r="X12" s="9">
        <f>408/2+263/2</f>
        <v>335.5</v>
      </c>
      <c r="Y12" s="9">
        <f>(17378/2+25428/2)/AA12</f>
        <v>0.6861145394220135</v>
      </c>
      <c r="Z12" s="10">
        <f>(21090/2+29680/2)/AA12</f>
        <v>0.81376524707881193</v>
      </c>
      <c r="AA12" s="9">
        <f>26562/2+35827/2</f>
        <v>31194.5</v>
      </c>
      <c r="AB12" s="10">
        <v>0.69</v>
      </c>
      <c r="AC12" s="9">
        <f>420/2+308/2</f>
        <v>364</v>
      </c>
      <c r="AD12" s="9">
        <f>(19159/2+25521/2)/AF12</f>
        <v>0.6931968039717632</v>
      </c>
      <c r="AE12" s="9">
        <f>(23010/2+29635/2)/(28880/2+35575/2)</f>
        <v>0.81677139089287099</v>
      </c>
      <c r="AF12" s="9">
        <f>28880/2+35575/2</f>
        <v>32227.5</v>
      </c>
      <c r="AG12" s="10">
        <v>0.75</v>
      </c>
      <c r="AH12" s="9">
        <f>515/2+316/2</f>
        <v>415.5</v>
      </c>
      <c r="AI12" s="9">
        <f>(0.66*19159/2+0.72*25521/2)/(19159/2+25521/2)</f>
        <v>0.69427170993733212</v>
      </c>
      <c r="AJ12" s="9">
        <f>(24456/2+28489/2)/AK12</f>
        <v>0.788399970218152</v>
      </c>
      <c r="AK12" s="9">
        <f>32021/2+35134/2</f>
        <v>33577.5</v>
      </c>
      <c r="AL12" s="10">
        <v>0.73</v>
      </c>
      <c r="AM12" s="9">
        <f>589/2+307/2</f>
        <v>448</v>
      </c>
      <c r="AN12" s="10">
        <f>(19857/2+21673/2)/AP12</f>
        <v>0.51933922743131544</v>
      </c>
      <c r="AO12" s="9">
        <f>(25510/2+26633/2)/AP12</f>
        <v>0.65205647329523431</v>
      </c>
      <c r="AP12" s="9">
        <f>39072/2+40895/2</f>
        <v>39983.5</v>
      </c>
      <c r="AQ12" s="10"/>
      <c r="AR12" s="9">
        <f>643/2+360/2</f>
        <v>501.5</v>
      </c>
      <c r="AS12" s="10"/>
      <c r="AV12" s="10"/>
    </row>
    <row r="13" spans="1:49" s="3" customFormat="1" x14ac:dyDescent="0.3">
      <c r="A13" s="2" t="s">
        <v>10</v>
      </c>
      <c r="B13" s="3">
        <v>0.8</v>
      </c>
      <c r="C13" s="3">
        <f>0.88</f>
        <v>0.88</v>
      </c>
      <c r="D13" s="9">
        <v>60300</v>
      </c>
      <c r="E13" s="9">
        <f>1-0.049</f>
        <v>0.95099999999999996</v>
      </c>
      <c r="H13" s="3">
        <v>0.79</v>
      </c>
      <c r="I13" s="3">
        <v>0.87</v>
      </c>
      <c r="J13" s="9">
        <v>59700</v>
      </c>
      <c r="K13" s="9">
        <f>1-0.058</f>
        <v>0.94199999999999995</v>
      </c>
      <c r="L13" s="3">
        <f>(0.84*260/2+0.85*122)/M13</f>
        <v>0.84484126984126984</v>
      </c>
      <c r="M13" s="3">
        <f>260/2+122</f>
        <v>252</v>
      </c>
      <c r="N13" s="3">
        <f>(26566/2+18803)/P13</f>
        <v>0.77301692465217131</v>
      </c>
      <c r="O13" s="3">
        <f>(30036/2+20492)/P13</f>
        <v>0.85550804071553332</v>
      </c>
      <c r="P13" s="9">
        <f>35397/2+23809</f>
        <v>41507.5</v>
      </c>
      <c r="Q13" s="9"/>
      <c r="R13" s="10">
        <v>0.76</v>
      </c>
      <c r="S13" s="9">
        <f>238/2+125</f>
        <v>244</v>
      </c>
      <c r="T13" s="3">
        <f>(26371/2+17045)/V13</f>
        <v>0.75239553000323556</v>
      </c>
      <c r="U13" s="3">
        <f>(29911/2+18577)/V13</f>
        <v>0.83457776450384524</v>
      </c>
      <c r="V13" s="3">
        <f>36194/2+22082</f>
        <v>40179</v>
      </c>
      <c r="W13" s="3">
        <v>0.74</v>
      </c>
      <c r="X13" s="3">
        <f>263/2+122</f>
        <v>253.5</v>
      </c>
      <c r="Y13" s="3">
        <f>(25428/2+14922)/AA13</f>
        <v>0.73085009322067518</v>
      </c>
      <c r="Z13" s="3">
        <f>(29680/2+16581)/AA13</f>
        <v>0.83094661959353144</v>
      </c>
      <c r="AA13" s="3">
        <f>35827/2+19900</f>
        <v>37813.5</v>
      </c>
      <c r="AB13" s="3">
        <v>0.74</v>
      </c>
      <c r="AC13" s="3">
        <f>308/2+146</f>
        <v>300</v>
      </c>
      <c r="AD13" s="3">
        <f>(25521/2+14146)/AF13</f>
        <v>0.74375630588918218</v>
      </c>
      <c r="AE13" s="3">
        <f>(29635/2+15633)/(35575/2+18389)</f>
        <v>0.84172045388580985</v>
      </c>
      <c r="AF13" s="3">
        <f>35575/2+18389</f>
        <v>36176.5</v>
      </c>
      <c r="AG13" s="3">
        <v>0.76</v>
      </c>
      <c r="AH13" s="3">
        <f>316/2+144</f>
        <v>302</v>
      </c>
      <c r="AI13" s="3">
        <f>(0.72*25521/2+0.77*14146)/(25521/2+14146)</f>
        <v>0.74628732834073552</v>
      </c>
      <c r="AJ13" s="3">
        <f>(28489/2+13799)/AK13</f>
        <v>0.8165710625163789</v>
      </c>
      <c r="AK13" s="3">
        <f>35134/2+16776</f>
        <v>34343</v>
      </c>
      <c r="AL13" s="3">
        <v>0.69</v>
      </c>
      <c r="AM13" s="3">
        <f>307/2+152</f>
        <v>305.5</v>
      </c>
      <c r="AN13" s="3">
        <f>(21673/2+10559)/AP13</f>
        <v>0.52674274037692181</v>
      </c>
      <c r="AO13" s="3">
        <f>(26633/2+12310)/AP13</f>
        <v>0.63090709898199093</v>
      </c>
      <c r="AP13" s="3">
        <f>40895/2+20171</f>
        <v>40618.5</v>
      </c>
      <c r="AR13" s="3">
        <f>360/2+156</f>
        <v>336</v>
      </c>
    </row>
    <row r="14" spans="1:49" s="7" customFormat="1" x14ac:dyDescent="0.3">
      <c r="A14" s="6" t="s">
        <v>11</v>
      </c>
      <c r="B14" s="7">
        <v>0.77</v>
      </c>
      <c r="C14" s="7">
        <v>0.86</v>
      </c>
      <c r="D14" s="7">
        <v>50700</v>
      </c>
      <c r="E14" s="7">
        <f>1-0.152</f>
        <v>0.84799999999999998</v>
      </c>
      <c r="H14" s="7">
        <v>0.75</v>
      </c>
      <c r="I14" s="7">
        <v>0.84</v>
      </c>
      <c r="J14" s="7">
        <v>50300</v>
      </c>
      <c r="K14" s="7">
        <f>1-0.157</f>
        <v>0.84299999999999997</v>
      </c>
      <c r="L14" s="7">
        <v>0.88</v>
      </c>
      <c r="M14" s="7">
        <v>997</v>
      </c>
      <c r="N14" s="7">
        <v>0.74</v>
      </c>
      <c r="O14" s="7">
        <v>0.82</v>
      </c>
      <c r="P14" s="7">
        <v>51591</v>
      </c>
      <c r="R14" s="7">
        <v>0.83</v>
      </c>
      <c r="S14" s="7">
        <v>1243</v>
      </c>
      <c r="T14" s="7">
        <v>0.72</v>
      </c>
      <c r="U14" s="7">
        <v>0.8</v>
      </c>
      <c r="V14" s="7">
        <v>49357</v>
      </c>
      <c r="W14" s="7">
        <v>0.76</v>
      </c>
      <c r="X14" s="7">
        <v>1236</v>
      </c>
      <c r="Y14" s="7">
        <v>0.7</v>
      </c>
      <c r="Z14" s="7">
        <v>0.81</v>
      </c>
      <c r="AA14" s="7">
        <v>47432</v>
      </c>
      <c r="AB14" s="7">
        <v>0.76</v>
      </c>
      <c r="AC14" s="7">
        <v>1450</v>
      </c>
      <c r="AD14" s="7">
        <v>0.71</v>
      </c>
      <c r="AE14" s="7">
        <v>0.81</v>
      </c>
      <c r="AF14" s="7">
        <v>41555</v>
      </c>
      <c r="AG14" s="7">
        <v>0.75</v>
      </c>
      <c r="AH14" s="7">
        <v>1620</v>
      </c>
      <c r="AI14" s="7">
        <v>0.66</v>
      </c>
      <c r="AJ14" s="7">
        <v>0.78</v>
      </c>
      <c r="AK14" s="7">
        <v>40730</v>
      </c>
      <c r="AL14" s="7">
        <v>0.74</v>
      </c>
      <c r="AM14" s="7">
        <v>1609</v>
      </c>
      <c r="AN14" s="7">
        <v>0.55000000000000004</v>
      </c>
      <c r="AO14" s="7">
        <v>0.67</v>
      </c>
      <c r="AP14" s="7">
        <v>42428</v>
      </c>
      <c r="AR14" s="7">
        <v>1719</v>
      </c>
    </row>
    <row r="15" spans="1:49" s="9" customFormat="1" x14ac:dyDescent="0.3">
      <c r="A15" s="8" t="s">
        <v>12</v>
      </c>
      <c r="B15" s="9">
        <v>0.76</v>
      </c>
      <c r="C15" s="10">
        <v>0.89</v>
      </c>
      <c r="D15" s="9">
        <v>15400</v>
      </c>
      <c r="E15" s="9">
        <f>1-0.07</f>
        <v>0.92999999999999994</v>
      </c>
      <c r="F15" s="10"/>
      <c r="G15" s="10"/>
      <c r="H15" s="9">
        <v>0.75</v>
      </c>
      <c r="I15" s="10">
        <v>0.87</v>
      </c>
      <c r="J15" s="9">
        <v>16000</v>
      </c>
      <c r="K15" s="9">
        <f>1-0.065</f>
        <v>0.93500000000000005</v>
      </c>
      <c r="L15" s="10">
        <v>0.79</v>
      </c>
      <c r="M15" s="10">
        <v>24</v>
      </c>
      <c r="N15" s="10">
        <v>0.71</v>
      </c>
      <c r="O15" s="9">
        <v>0.85</v>
      </c>
      <c r="P15" s="10">
        <v>15265</v>
      </c>
      <c r="Q15" s="10"/>
      <c r="R15" s="10">
        <v>0.84</v>
      </c>
      <c r="S15" s="10">
        <v>37</v>
      </c>
      <c r="T15" s="10">
        <v>0.69</v>
      </c>
      <c r="U15" s="9">
        <v>0.83</v>
      </c>
      <c r="V15" s="10">
        <v>15594</v>
      </c>
      <c r="W15" s="10">
        <v>0.69</v>
      </c>
      <c r="X15" s="10">
        <v>32</v>
      </c>
      <c r="Y15" s="10">
        <v>0.67</v>
      </c>
      <c r="Z15" s="10">
        <v>0.83</v>
      </c>
      <c r="AA15" s="10">
        <v>15918</v>
      </c>
      <c r="AB15" s="10">
        <v>0.65</v>
      </c>
      <c r="AC15" s="10">
        <v>43</v>
      </c>
      <c r="AD15" s="10">
        <v>0.67</v>
      </c>
      <c r="AE15" s="10">
        <v>0.83</v>
      </c>
      <c r="AF15" s="10">
        <v>15009</v>
      </c>
      <c r="AG15" s="10">
        <v>0.61</v>
      </c>
      <c r="AH15" s="10">
        <v>54</v>
      </c>
      <c r="AI15" s="10">
        <v>0.62</v>
      </c>
      <c r="AJ15" s="10">
        <v>0.8</v>
      </c>
      <c r="AK15" s="10">
        <v>15708</v>
      </c>
      <c r="AL15" s="10">
        <v>0.59</v>
      </c>
      <c r="AM15" s="10">
        <v>49</v>
      </c>
      <c r="AN15" s="10">
        <v>0.44</v>
      </c>
      <c r="AO15" s="10">
        <v>0.59</v>
      </c>
      <c r="AP15" s="10">
        <v>21913</v>
      </c>
      <c r="AQ15" s="10"/>
      <c r="AR15" s="10">
        <v>139</v>
      </c>
      <c r="AS15" s="10"/>
      <c r="AU15" s="10"/>
      <c r="AV15" s="10"/>
    </row>
    <row r="16" spans="1:49" s="9" customFormat="1" x14ac:dyDescent="0.3">
      <c r="A16" s="8" t="s">
        <v>13</v>
      </c>
      <c r="B16" s="10"/>
      <c r="C16" s="10"/>
      <c r="F16" s="10"/>
      <c r="G16" s="10"/>
      <c r="H16" s="10"/>
      <c r="I16" s="10"/>
      <c r="L16" s="10">
        <v>0.91</v>
      </c>
      <c r="M16" s="10">
        <v>35</v>
      </c>
      <c r="N16" s="10">
        <v>0.69</v>
      </c>
      <c r="O16" s="9">
        <v>0.84</v>
      </c>
      <c r="P16" s="10">
        <v>3059</v>
      </c>
      <c r="Q16" s="10"/>
      <c r="R16" s="10">
        <v>0.81</v>
      </c>
      <c r="S16" s="10">
        <v>27</v>
      </c>
      <c r="T16" s="10">
        <v>0.68</v>
      </c>
      <c r="U16" s="9">
        <v>0.82</v>
      </c>
      <c r="V16" s="10">
        <v>2777</v>
      </c>
      <c r="W16" s="10">
        <v>0.75</v>
      </c>
      <c r="X16" s="10">
        <v>28</v>
      </c>
      <c r="Y16" s="10">
        <v>0.66</v>
      </c>
      <c r="Z16" s="10">
        <v>0.83</v>
      </c>
      <c r="AA16" s="10">
        <v>2651</v>
      </c>
      <c r="AB16" s="10">
        <v>0.55000000000000004</v>
      </c>
      <c r="AC16" s="10">
        <v>33</v>
      </c>
      <c r="AD16" s="10">
        <v>0.67</v>
      </c>
      <c r="AE16" s="10">
        <v>0.84</v>
      </c>
      <c r="AF16" s="10">
        <v>3576</v>
      </c>
      <c r="AG16" s="10">
        <v>0.71</v>
      </c>
      <c r="AH16" s="10">
        <v>38</v>
      </c>
      <c r="AI16" s="10">
        <v>0.61</v>
      </c>
      <c r="AJ16" s="10">
        <v>0.8</v>
      </c>
      <c r="AK16" s="10">
        <v>3377</v>
      </c>
      <c r="AL16" s="10">
        <v>0.68</v>
      </c>
      <c r="AM16" s="10">
        <v>40</v>
      </c>
      <c r="AN16" s="10">
        <v>0.51</v>
      </c>
      <c r="AO16" s="10">
        <v>0.7</v>
      </c>
      <c r="AP16" s="10">
        <v>3527</v>
      </c>
      <c r="AQ16" s="10"/>
      <c r="AS16" s="10"/>
      <c r="AU16" s="10"/>
      <c r="AV16" s="10"/>
    </row>
    <row r="17" spans="1:44" s="3" customFormat="1" x14ac:dyDescent="0.3">
      <c r="A17" s="2" t="s">
        <v>14</v>
      </c>
      <c r="B17" s="3">
        <v>0.77</v>
      </c>
      <c r="C17" s="3">
        <v>0.87</v>
      </c>
      <c r="D17" s="3">
        <v>30500</v>
      </c>
      <c r="E17" s="3">
        <f>1-0.134</f>
        <v>0.86599999999999999</v>
      </c>
      <c r="H17" s="3">
        <v>0.75</v>
      </c>
      <c r="I17" s="3">
        <v>0.85</v>
      </c>
      <c r="J17" s="3">
        <v>30800</v>
      </c>
      <c r="K17" s="3">
        <f>1-0.145</f>
        <v>0.85499999999999998</v>
      </c>
      <c r="L17" s="3">
        <v>0.82</v>
      </c>
      <c r="M17" s="3">
        <v>358</v>
      </c>
      <c r="N17" s="3">
        <v>0.73</v>
      </c>
      <c r="O17" s="3">
        <v>0.85</v>
      </c>
      <c r="P17" s="3">
        <v>24747</v>
      </c>
      <c r="R17" s="3">
        <v>0.77</v>
      </c>
      <c r="S17" s="3">
        <v>375</v>
      </c>
      <c r="T17" s="3">
        <v>0.7</v>
      </c>
      <c r="U17" s="3">
        <v>0.82</v>
      </c>
      <c r="V17" s="3">
        <v>24383</v>
      </c>
      <c r="W17" s="3">
        <v>0.75</v>
      </c>
      <c r="X17" s="3">
        <v>386</v>
      </c>
      <c r="Y17" s="3">
        <v>0.68</v>
      </c>
      <c r="Z17" s="3">
        <v>0.82</v>
      </c>
      <c r="AA17" s="3">
        <v>24002</v>
      </c>
      <c r="AB17" s="3">
        <v>0.74</v>
      </c>
      <c r="AC17" s="3">
        <v>412</v>
      </c>
      <c r="AD17" s="3">
        <v>0.7</v>
      </c>
      <c r="AE17" s="3">
        <v>0.84</v>
      </c>
      <c r="AF17" s="3">
        <v>19855</v>
      </c>
      <c r="AG17" s="3">
        <v>0.77</v>
      </c>
      <c r="AH17" s="3">
        <v>501</v>
      </c>
      <c r="AI17" s="3">
        <v>0.64</v>
      </c>
      <c r="AJ17" s="3">
        <v>0.81</v>
      </c>
      <c r="AK17" s="3">
        <v>20148</v>
      </c>
      <c r="AL17" s="3">
        <v>0.78</v>
      </c>
      <c r="AM17" s="3">
        <v>520</v>
      </c>
      <c r="AN17" s="3">
        <v>0.55000000000000004</v>
      </c>
      <c r="AO17" s="3">
        <v>0.71</v>
      </c>
      <c r="AP17" s="3">
        <v>22222</v>
      </c>
      <c r="AR17" s="3">
        <v>616</v>
      </c>
    </row>
    <row r="18" spans="1:44" x14ac:dyDescent="0.3">
      <c r="A18" s="1" t="s">
        <v>20</v>
      </c>
      <c r="F18" s="10">
        <v>1</v>
      </c>
      <c r="L18" s="10">
        <v>1</v>
      </c>
      <c r="R18">
        <v>1</v>
      </c>
      <c r="W18" s="10">
        <v>3</v>
      </c>
      <c r="X18" s="10"/>
      <c r="AB18">
        <v>3</v>
      </c>
      <c r="AG18" s="10">
        <v>3</v>
      </c>
      <c r="AL18" s="10">
        <v>3</v>
      </c>
    </row>
    <row r="20" spans="1:44" x14ac:dyDescent="0.3">
      <c r="D20">
        <f>D14+D15+D17</f>
        <v>96600</v>
      </c>
      <c r="E20">
        <f>59800+16600+35200</f>
        <v>111600</v>
      </c>
    </row>
    <row r="22" spans="1:44" x14ac:dyDescent="0.3">
      <c r="M22">
        <f>0.83*0.909</f>
        <v>0.75446999999999997</v>
      </c>
    </row>
    <row r="23" spans="1:44" x14ac:dyDescent="0.3">
      <c r="M23">
        <f>0.633/0.909</f>
        <v>0.69636963696369636</v>
      </c>
    </row>
    <row r="24" spans="1:44" x14ac:dyDescent="0.3">
      <c r="M24">
        <f>0.92*0.73</f>
        <v>0.67159999999999997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  <row r="10" spans="1:2" x14ac:dyDescent="0.3">
      <c r="A10" s="1">
        <v>2018</v>
      </c>
    </row>
    <row r="11" spans="1:2" x14ac:dyDescent="0.3">
      <c r="A11" s="1">
        <v>2019</v>
      </c>
      <c r="B11">
        <v>0.91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4.4" x14ac:dyDescent="0.3"/>
  <cols>
    <col min="1" max="1" width="12.6640625" customWidth="1"/>
  </cols>
  <sheetData>
    <row r="1" spans="1:3" x14ac:dyDescent="0.3">
      <c r="A1" t="s">
        <v>39</v>
      </c>
    </row>
    <row r="2" spans="1:3" x14ac:dyDescent="0.3">
      <c r="A2" t="s">
        <v>40</v>
      </c>
    </row>
    <row r="4" spans="1:3" x14ac:dyDescent="0.3">
      <c r="A4" t="s">
        <v>27</v>
      </c>
      <c r="B4" t="s">
        <v>31</v>
      </c>
      <c r="C4" t="s">
        <v>32</v>
      </c>
    </row>
    <row r="5" spans="1:3" x14ac:dyDescent="0.3">
      <c r="A5">
        <v>2018</v>
      </c>
      <c r="B5" t="s">
        <v>24</v>
      </c>
      <c r="C5" t="s">
        <v>28</v>
      </c>
    </row>
    <row r="6" spans="1:3" x14ac:dyDescent="0.3">
      <c r="A6">
        <v>2017</v>
      </c>
      <c r="B6" s="11" t="s">
        <v>26</v>
      </c>
      <c r="C6" t="s">
        <v>30</v>
      </c>
    </row>
    <row r="7" spans="1:3" x14ac:dyDescent="0.3">
      <c r="A7">
        <v>2016</v>
      </c>
      <c r="B7" t="s">
        <v>25</v>
      </c>
      <c r="C7" t="s">
        <v>29</v>
      </c>
    </row>
    <row r="8" spans="1:3" x14ac:dyDescent="0.3">
      <c r="B8" t="s">
        <v>33</v>
      </c>
    </row>
    <row r="10" spans="1:3" x14ac:dyDescent="0.3">
      <c r="A10" t="s">
        <v>34</v>
      </c>
    </row>
    <row r="11" spans="1:3" x14ac:dyDescent="0.3">
      <c r="A11" t="s">
        <v>41</v>
      </c>
    </row>
    <row r="12" spans="1:3" x14ac:dyDescent="0.3">
      <c r="B12" t="s">
        <v>35</v>
      </c>
      <c r="C12" t="s">
        <v>36</v>
      </c>
    </row>
    <row r="13" spans="1:3" x14ac:dyDescent="0.3">
      <c r="B13" t="s">
        <v>37</v>
      </c>
      <c r="C13" t="s">
        <v>38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2022-01-27T13:38:33Z</dcterms:modified>
</cp:coreProperties>
</file>