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dd Fojo\CloudStation\Projects\Ending HIV\Ending_HIV\raw_data\local_continuum\processed\"/>
    </mc:Choice>
  </mc:AlternateContent>
  <bookViews>
    <workbookView xWindow="0" yWindow="456" windowWidth="18120" windowHeight="19440"/>
  </bookViews>
  <sheets>
    <sheet name="Stratified_Data" sheetId="6" r:id="rId1"/>
    <sheet name="Total_Data" sheetId="7" r:id="rId2"/>
    <sheet name="Comments" sheetId="2" r:id="rId3"/>
    <sheet name="Indicator definitions" sheetId="5" r:id="rId4"/>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7" i="6" l="1"/>
  <c r="T17" i="6"/>
  <c r="S15" i="6"/>
  <c r="T15" i="6"/>
  <c r="S13" i="6"/>
  <c r="T13" i="6"/>
  <c r="S11" i="6"/>
  <c r="T11" i="6"/>
  <c r="S12" i="6"/>
  <c r="T12" i="6"/>
  <c r="S10" i="6"/>
  <c r="T10" i="6"/>
  <c r="S9" i="6"/>
  <c r="T9" i="6"/>
  <c r="U17" i="6"/>
  <c r="U15" i="6"/>
  <c r="U12" i="6"/>
  <c r="U11" i="6"/>
  <c r="U10" i="6"/>
  <c r="U9" i="6"/>
  <c r="U13" i="6"/>
  <c r="N17" i="6"/>
  <c r="O17" i="6"/>
  <c r="N15" i="6"/>
  <c r="O15" i="6"/>
  <c r="N13" i="6"/>
  <c r="O13" i="6"/>
  <c r="N12" i="6"/>
  <c r="O12" i="6"/>
  <c r="N11" i="6"/>
  <c r="O11" i="6"/>
  <c r="N10" i="6"/>
  <c r="O10" i="6"/>
  <c r="N9" i="6"/>
  <c r="O9" i="6"/>
  <c r="P17" i="6"/>
  <c r="P15" i="6"/>
  <c r="P13" i="6"/>
  <c r="P12" i="6"/>
  <c r="P11" i="6"/>
  <c r="P10" i="6"/>
  <c r="P9" i="6"/>
  <c r="I17" i="6"/>
  <c r="J17" i="6"/>
  <c r="I15" i="6"/>
  <c r="J15" i="6"/>
  <c r="I13" i="6"/>
  <c r="J13" i="6"/>
  <c r="I12" i="6"/>
  <c r="J12" i="6"/>
  <c r="I11" i="6"/>
  <c r="J11" i="6"/>
  <c r="I10" i="6"/>
  <c r="J10" i="6"/>
  <c r="I9" i="6"/>
  <c r="J9" i="6"/>
  <c r="K17" i="6"/>
  <c r="K15" i="6"/>
  <c r="K13" i="6"/>
  <c r="K12" i="6"/>
  <c r="K11" i="6"/>
  <c r="K10" i="6"/>
  <c r="K9" i="6"/>
  <c r="D17" i="6"/>
  <c r="E17" i="6"/>
  <c r="D15" i="6"/>
  <c r="E15" i="6"/>
  <c r="D13" i="6"/>
  <c r="E13" i="6"/>
  <c r="D12" i="6"/>
  <c r="E12" i="6"/>
  <c r="D11" i="6"/>
  <c r="E11" i="6"/>
  <c r="D10" i="6"/>
  <c r="E10" i="6"/>
  <c r="D9" i="6"/>
  <c r="E9" i="6"/>
  <c r="F17" i="6"/>
  <c r="F15" i="6"/>
  <c r="F13" i="6"/>
  <c r="F12" i="6"/>
  <c r="F11" i="6"/>
  <c r="F10" i="6"/>
  <c r="F9" i="6"/>
  <c r="B13" i="6"/>
  <c r="C13" i="6"/>
  <c r="B12" i="6"/>
  <c r="C12" i="6"/>
  <c r="B11" i="6"/>
  <c r="C11" i="6"/>
  <c r="B10" i="6"/>
  <c r="C10" i="6"/>
  <c r="B9" i="6"/>
  <c r="C9" i="6"/>
  <c r="B17" i="6"/>
  <c r="C17" i="6"/>
  <c r="B15" i="6"/>
  <c r="C15" i="6"/>
  <c r="G17" i="6"/>
  <c r="H17" i="6"/>
  <c r="H16" i="6"/>
  <c r="G15" i="6"/>
  <c r="H15" i="6"/>
  <c r="G10" i="6"/>
  <c r="H10" i="6"/>
  <c r="G11" i="6"/>
  <c r="H11" i="6"/>
  <c r="G12" i="6"/>
  <c r="H12" i="6"/>
  <c r="G13" i="6"/>
  <c r="H13" i="6"/>
  <c r="G9" i="6"/>
  <c r="H9" i="6"/>
  <c r="L13" i="6"/>
  <c r="M13" i="6"/>
  <c r="L12" i="6"/>
  <c r="M12" i="6"/>
  <c r="L11" i="6"/>
  <c r="M11" i="6"/>
  <c r="L10" i="6"/>
  <c r="M10" i="6"/>
  <c r="L9" i="6"/>
  <c r="M9" i="6"/>
  <c r="L17" i="6"/>
  <c r="M17" i="6"/>
  <c r="L15" i="6"/>
  <c r="M15" i="6"/>
  <c r="Q13" i="6"/>
  <c r="R13" i="6"/>
  <c r="Q12" i="6"/>
  <c r="R12" i="6"/>
  <c r="Q11" i="6"/>
  <c r="R11" i="6"/>
  <c r="Q10" i="6"/>
  <c r="R10" i="6"/>
  <c r="Q9" i="6"/>
  <c r="R9" i="6"/>
  <c r="Q17" i="6"/>
  <c r="R17" i="6"/>
  <c r="Q15" i="6"/>
  <c r="R15" i="6"/>
  <c r="G9" i="7"/>
  <c r="F9" i="7"/>
  <c r="E9" i="7"/>
  <c r="C9" i="7"/>
  <c r="G8" i="7"/>
  <c r="F8" i="7"/>
  <c r="E8" i="7"/>
  <c r="C8" i="7"/>
  <c r="G7" i="7"/>
  <c r="F7" i="7"/>
  <c r="E7" i="7"/>
  <c r="C7" i="7"/>
  <c r="G6" i="7"/>
  <c r="F6" i="7"/>
  <c r="E6" i="7"/>
  <c r="C6" i="7"/>
  <c r="G5" i="7"/>
  <c r="F5" i="7"/>
  <c r="E5" i="7"/>
  <c r="C5" i="7"/>
  <c r="G4" i="7"/>
  <c r="F4" i="7"/>
  <c r="E4" i="7"/>
  <c r="C4" i="7"/>
  <c r="G3" i="7"/>
  <c r="F3" i="7"/>
  <c r="E3" i="7"/>
  <c r="C3" i="7"/>
  <c r="G2" i="7"/>
  <c r="F2" i="7"/>
  <c r="E2" i="7"/>
  <c r="C2" i="7"/>
  <c r="F3" i="6"/>
  <c r="E3" i="6"/>
  <c r="C3" i="6"/>
  <c r="K3" i="6"/>
  <c r="J3" i="6"/>
  <c r="H3" i="6"/>
  <c r="O3" i="6"/>
  <c r="M3" i="6"/>
  <c r="U3" i="6"/>
  <c r="T3" i="6"/>
  <c r="R3" i="6"/>
</calcChain>
</file>

<file path=xl/comments1.xml><?xml version="1.0" encoding="utf-8"?>
<comments xmlns="http://schemas.openxmlformats.org/spreadsheetml/2006/main">
  <authors>
    <author>tc={51D9DE27-C023-D543-ACE0-E2D96F4536B3}</author>
  </authors>
  <commentList>
    <comment ref="C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 months</t>
        </r>
      </text>
    </comment>
  </commentList>
</comments>
</file>

<file path=xl/sharedStrings.xml><?xml version="1.0" encoding="utf-8"?>
<sst xmlns="http://schemas.openxmlformats.org/spreadsheetml/2006/main" count="98" uniqueCount="73">
  <si>
    <t>Total</t>
  </si>
  <si>
    <t>Black</t>
  </si>
  <si>
    <t>Hispanic</t>
  </si>
  <si>
    <t>Other</t>
  </si>
  <si>
    <t>Male</t>
  </si>
  <si>
    <t>Female</t>
  </si>
  <si>
    <t>13-24</t>
  </si>
  <si>
    <t>25-34</t>
  </si>
  <si>
    <t>35-44</t>
  </si>
  <si>
    <t>45-54</t>
  </si>
  <si>
    <t>55+</t>
  </si>
  <si>
    <t>MSM</t>
  </si>
  <si>
    <t>IDU</t>
  </si>
  <si>
    <t>MSM+IDU</t>
  </si>
  <si>
    <t>Heterosexual</t>
  </si>
  <si>
    <t>Year</t>
  </si>
  <si>
    <t>suppressed</t>
  </si>
  <si>
    <t>prevalent</t>
  </si>
  <si>
    <t>linked</t>
  </si>
  <si>
    <t>new</t>
  </si>
  <si>
    <t>Months</t>
  </si>
  <si>
    <t>engaged</t>
  </si>
  <si>
    <t>Data_Type</t>
  </si>
  <si>
    <t xml:space="preserve"> </t>
  </si>
  <si>
    <t xml:space="preserve">Specific EHE priority counties: </t>
  </si>
  <si>
    <t>retained</t>
  </si>
  <si>
    <t>Individuals living with diagnosed HIV</t>
  </si>
  <si>
    <t>Individuals diagnosed with HIV in that year</t>
  </si>
  <si>
    <t>Indicator</t>
  </si>
  <si>
    <t>Definition</t>
  </si>
  <si>
    <t>Linked (%)</t>
  </si>
  <si>
    <t>New (n)</t>
  </si>
  <si>
    <t>Prevalent (n)</t>
  </si>
  <si>
    <t>Engaged (%)</t>
  </si>
  <si>
    <t>“Receipt of care” (defined as ≥1 test (CD4 or viral load)), or “In care”  (documented care ≥1 time)</t>
  </si>
  <si>
    <t>Denominator</t>
  </si>
  <si>
    <t>Individuals who visited an HIV heath care provider (had ≥1 documented test) within 1 month after receiving a diagnosis of HIV</t>
  </si>
  <si>
    <t>Individuals receiving a diagnosis of HIV in a given year</t>
  </si>
  <si>
    <t>Diagnosed HIV</t>
  </si>
  <si>
    <t xml:space="preserve">Retained (%) </t>
  </si>
  <si>
    <t>Individuals with ≥2 tests (CD4 or VL) ≥3 months apart</t>
  </si>
  <si>
    <t xml:space="preserve">Suppressed (%) </t>
  </si>
  <si>
    <t>Individuals with &lt;200 copies/mL on the most recent VL test</t>
  </si>
  <si>
    <t>*New (n) and linked (%) should come from same level/source (e.g. state vs. county); while prevalent (n) and engaged/retained/suppressed (%) should come from the same source</t>
  </si>
  <si>
    <t xml:space="preserve">Other counties in MSA: </t>
  </si>
  <si>
    <t>Ohio data</t>
  </si>
  <si>
    <t xml:space="preserve">Over half of HIV diagnoses reported in Ohio in 2018 were among persons
residing in the three most densely populated counties of the state (Cuyahoga, Franklin, and
Hamilton counties). </t>
  </si>
  <si>
    <t xml:space="preserve">Franklin County accounted for 21 percent of all new diagnoses of HIV
infection reported in 2018, followed by Hamilton County with 19 percent, and Cuyahoga
County, which accounted for 15 percent. </t>
  </si>
  <si>
    <t>Region 1: Defiance, Fulton, Henry, Lucas, Ottawa, Sandusky, Williams, Wood</t>
  </si>
  <si>
    <t>Region 2: Ashland, Crawford, Erie, Huron, Knox, Marion, Richland, Seneca, Wyandot</t>
  </si>
  <si>
    <t>Region 3/Part A-Cleveland: Ashtabula, Cuyahoga, Geauga, Lake, Lorain, Medina</t>
  </si>
  <si>
    <t>Region 4: Columbiana, Mahoning, Portage, Summit, Trumbull</t>
  </si>
  <si>
    <t>Region 5: Carroll, Coshocton, Harrison, Holmes, Jefferson, Stark, Tuscarawas, Wayne</t>
  </si>
  <si>
    <t>Region 6: Athens, Belmont, Guernsey, Meigs, Monroe, Morgan, Muskingum, Noble, Perry, Washington</t>
  </si>
  <si>
    <t>Region 7: Adams, Fayette, Gallia, Hocking, Jackson, Lawrence, Pike, Ross, Scioto, Vinton</t>
  </si>
  <si>
    <t>Region 8: Brown, Butler, Clermont, Clinton, Hamilton, Highland, Warren</t>
  </si>
  <si>
    <t>Region 9: Clark, Darke, Greene, Miami, Montgomery, Preble</t>
  </si>
  <si>
    <t>Region 10: Allen, Auglaize, Champaign, Hancock, Hardin, Logan, Mercer, Paulding, Putnam, Shelby, Van Wert</t>
  </si>
  <si>
    <t>Region 11/Part A-Columbus: Delaware, Fairfield, Franklin, Licking, Madison, Morrow, Pickaway, Union.</t>
  </si>
  <si>
    <t>https://www.hamiltoncountyhealth.org/resources/reports/</t>
  </si>
  <si>
    <t>https://odh.ohio.gov/wps/portal/gov/odh/know-our-programs/hiv-aids-surveillance-program/resources/ohio-hiv-surveillance-annual-report</t>
  </si>
  <si>
    <t>https://odh.ohio.gov/wps/portal/gov/odh/know-our-programs/hiv-aids-surveillance-program/resources/hamilton-county-hiv-surveillance-data-tables</t>
  </si>
  <si>
    <t>https://odh.ohio.gov/wps/portal/gov/odh/know-our-programs/hiv-aids-surveillance-program/Data-and-Statistics/</t>
  </si>
  <si>
    <t>https://odh.ohio.gov/wps/wcm/connect/gov/b152089f-2ddb-435f-8d8f-27dff20afc5b/Ohio+HIV+Care+Continuum+2018.pdf?MOD=AJPERES&amp;CONVERT_TO=url&amp;CACHEID=ROOTWORKSPACE.Z18_M1HGGIK0N0JO00QO9DDDDM3000-b152089f-2ddb-435f-8d8f-27dff20afc5b-n8JdmDj</t>
  </si>
  <si>
    <t>Cuyahoga County</t>
  </si>
  <si>
    <t>Lorain County</t>
  </si>
  <si>
    <t>Lake County</t>
  </si>
  <si>
    <t>Medina County</t>
  </si>
  <si>
    <t>Geauga County</t>
  </si>
  <si>
    <t>Region 3/Part A-Cleveland data: Ashtabula, Cuyahoga, Geauga, Lake, Lorain, Medina</t>
  </si>
  <si>
    <t>Region 3/Part A-Cleveland data</t>
  </si>
  <si>
    <t>https://odh.ohio.gov/wps/wcm/connect/gov/c36c5c0e-f795-476b-9ebe-4d39946406fa/Region+3+HIV+Care+Continuum+2018.pdf?MOD=AJPERES&amp;CONVERT_TO=url&amp;CACHEID=ROOTWORKSPACE.Z18_M1HGGIK0N0JO00QO9DDDDM3000-c36c5c0e-f795-476b-9ebe-4d39946406fa-niOebGY</t>
  </si>
  <si>
    <t>Ashtabula, which is not in MSA, is &lt;3% of prevalent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</si>
</sst>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46">
    <xf numFmtId="0" fontId="0" fillId="0" borderId="0" xfId="0"/>
    <xf numFmtId="0" fontId="1" fillId="0" borderId="0" xfId="0" applyFont="1"/>
    <xf numFmtId="0" fontId="1" fillId="0" borderId="1" xfId="0" applyFont="1" applyBorder="1"/>
    <xf numFmtId="0" fontId="0" fillId="0" borderId="1" xfId="0" applyBorder="1"/>
    <xf numFmtId="0" fontId="1" fillId="0" borderId="2" xfId="0" applyFont="1" applyBorder="1"/>
    <xf numFmtId="0" fontId="0" fillId="0" borderId="2" xfId="0" applyBorder="1"/>
    <xf numFmtId="0" fontId="1" fillId="0" borderId="3" xfId="0" applyFont="1" applyBorder="1"/>
    <xf numFmtId="0" fontId="0" fillId="0" borderId="3" xfId="0" applyBorder="1"/>
    <xf numFmtId="0" fontId="2" fillId="0" borderId="0" xfId="1"/>
    <xf numFmtId="0" fontId="0" fillId="0" borderId="0" xfId="0" applyFill="1"/>
    <xf numFmtId="0" fontId="0" fillId="0" borderId="0" xfId="0" applyFont="1" applyFill="1"/>
    <xf numFmtId="0" fontId="3" fillId="0" borderId="0" xfId="1" applyFont="1"/>
    <xf numFmtId="3" fontId="0" fillId="0" borderId="0" xfId="0" applyNumberFormat="1"/>
    <xf numFmtId="9" fontId="0" fillId="0" borderId="0" xfId="0" applyNumberFormat="1"/>
    <xf numFmtId="0" fontId="0" fillId="0" borderId="0" xfId="2" applyNumberFormat="1" applyFont="1"/>
    <xf numFmtId="3" fontId="0" fillId="0" borderId="0" xfId="2" applyNumberFormat="1" applyFont="1"/>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1" fillId="0" borderId="8" xfId="0" applyFont="1" applyBorder="1" applyAlignment="1">
      <alignment horizontal="left"/>
    </xf>
    <xf numFmtId="0" fontId="1" fillId="0" borderId="2" xfId="0" applyFont="1" applyBorder="1" applyAlignment="1">
      <alignment horizontal="left" wrapText="1"/>
    </xf>
    <xf numFmtId="0" fontId="1" fillId="0" borderId="7" xfId="0" applyFont="1"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1" fillId="0" borderId="10" xfId="0" applyFont="1" applyBorder="1" applyAlignment="1">
      <alignment horizontal="left"/>
    </xf>
    <xf numFmtId="0" fontId="0" fillId="0" borderId="5" xfId="0" applyBorder="1" applyAlignment="1">
      <alignment horizontal="left" wrapText="1"/>
    </xf>
    <xf numFmtId="0" fontId="1" fillId="0" borderId="9" xfId="0" applyFont="1"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3" xfId="0" applyBorder="1" applyAlignment="1">
      <alignment horizontal="left"/>
    </xf>
    <xf numFmtId="3" fontId="0" fillId="0" borderId="0" xfId="0" quotePrefix="1" applyNumberFormat="1"/>
    <xf numFmtId="3" fontId="0" fillId="0" borderId="0" xfId="0" applyNumberFormat="1" applyFill="1"/>
    <xf numFmtId="0" fontId="1" fillId="2" borderId="0" xfId="0" applyFont="1" applyFill="1"/>
    <xf numFmtId="0" fontId="0" fillId="2" borderId="2" xfId="0" applyFill="1" applyBorder="1"/>
    <xf numFmtId="2" fontId="0" fillId="2" borderId="2" xfId="0" applyNumberFormat="1" applyFill="1" applyBorder="1"/>
    <xf numFmtId="2" fontId="0" fillId="2" borderId="3" xfId="0" applyNumberFormat="1" applyFill="1" applyBorder="1"/>
    <xf numFmtId="0" fontId="0" fillId="2" borderId="3" xfId="0" applyFill="1" applyBorder="1"/>
    <xf numFmtId="2" fontId="0" fillId="2" borderId="0" xfId="0" applyNumberFormat="1" applyFill="1"/>
    <xf numFmtId="0" fontId="0" fillId="2" borderId="0" xfId="0" applyFill="1"/>
    <xf numFmtId="1" fontId="0" fillId="3" borderId="0" xfId="0" applyNumberFormat="1" applyFill="1"/>
    <xf numFmtId="2" fontId="0" fillId="3" borderId="0" xfId="0" applyNumberFormat="1" applyFill="1"/>
    <xf numFmtId="0" fontId="0" fillId="3" borderId="0" xfId="0" applyFill="1"/>
    <xf numFmtId="2" fontId="0" fillId="2" borderId="1" xfId="0" applyNumberFormat="1" applyFill="1" applyBorder="1"/>
    <xf numFmtId="0" fontId="0" fillId="2" borderId="1" xfId="0" applyFill="1" applyBorder="1"/>
    <xf numFmtId="0" fontId="0" fillId="0" borderId="0" xfId="0" applyFont="1"/>
    <xf numFmtId="2" fontId="0" fillId="3" borderId="0" xfId="0" applyNumberFormat="1" applyFon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elissa Schnure" id="{08ABA770-D953-5345-9395-3DCD60F75302}" userId="S::mschnur3@jh.edu::21ec8bc0-ff32-4afd-8664-2fdf84f101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6T19:51:05.90" personId="{08ABA770-D953-5345-9395-3DCD60F75302}" id="{51D9DE27-C023-D543-ACE0-E2D96F4536B3}">
    <text>3 months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odh.ohio.gov/wps/portal/gov/odh/know-our-programs/hiv-aids-surveillance-program/Data-and-Statistics/" TargetMode="External"/><Relationship Id="rId2" Type="http://schemas.openxmlformats.org/officeDocument/2006/relationships/hyperlink" Target="https://odh.ohio.gov/wps/portal/gov/odh/know-our-programs/hiv-aids-surveillance-program/resources/hamilton-county-hiv-surveillance-data-tables" TargetMode="External"/><Relationship Id="rId1" Type="http://schemas.openxmlformats.org/officeDocument/2006/relationships/hyperlink" Target="https://www.hamiltoncountyhealth.org/resources/reports/" TargetMode="External"/><Relationship Id="rId5" Type="http://schemas.openxmlformats.org/officeDocument/2006/relationships/hyperlink" Target="https://odh.ohio.gov/wps/wcm/connect/gov/b152089f-2ddb-435f-8d8f-27dff20afc5b/Ohio+HIV+Care+Continuum+2018.pdf?MOD=AJPERES&amp;CONVERT_TO=url&amp;CACHEID=ROOTWORKSPACE.Z18_M1HGGIK0N0JO00QO9DDDDM3000-b152089f-2ddb-435f-8d8f-27dff20afc5b-n8JdmDj" TargetMode="External"/><Relationship Id="rId4" Type="http://schemas.openxmlformats.org/officeDocument/2006/relationships/hyperlink" Target="https://odh.ohio.gov/wps/portal/gov/odh/know-our-programs/hiv-aids-surveillance-program/resources/ohio-hiv-surveillance-annual-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tabSelected="1" zoomScale="120" zoomScaleNormal="120" workbookViewId="0">
      <pane xSplit="1" ySplit="1" topLeftCell="B2" activePane="bottomRight" state="frozen"/>
      <selection pane="topRight" activeCell="B1" sqref="B1"/>
      <selection pane="bottomLeft" activeCell="A2" sqref="A2"/>
      <selection pane="bottomRight" activeCell="K20" sqref="K20"/>
    </sheetView>
  </sheetViews>
  <sheetFormatPr defaultColWidth="8.77734375" defaultRowHeight="14.4" x14ac:dyDescent="0.3"/>
  <cols>
    <col min="1" max="1" width="13.33203125" style="1" customWidth="1"/>
  </cols>
  <sheetData>
    <row r="1" spans="1:21" s="1" customFormat="1" x14ac:dyDescent="0.3">
      <c r="A1" s="1" t="s">
        <v>22</v>
      </c>
      <c r="B1" s="32" t="s">
        <v>19</v>
      </c>
      <c r="C1" s="32" t="s">
        <v>18</v>
      </c>
      <c r="D1" s="32" t="s">
        <v>17</v>
      </c>
      <c r="E1" s="32" t="s">
        <v>21</v>
      </c>
      <c r="F1" s="32" t="s">
        <v>16</v>
      </c>
      <c r="G1" s="32" t="s">
        <v>19</v>
      </c>
      <c r="H1" s="32" t="s">
        <v>18</v>
      </c>
      <c r="I1" s="32" t="s">
        <v>17</v>
      </c>
      <c r="J1" s="32" t="s">
        <v>21</v>
      </c>
      <c r="K1" s="32" t="s">
        <v>16</v>
      </c>
      <c r="L1" s="32" t="s">
        <v>19</v>
      </c>
      <c r="M1" s="32" t="s">
        <v>18</v>
      </c>
      <c r="N1" s="32" t="s">
        <v>17</v>
      </c>
      <c r="O1" s="32" t="s">
        <v>21</v>
      </c>
      <c r="P1" s="32" t="s">
        <v>16</v>
      </c>
      <c r="Q1" s="32" t="s">
        <v>19</v>
      </c>
      <c r="R1" s="32" t="s">
        <v>18</v>
      </c>
      <c r="S1" s="32" t="s">
        <v>17</v>
      </c>
      <c r="T1" s="32" t="s">
        <v>21</v>
      </c>
      <c r="U1" s="32" t="s">
        <v>16</v>
      </c>
    </row>
    <row r="2" spans="1:21" s="1" customFormat="1" x14ac:dyDescent="0.3">
      <c r="A2" s="1" t="s">
        <v>15</v>
      </c>
      <c r="B2" s="32">
        <v>2018</v>
      </c>
      <c r="C2" s="32">
        <v>2018</v>
      </c>
      <c r="D2" s="32">
        <v>2018</v>
      </c>
      <c r="E2" s="32">
        <v>2018</v>
      </c>
      <c r="F2" s="32">
        <v>2018</v>
      </c>
      <c r="G2" s="32">
        <v>2017</v>
      </c>
      <c r="H2" s="32">
        <v>2017</v>
      </c>
      <c r="I2" s="32">
        <v>2017</v>
      </c>
      <c r="J2" s="32">
        <v>2017</v>
      </c>
      <c r="K2" s="32">
        <v>2017</v>
      </c>
      <c r="L2" s="32">
        <v>2016</v>
      </c>
      <c r="M2" s="32">
        <v>2016</v>
      </c>
      <c r="N2" s="32">
        <v>2016</v>
      </c>
      <c r="O2" s="32">
        <v>2016</v>
      </c>
      <c r="P2" s="32">
        <v>2016</v>
      </c>
      <c r="Q2" s="32">
        <v>2015</v>
      </c>
      <c r="R2" s="32">
        <v>2015</v>
      </c>
      <c r="S2" s="32">
        <v>2015</v>
      </c>
      <c r="T2" s="32">
        <v>2015</v>
      </c>
      <c r="U2" s="32">
        <v>2015</v>
      </c>
    </row>
    <row r="3" spans="1:21" s="5" customFormat="1" x14ac:dyDescent="0.3">
      <c r="A3" s="4" t="s">
        <v>0</v>
      </c>
      <c r="B3" s="33">
        <v>175</v>
      </c>
      <c r="C3" s="34">
        <f>156/B3</f>
        <v>0.89142857142857146</v>
      </c>
      <c r="D3" s="33">
        <v>5530</v>
      </c>
      <c r="E3" s="34">
        <f>3947/D3</f>
        <v>0.71374321880650993</v>
      </c>
      <c r="F3" s="34">
        <f>3477/D3</f>
        <v>0.62875226039783005</v>
      </c>
      <c r="G3" s="33">
        <v>193</v>
      </c>
      <c r="H3" s="34">
        <f>171/G3</f>
        <v>0.88601036269430056</v>
      </c>
      <c r="I3" s="33">
        <v>5414</v>
      </c>
      <c r="J3" s="34">
        <f>3631/I3</f>
        <v>0.67066863686738087</v>
      </c>
      <c r="K3" s="34">
        <f>3145/I3</f>
        <v>0.58090136682674542</v>
      </c>
      <c r="L3" s="33">
        <v>229</v>
      </c>
      <c r="M3" s="34">
        <f>169/L3</f>
        <v>0.73799126637554591</v>
      </c>
      <c r="N3" s="33">
        <v>5249</v>
      </c>
      <c r="O3" s="34">
        <f>2855/N3</f>
        <v>0.54391312630977329</v>
      </c>
      <c r="P3" s="34">
        <v>0.43</v>
      </c>
      <c r="Q3" s="33">
        <v>239</v>
      </c>
      <c r="R3" s="34">
        <f>152/Q3</f>
        <v>0.63598326359832635</v>
      </c>
      <c r="S3" s="33">
        <v>5102</v>
      </c>
      <c r="T3" s="34">
        <f>2371/S3</f>
        <v>0.46471971775774207</v>
      </c>
      <c r="U3" s="34">
        <f>1412/S3</f>
        <v>0.27675421403371225</v>
      </c>
    </row>
    <row r="4" spans="1:21" s="7" customFormat="1" x14ac:dyDescent="0.3">
      <c r="A4" s="6" t="s">
        <v>1</v>
      </c>
      <c r="B4" s="35">
        <v>103</v>
      </c>
      <c r="C4" s="35">
        <v>0.91</v>
      </c>
      <c r="D4" s="36">
        <v>2854</v>
      </c>
      <c r="E4" s="36">
        <v>0.7</v>
      </c>
      <c r="F4" s="36">
        <v>0.6</v>
      </c>
      <c r="G4" s="35">
        <v>103</v>
      </c>
      <c r="H4" s="35">
        <v>0.87</v>
      </c>
      <c r="I4" s="36">
        <v>2790</v>
      </c>
      <c r="J4" s="36">
        <v>0.67</v>
      </c>
      <c r="K4" s="36">
        <v>0.55000000000000004</v>
      </c>
      <c r="L4" s="35">
        <v>155</v>
      </c>
      <c r="M4" s="35">
        <v>0.72</v>
      </c>
      <c r="N4" s="36">
        <v>2744</v>
      </c>
      <c r="O4" s="36">
        <v>0.54</v>
      </c>
      <c r="P4" s="36">
        <v>0.41</v>
      </c>
      <c r="Q4" s="35">
        <v>147</v>
      </c>
      <c r="R4" s="35">
        <v>0.61</v>
      </c>
      <c r="S4" s="36">
        <v>2662</v>
      </c>
      <c r="T4" s="36">
        <v>0.46</v>
      </c>
      <c r="U4" s="36">
        <v>0.26</v>
      </c>
    </row>
    <row r="5" spans="1:21" x14ac:dyDescent="0.3">
      <c r="A5" s="1" t="s">
        <v>2</v>
      </c>
      <c r="B5" s="37">
        <v>20</v>
      </c>
      <c r="C5" s="37">
        <v>0.85</v>
      </c>
      <c r="D5" s="38">
        <v>698</v>
      </c>
      <c r="E5" s="38">
        <v>0.69</v>
      </c>
      <c r="F5" s="38">
        <v>0.61</v>
      </c>
      <c r="G5" s="37">
        <v>15</v>
      </c>
      <c r="H5" s="37">
        <v>0.93</v>
      </c>
      <c r="I5" s="38">
        <v>663</v>
      </c>
      <c r="J5" s="38">
        <v>0.64</v>
      </c>
      <c r="K5" s="38">
        <v>0.56999999999999995</v>
      </c>
      <c r="L5" s="37">
        <v>10</v>
      </c>
      <c r="M5" s="37">
        <v>0.6</v>
      </c>
      <c r="N5" s="38">
        <v>627</v>
      </c>
      <c r="O5" s="38">
        <v>0.49</v>
      </c>
      <c r="P5" s="38">
        <v>0.41</v>
      </c>
      <c r="Q5" s="37">
        <v>19</v>
      </c>
      <c r="R5" s="37">
        <v>0.57999999999999996</v>
      </c>
      <c r="S5" s="38">
        <v>601</v>
      </c>
      <c r="T5" s="38">
        <v>0.41</v>
      </c>
      <c r="U5" s="38">
        <v>0.28000000000000003</v>
      </c>
    </row>
    <row r="6" spans="1:21" s="3" customFormat="1" x14ac:dyDescent="0.3">
      <c r="A6" s="2" t="s">
        <v>3</v>
      </c>
      <c r="B6" s="42">
        <v>49</v>
      </c>
      <c r="C6" s="42">
        <v>0.88</v>
      </c>
      <c r="D6" s="43">
        <v>1707</v>
      </c>
      <c r="E6" s="43">
        <v>0.74</v>
      </c>
      <c r="F6" s="43">
        <v>0.7</v>
      </c>
      <c r="G6" s="42">
        <v>62</v>
      </c>
      <c r="H6" s="42">
        <v>0.87</v>
      </c>
      <c r="I6" s="43">
        <v>1692</v>
      </c>
      <c r="J6" s="43">
        <v>0.69</v>
      </c>
      <c r="K6" s="43">
        <v>0.64</v>
      </c>
      <c r="L6" s="42">
        <v>57</v>
      </c>
      <c r="M6" s="42">
        <v>0.79</v>
      </c>
      <c r="N6" s="43">
        <v>1637</v>
      </c>
      <c r="O6" s="43">
        <v>0.56000000000000005</v>
      </c>
      <c r="P6" s="43">
        <v>0.48</v>
      </c>
      <c r="Q6" s="42">
        <v>66</v>
      </c>
      <c r="R6" s="42">
        <v>0.71</v>
      </c>
      <c r="S6" s="43">
        <v>1608</v>
      </c>
      <c r="T6" s="43">
        <v>0.5</v>
      </c>
      <c r="U6" s="43">
        <v>0.3</v>
      </c>
    </row>
    <row r="7" spans="1:21" s="7" customFormat="1" x14ac:dyDescent="0.3">
      <c r="A7" s="6" t="s">
        <v>4</v>
      </c>
      <c r="B7" s="35">
        <v>153</v>
      </c>
      <c r="C7" s="35">
        <v>0.88</v>
      </c>
      <c r="D7" s="36">
        <v>4368</v>
      </c>
      <c r="E7" s="36">
        <v>0.71</v>
      </c>
      <c r="F7" s="36">
        <v>0.63</v>
      </c>
      <c r="G7" s="35">
        <v>167</v>
      </c>
      <c r="H7" s="35">
        <v>0.88</v>
      </c>
      <c r="I7" s="36">
        <v>4249</v>
      </c>
      <c r="J7" s="36">
        <v>0.67</v>
      </c>
      <c r="K7" s="36">
        <v>0.57999999999999996</v>
      </c>
      <c r="L7" s="35">
        <v>182</v>
      </c>
      <c r="M7" s="35">
        <v>0.74</v>
      </c>
      <c r="N7" s="36">
        <v>4111</v>
      </c>
      <c r="O7" s="36">
        <v>0.55000000000000004</v>
      </c>
      <c r="P7" s="36">
        <v>0.44</v>
      </c>
      <c r="Q7" s="35">
        <v>209</v>
      </c>
      <c r="R7" s="35">
        <v>0.64</v>
      </c>
      <c r="S7" s="36">
        <v>4002</v>
      </c>
      <c r="T7" s="36">
        <v>0.48</v>
      </c>
      <c r="U7" s="36">
        <v>0.28999999999999998</v>
      </c>
    </row>
    <row r="8" spans="1:21" s="3" customFormat="1" x14ac:dyDescent="0.3">
      <c r="A8" s="2" t="s">
        <v>5</v>
      </c>
      <c r="B8" s="42">
        <v>22</v>
      </c>
      <c r="C8" s="42">
        <v>0.95</v>
      </c>
      <c r="D8" s="43">
        <v>1162</v>
      </c>
      <c r="E8" s="38">
        <v>0.72</v>
      </c>
      <c r="F8" s="43">
        <v>0.63</v>
      </c>
      <c r="G8" s="42">
        <v>26</v>
      </c>
      <c r="H8" s="42">
        <v>0.92</v>
      </c>
      <c r="I8" s="43">
        <v>1165</v>
      </c>
      <c r="J8" s="38">
        <v>0.66</v>
      </c>
      <c r="K8" s="43">
        <v>0.56999999999999995</v>
      </c>
      <c r="L8" s="42">
        <v>47</v>
      </c>
      <c r="M8" s="42">
        <v>0.72</v>
      </c>
      <c r="N8" s="43">
        <v>1138</v>
      </c>
      <c r="O8" s="38">
        <v>0.52</v>
      </c>
      <c r="P8" s="43">
        <v>0.41</v>
      </c>
      <c r="Q8" s="42">
        <v>30</v>
      </c>
      <c r="R8" s="42">
        <v>0.63</v>
      </c>
      <c r="S8" s="38">
        <v>1100</v>
      </c>
      <c r="T8" s="38">
        <v>0.42</v>
      </c>
      <c r="U8" s="43">
        <v>0.25</v>
      </c>
    </row>
    <row r="9" spans="1:21" s="7" customFormat="1" x14ac:dyDescent="0.3">
      <c r="A9" s="6" t="s">
        <v>6</v>
      </c>
      <c r="B9" s="35">
        <f>7+35</f>
        <v>42</v>
      </c>
      <c r="C9" s="35">
        <f>(7+31)/B9</f>
        <v>0.90476190476190477</v>
      </c>
      <c r="D9" s="35">
        <f>1+22+198</f>
        <v>221</v>
      </c>
      <c r="E9" s="35">
        <f>(1+19+150)/D9</f>
        <v>0.76923076923076927</v>
      </c>
      <c r="F9" s="35">
        <f>(1+12+110)/D9</f>
        <v>0.5565610859728507</v>
      </c>
      <c r="G9" s="35">
        <f>12+38</f>
        <v>50</v>
      </c>
      <c r="H9" s="35">
        <f>(12+35)/G9</f>
        <v>0.94</v>
      </c>
      <c r="I9" s="35">
        <f>3+31+211</f>
        <v>245</v>
      </c>
      <c r="J9" s="35">
        <f>(3+25+153)/I9</f>
        <v>0.73877551020408161</v>
      </c>
      <c r="K9" s="35">
        <f>(3+19+118)/I9</f>
        <v>0.5714285714285714</v>
      </c>
      <c r="L9" s="35">
        <f>17+68</f>
        <v>85</v>
      </c>
      <c r="M9" s="35">
        <f>(8+53)/L9</f>
        <v>0.71764705882352942</v>
      </c>
      <c r="N9" s="35">
        <f>6+40+231</f>
        <v>277</v>
      </c>
      <c r="O9" s="35">
        <f>(4+22+147)/N9</f>
        <v>0.62454873646209386</v>
      </c>
      <c r="P9" s="35">
        <f>(2+14+97)/N9</f>
        <v>0.40794223826714804</v>
      </c>
      <c r="Q9" s="35">
        <f>17+63</f>
        <v>80</v>
      </c>
      <c r="R9" s="35">
        <f>(6+32)/Q9</f>
        <v>0.47499999999999998</v>
      </c>
      <c r="S9" s="35">
        <f>6+37+223</f>
        <v>266</v>
      </c>
      <c r="T9" s="35">
        <f>(2+13+95)/S9</f>
        <v>0.41353383458646614</v>
      </c>
      <c r="U9" s="35">
        <f>(2+11+52)/S9</f>
        <v>0.24436090225563908</v>
      </c>
    </row>
    <row r="10" spans="1:21" x14ac:dyDescent="0.3">
      <c r="A10" s="1" t="s">
        <v>7</v>
      </c>
      <c r="B10" s="37">
        <f>40+20</f>
        <v>60</v>
      </c>
      <c r="C10" s="37">
        <f>(35+17)/B10</f>
        <v>0.8666666666666667</v>
      </c>
      <c r="D10" s="38">
        <f>482+437</f>
        <v>919</v>
      </c>
      <c r="E10" s="38">
        <f>(355+332)/D10</f>
        <v>0.74755168661588678</v>
      </c>
      <c r="F10" s="38">
        <f>(282+275)/D10</f>
        <v>0.60609357997823721</v>
      </c>
      <c r="G10" s="37">
        <f>60+25</f>
        <v>85</v>
      </c>
      <c r="H10" s="37">
        <f>(48+21)/G10</f>
        <v>0.81176470588235294</v>
      </c>
      <c r="I10" s="38">
        <f>467+408</f>
        <v>875</v>
      </c>
      <c r="J10" s="38">
        <f>(321+284)/I10</f>
        <v>0.69142857142857139</v>
      </c>
      <c r="K10" s="38">
        <f>(252+225)/I10</f>
        <v>0.54514285714285715</v>
      </c>
      <c r="L10" s="37">
        <f>46+25</f>
        <v>71</v>
      </c>
      <c r="M10" s="37">
        <f>(33+16)/L10</f>
        <v>0.6901408450704225</v>
      </c>
      <c r="N10" s="38">
        <f>403+384</f>
        <v>787</v>
      </c>
      <c r="O10" s="38">
        <f>(229+208)/N10</f>
        <v>0.55527318932655656</v>
      </c>
      <c r="P10" s="38">
        <f>(155+149)/N10</f>
        <v>0.38627700127064801</v>
      </c>
      <c r="Q10" s="37">
        <f>48+31</f>
        <v>79</v>
      </c>
      <c r="R10" s="37">
        <f>(37+20)/Q10</f>
        <v>0.72151898734177211</v>
      </c>
      <c r="S10" s="38">
        <f>371+376</f>
        <v>747</v>
      </c>
      <c r="T10" s="38">
        <f>(199+181)/S10</f>
        <v>0.50870147255689424</v>
      </c>
      <c r="U10" s="37">
        <f>(110+96)/S10</f>
        <v>0.27576974564926371</v>
      </c>
    </row>
    <row r="11" spans="1:21" x14ac:dyDescent="0.3">
      <c r="A11" s="1" t="s">
        <v>8</v>
      </c>
      <c r="B11" s="37">
        <f>18+17</f>
        <v>35</v>
      </c>
      <c r="C11" s="37">
        <f>(16+15)/B11</f>
        <v>0.88571428571428568</v>
      </c>
      <c r="D11" s="37">
        <f>485+467</f>
        <v>952</v>
      </c>
      <c r="E11" s="38">
        <f>(359+311)/D11</f>
        <v>0.70378151260504207</v>
      </c>
      <c r="F11" s="37">
        <f>(307+274)/D11</f>
        <v>0.61029411764705888</v>
      </c>
      <c r="G11" s="37">
        <f>13+9</f>
        <v>22</v>
      </c>
      <c r="H11" s="37">
        <f>(13+9)/G11</f>
        <v>1</v>
      </c>
      <c r="I11" s="37">
        <f>475+455</f>
        <v>930</v>
      </c>
      <c r="J11" s="38">
        <f>(309+275)/I11</f>
        <v>0.6279569892473118</v>
      </c>
      <c r="K11" s="37">
        <f>(257+229)/I11</f>
        <v>0.52258064516129032</v>
      </c>
      <c r="L11" s="37">
        <f>18+10</f>
        <v>28</v>
      </c>
      <c r="M11" s="37">
        <f>(14+8)/L11</f>
        <v>0.7857142857142857</v>
      </c>
      <c r="N11" s="37">
        <f>450+474</f>
        <v>924</v>
      </c>
      <c r="O11" s="38">
        <f>(244+260)/N11</f>
        <v>0.54545454545454541</v>
      </c>
      <c r="P11" s="37">
        <f>(187+203)/N11</f>
        <v>0.42207792207792205</v>
      </c>
      <c r="Q11" s="37">
        <f>26+13</f>
        <v>39</v>
      </c>
      <c r="R11" s="37">
        <f>(17+9)/Q11</f>
        <v>0.66666666666666663</v>
      </c>
      <c r="S11" s="38">
        <f>412+506</f>
        <v>918</v>
      </c>
      <c r="T11" s="38">
        <f>(180+246)/S11</f>
        <v>0.46405228758169936</v>
      </c>
      <c r="U11" s="37">
        <f>(102+143)/S11</f>
        <v>0.26688453159041392</v>
      </c>
    </row>
    <row r="12" spans="1:21" x14ac:dyDescent="0.3">
      <c r="A12" s="1" t="s">
        <v>9</v>
      </c>
      <c r="B12" s="37">
        <f>9+8</f>
        <v>17</v>
      </c>
      <c r="C12" s="37">
        <f>(9+7)/B12</f>
        <v>0.94117647058823528</v>
      </c>
      <c r="D12" s="38">
        <f>663+858</f>
        <v>1521</v>
      </c>
      <c r="E12" s="38">
        <f>(466+617)/D12</f>
        <v>0.71203155818540431</v>
      </c>
      <c r="F12" s="38">
        <f>(412+552)/D12</f>
        <v>0.63379355687048</v>
      </c>
      <c r="G12" s="37">
        <f>9+14</f>
        <v>23</v>
      </c>
      <c r="H12" s="37">
        <f>(8+12)/G12</f>
        <v>0.86956521739130432</v>
      </c>
      <c r="I12" s="38">
        <f>723+858</f>
        <v>1581</v>
      </c>
      <c r="J12" s="38">
        <f>(492+574)/I12</f>
        <v>0.6742567994939912</v>
      </c>
      <c r="K12" s="38">
        <f>(434+508)/I12</f>
        <v>0.59582542694497154</v>
      </c>
      <c r="L12" s="37">
        <f>16+12</f>
        <v>28</v>
      </c>
      <c r="M12" s="37">
        <f>(12+10)/L12</f>
        <v>0.7857142857142857</v>
      </c>
      <c r="N12" s="38">
        <f>764+898</f>
        <v>1662</v>
      </c>
      <c r="O12" s="38">
        <f>(400+470)/N12</f>
        <v>0.52346570397111913</v>
      </c>
      <c r="P12" s="38">
        <f>(318+387)/N12</f>
        <v>0.42418772563176893</v>
      </c>
      <c r="Q12" s="37">
        <f>14+15</f>
        <v>29</v>
      </c>
      <c r="R12" s="37">
        <f>(10+13)/Q12</f>
        <v>0.7931034482758621</v>
      </c>
      <c r="S12" s="38">
        <f>803+943</f>
        <v>1746</v>
      </c>
      <c r="T12" s="38">
        <f>(359+419)/S12</f>
        <v>0.44558991981672397</v>
      </c>
      <c r="U12" s="37">
        <f>(216+232)/S12</f>
        <v>0.25658648339060708</v>
      </c>
    </row>
    <row r="13" spans="1:21" s="3" customFormat="1" x14ac:dyDescent="0.3">
      <c r="A13" s="2" t="s">
        <v>10</v>
      </c>
      <c r="B13" s="42">
        <f>19+2</f>
        <v>21</v>
      </c>
      <c r="C13" s="42">
        <f>(18+1)/B13</f>
        <v>0.90476190476190477</v>
      </c>
      <c r="D13" s="42">
        <f>1443+474</f>
        <v>1917</v>
      </c>
      <c r="E13" s="43">
        <f>(1024+313)/D13</f>
        <v>0.69744392279603551</v>
      </c>
      <c r="F13" s="42">
        <f>(952+301)/D13</f>
        <v>0.65362545644235781</v>
      </c>
      <c r="G13" s="42">
        <f>11+2</f>
        <v>13</v>
      </c>
      <c r="H13" s="42">
        <f>(11+2)/G13</f>
        <v>1</v>
      </c>
      <c r="I13" s="42">
        <f>1364+419</f>
        <v>1783</v>
      </c>
      <c r="J13" s="43">
        <f>(940+255)/I13</f>
        <v>0.6702187324733595</v>
      </c>
      <c r="K13" s="42">
        <f>(864+236)/I13</f>
        <v>0.61693774537296686</v>
      </c>
      <c r="L13" s="42">
        <f>14+3</f>
        <v>17</v>
      </c>
      <c r="M13" s="37">
        <f>(12+3)/L13</f>
        <v>0.88235294117647056</v>
      </c>
      <c r="N13" s="42">
        <f>1245+354</f>
        <v>1599</v>
      </c>
      <c r="O13" s="43">
        <f>(679+192)/N13</f>
        <v>0.54471544715447151</v>
      </c>
      <c r="P13" s="42">
        <f>(599+165)/N13</f>
        <v>0.47779862414008756</v>
      </c>
      <c r="Q13" s="42">
        <f>8+4</f>
        <v>12</v>
      </c>
      <c r="R13" s="37">
        <f>(5+3)/Q13</f>
        <v>0.66666666666666663</v>
      </c>
      <c r="S13" s="43">
        <f>1126+299</f>
        <v>1425</v>
      </c>
      <c r="T13" s="43">
        <f>(549+128)/S13</f>
        <v>0.47508771929824561</v>
      </c>
      <c r="U13" s="42">
        <f>(357+91)/S13</f>
        <v>0.31438596491228071</v>
      </c>
    </row>
    <row r="14" spans="1:21" s="7" customFormat="1" x14ac:dyDescent="0.3">
      <c r="A14" s="6" t="s">
        <v>11</v>
      </c>
      <c r="B14" s="35">
        <v>103</v>
      </c>
      <c r="C14" s="36">
        <v>0.88</v>
      </c>
      <c r="D14" s="36">
        <v>2969</v>
      </c>
      <c r="E14" s="36">
        <v>0.76</v>
      </c>
      <c r="F14" s="36">
        <v>0.68</v>
      </c>
      <c r="G14" s="35">
        <v>122</v>
      </c>
      <c r="H14" s="35">
        <v>0.91</v>
      </c>
      <c r="I14" s="36">
        <v>2903</v>
      </c>
      <c r="J14" s="36">
        <v>0.71</v>
      </c>
      <c r="K14" s="36">
        <v>0.62</v>
      </c>
      <c r="L14" s="35">
        <v>134</v>
      </c>
      <c r="M14" s="35">
        <v>0.75</v>
      </c>
      <c r="N14" s="36">
        <v>2923</v>
      </c>
      <c r="O14" s="36">
        <v>0.62</v>
      </c>
      <c r="P14" s="36">
        <v>0.49</v>
      </c>
      <c r="Q14" s="35">
        <v>147</v>
      </c>
      <c r="R14" s="35">
        <v>0.63</v>
      </c>
      <c r="S14" s="36">
        <v>2786</v>
      </c>
      <c r="T14" s="36">
        <v>0.54</v>
      </c>
      <c r="U14" s="36">
        <v>0.34</v>
      </c>
    </row>
    <row r="15" spans="1:21" x14ac:dyDescent="0.3">
      <c r="A15" s="1" t="s">
        <v>12</v>
      </c>
      <c r="B15" s="37">
        <f>4+2</f>
        <v>6</v>
      </c>
      <c r="C15" s="37">
        <f>(2+2)/B15</f>
        <v>0.66666666666666663</v>
      </c>
      <c r="D15" s="38">
        <f>209+141</f>
        <v>350</v>
      </c>
      <c r="E15" s="38">
        <f>(127+95)/D15</f>
        <v>0.63428571428571423</v>
      </c>
      <c r="F15" s="38">
        <f>(109+82)/D15</f>
        <v>0.54571428571428571</v>
      </c>
      <c r="G15" s="37">
        <f>2+2</f>
        <v>4</v>
      </c>
      <c r="H15" s="37">
        <f>(2+2)/G15</f>
        <v>1</v>
      </c>
      <c r="I15" s="38">
        <f>206+148</f>
        <v>354</v>
      </c>
      <c r="J15" s="38">
        <f>(119+95)/I15</f>
        <v>0.60451977401129942</v>
      </c>
      <c r="K15" s="38">
        <f>(101+85)/I15</f>
        <v>0.52542372881355937</v>
      </c>
      <c r="L15" s="37">
        <f>4+2</f>
        <v>6</v>
      </c>
      <c r="M15" s="37">
        <f>(2+31)/L15</f>
        <v>5.5</v>
      </c>
      <c r="N15" s="38">
        <f>167+141</f>
        <v>308</v>
      </c>
      <c r="O15" s="38">
        <f>(48+63)/N15</f>
        <v>0.36038961038961037</v>
      </c>
      <c r="P15" s="38">
        <f>(36+51)/N15</f>
        <v>0.28246753246753248</v>
      </c>
      <c r="Q15" s="37">
        <f>5+6</f>
        <v>11</v>
      </c>
      <c r="R15" s="37">
        <f>(5+3)/Q15</f>
        <v>0.72727272727272729</v>
      </c>
      <c r="S15" s="38">
        <f>177+142</f>
        <v>319</v>
      </c>
      <c r="T15" s="38">
        <f>(39+55)/S15</f>
        <v>0.29467084639498431</v>
      </c>
      <c r="U15" s="38">
        <f>(18+34)/S15</f>
        <v>0.16300940438871472</v>
      </c>
    </row>
    <row r="16" spans="1:21" x14ac:dyDescent="0.3">
      <c r="A16" s="1" t="s">
        <v>13</v>
      </c>
      <c r="B16" s="37">
        <v>3</v>
      </c>
      <c r="C16" s="37">
        <v>1</v>
      </c>
      <c r="D16" s="38">
        <v>215</v>
      </c>
      <c r="E16" s="38">
        <v>0.68</v>
      </c>
      <c r="F16" s="38">
        <v>0.59</v>
      </c>
      <c r="G16" s="37">
        <v>7</v>
      </c>
      <c r="H16" s="37">
        <f>1</f>
        <v>1</v>
      </c>
      <c r="I16" s="38">
        <v>213</v>
      </c>
      <c r="J16" s="38">
        <v>0.7</v>
      </c>
      <c r="K16" s="38">
        <v>0.63</v>
      </c>
      <c r="L16" s="37">
        <v>9</v>
      </c>
      <c r="M16" s="37">
        <v>0.89</v>
      </c>
      <c r="N16" s="38">
        <v>239</v>
      </c>
      <c r="O16" s="38">
        <v>0.51</v>
      </c>
      <c r="P16" s="38">
        <v>0.46</v>
      </c>
      <c r="Q16" s="37">
        <v>3</v>
      </c>
      <c r="R16" s="37">
        <v>0.67</v>
      </c>
      <c r="S16" s="38">
        <v>236</v>
      </c>
      <c r="T16" s="38">
        <v>0.54</v>
      </c>
      <c r="U16" s="38">
        <v>0.35</v>
      </c>
    </row>
    <row r="17" spans="1:30" s="3" customFormat="1" x14ac:dyDescent="0.3">
      <c r="A17" s="2" t="s">
        <v>14</v>
      </c>
      <c r="B17" s="42">
        <f>7+18</f>
        <v>25</v>
      </c>
      <c r="C17" s="42">
        <f>(6+17)/B17</f>
        <v>0.92</v>
      </c>
      <c r="D17" s="43">
        <f>298+900</f>
        <v>1198</v>
      </c>
      <c r="E17" s="43">
        <f>(215+690)/D17</f>
        <v>0.75542570951585974</v>
      </c>
      <c r="F17" s="43">
        <f>(189+606)/D17</f>
        <v>0.6636060100166945</v>
      </c>
      <c r="G17" s="42">
        <f>4+24</f>
        <v>28</v>
      </c>
      <c r="H17" s="42">
        <f>(3+22)/G17</f>
        <v>0.8928571428571429</v>
      </c>
      <c r="I17" s="43">
        <f>283+894</f>
        <v>1177</v>
      </c>
      <c r="J17" s="43">
        <f>(195+636)/I17</f>
        <v>0.70603228547153785</v>
      </c>
      <c r="K17" s="43">
        <f>(173+547)/I17</f>
        <v>0.61172472387425658</v>
      </c>
      <c r="L17" s="42">
        <f>2+43</f>
        <v>45</v>
      </c>
      <c r="M17" s="42">
        <f>(1+31)/L17</f>
        <v>0.71111111111111114</v>
      </c>
      <c r="N17" s="43">
        <f>208+870</f>
        <v>1078</v>
      </c>
      <c r="O17" s="43">
        <f>(97+490)/N17</f>
        <v>0.54452690166975881</v>
      </c>
      <c r="P17" s="43">
        <f>(76+389)/N17</f>
        <v>0.43135435992578852</v>
      </c>
      <c r="Q17" s="42">
        <f>10+22</f>
        <v>32</v>
      </c>
      <c r="R17" s="42">
        <f>(6+15)/Q17</f>
        <v>0.65625</v>
      </c>
      <c r="S17" s="43">
        <f>222+831</f>
        <v>1053</v>
      </c>
      <c r="T17" s="43">
        <f>(77+376)/S17</f>
        <v>0.43019943019943019</v>
      </c>
      <c r="U17" s="43">
        <f>(38+227)/S17</f>
        <v>0.25166191832858498</v>
      </c>
    </row>
    <row r="18" spans="1:30" x14ac:dyDescent="0.3">
      <c r="A18" s="1" t="s">
        <v>20</v>
      </c>
      <c r="B18" s="38"/>
      <c r="C18" s="38">
        <v>3</v>
      </c>
      <c r="D18" s="38"/>
      <c r="E18" s="38"/>
      <c r="F18" s="38"/>
      <c r="G18" s="38"/>
      <c r="H18" s="38">
        <v>3</v>
      </c>
      <c r="I18" s="38"/>
      <c r="J18" s="38"/>
      <c r="K18" s="38"/>
      <c r="L18" s="38"/>
      <c r="M18" s="38">
        <v>3</v>
      </c>
      <c r="N18" s="38"/>
      <c r="O18" s="38"/>
      <c r="P18" s="38"/>
      <c r="Q18" s="38"/>
      <c r="R18" s="38">
        <v>3</v>
      </c>
      <c r="S18" s="38"/>
      <c r="T18" s="38"/>
      <c r="U18" s="38"/>
      <c r="V18" s="14"/>
    </row>
    <row r="19" spans="1:30" x14ac:dyDescent="0.3">
      <c r="H19" s="12"/>
      <c r="I19" s="13"/>
      <c r="J19" s="12"/>
      <c r="K19" s="13"/>
      <c r="M19" s="12"/>
      <c r="N19" s="12"/>
      <c r="O19" s="13"/>
      <c r="P19" s="12"/>
      <c r="Q19" s="13"/>
      <c r="S19" s="12"/>
      <c r="T19" s="12"/>
      <c r="U19" s="13"/>
      <c r="V19" s="12"/>
      <c r="W19" s="13"/>
      <c r="Y19" s="12"/>
      <c r="Z19" s="12"/>
      <c r="AA19" s="13"/>
      <c r="AB19" s="12"/>
      <c r="AC19" s="13"/>
      <c r="AD19" s="12"/>
    </row>
    <row r="20" spans="1:30" x14ac:dyDescent="0.3">
      <c r="B20" s="38" t="s">
        <v>69</v>
      </c>
      <c r="C20" s="38"/>
      <c r="D20" s="38"/>
      <c r="E20" s="38"/>
      <c r="F20" s="38"/>
      <c r="G20" s="38"/>
      <c r="H20" s="38"/>
      <c r="I20" s="13"/>
      <c r="J20" s="12"/>
      <c r="K20" t="s">
        <v>72</v>
      </c>
      <c r="M20" s="12"/>
      <c r="N20" s="12"/>
      <c r="O20" s="13"/>
      <c r="S20" s="12"/>
      <c r="Y20" s="12"/>
      <c r="AD20" s="12"/>
    </row>
    <row r="21" spans="1:30" x14ac:dyDescent="0.3">
      <c r="B21" s="41" t="s">
        <v>45</v>
      </c>
      <c r="M21" s="15"/>
      <c r="S21" s="15"/>
      <c r="Y21" s="15"/>
      <c r="AD21" s="15"/>
    </row>
    <row r="22" spans="1:30" x14ac:dyDescent="0.3">
      <c r="M22" s="12"/>
      <c r="S22" s="12"/>
      <c r="Y22" s="12"/>
      <c r="AD22" s="12"/>
    </row>
    <row r="23" spans="1:30" x14ac:dyDescent="0.3">
      <c r="M23" s="15"/>
      <c r="S23" s="15"/>
      <c r="Y23" s="15"/>
      <c r="AD23" s="15"/>
    </row>
    <row r="24" spans="1:30" x14ac:dyDescent="0.3">
      <c r="M24" s="15"/>
      <c r="S24" s="15"/>
      <c r="Y24" s="15"/>
      <c r="AD24" s="15"/>
    </row>
    <row r="26" spans="1:30" x14ac:dyDescent="0.3">
      <c r="M26" s="12"/>
      <c r="S26" s="12"/>
      <c r="Y26" s="12"/>
      <c r="AD26" s="12"/>
    </row>
    <row r="27" spans="1:30" x14ac:dyDescent="0.3">
      <c r="M27" s="12"/>
      <c r="S27" s="12"/>
      <c r="Y27" s="12"/>
      <c r="AD27" s="12"/>
    </row>
    <row r="28" spans="1:30" x14ac:dyDescent="0.3">
      <c r="M28" s="12"/>
      <c r="S28" s="12"/>
      <c r="Y28" s="12"/>
      <c r="AD28" s="12"/>
    </row>
    <row r="29" spans="1:30" x14ac:dyDescent="0.3">
      <c r="M29" s="12"/>
      <c r="S29" s="12"/>
      <c r="Y29" s="12"/>
      <c r="AD29" s="12"/>
    </row>
    <row r="30" spans="1:30" x14ac:dyDescent="0.3">
      <c r="F30" t="s">
        <v>23</v>
      </c>
      <c r="M30" s="12"/>
      <c r="S30" s="12"/>
      <c r="Y30" s="12"/>
      <c r="AD30" s="12"/>
    </row>
    <row r="31" spans="1:30" x14ac:dyDescent="0.3">
      <c r="M31" s="12"/>
      <c r="S31" s="12"/>
      <c r="Y31" s="12"/>
      <c r="AD31" s="12"/>
    </row>
    <row r="32" spans="1:30" x14ac:dyDescent="0.3">
      <c r="M32" s="12"/>
      <c r="S32" s="12"/>
      <c r="Y32" s="12"/>
      <c r="AD32" s="12"/>
    </row>
    <row r="33" spans="13:30" x14ac:dyDescent="0.3">
      <c r="M33" s="12"/>
      <c r="S33" s="12"/>
      <c r="Y33" s="12"/>
      <c r="AD33" s="1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zoomScale="120" zoomScaleNormal="120" workbookViewId="0">
      <pane xSplit="1" ySplit="1" topLeftCell="B2" activePane="bottomRight" state="frozen"/>
      <selection pane="topRight" activeCell="B1" sqref="B1"/>
      <selection pane="bottomLeft" activeCell="A2" sqref="A2"/>
      <selection pane="bottomRight" activeCell="A2" sqref="A2"/>
    </sheetView>
  </sheetViews>
  <sheetFormatPr defaultColWidth="8.77734375" defaultRowHeight="14.4" x14ac:dyDescent="0.3"/>
  <cols>
    <col min="1" max="1" width="8.77734375" style="1"/>
  </cols>
  <sheetData>
    <row r="1" spans="1:7" s="1" customFormat="1" x14ac:dyDescent="0.3">
      <c r="A1" s="1" t="s">
        <v>22</v>
      </c>
      <c r="B1" s="1" t="s">
        <v>19</v>
      </c>
      <c r="C1" s="1" t="s">
        <v>18</v>
      </c>
      <c r="D1" s="1" t="s">
        <v>17</v>
      </c>
      <c r="E1" s="1" t="s">
        <v>21</v>
      </c>
      <c r="F1" s="1" t="s">
        <v>25</v>
      </c>
      <c r="G1" s="1" t="s">
        <v>16</v>
      </c>
    </row>
    <row r="2" spans="1:7" x14ac:dyDescent="0.3">
      <c r="A2" s="1">
        <v>2015</v>
      </c>
      <c r="B2" s="38">
        <v>239</v>
      </c>
      <c r="C2" s="37">
        <f>152/B2</f>
        <v>0.63598326359832635</v>
      </c>
      <c r="D2" s="38">
        <v>5102</v>
      </c>
      <c r="E2" s="37">
        <f>2371/D2</f>
        <v>0.46471971775774207</v>
      </c>
      <c r="F2" s="37">
        <f>1309/D2</f>
        <v>0.25656605252842024</v>
      </c>
      <c r="G2" s="37">
        <f>1412/D2</f>
        <v>0.27675421403371225</v>
      </c>
    </row>
    <row r="3" spans="1:7" x14ac:dyDescent="0.3">
      <c r="A3" s="1">
        <v>2016</v>
      </c>
      <c r="B3" s="38">
        <v>229</v>
      </c>
      <c r="C3" s="37">
        <f>169/B3</f>
        <v>0.73799126637554591</v>
      </c>
      <c r="D3" s="38">
        <v>5249</v>
      </c>
      <c r="E3" s="37">
        <f>2855/D3</f>
        <v>0.54391312630977329</v>
      </c>
      <c r="F3" s="37">
        <f>1892/D3</f>
        <v>0.36044960944941895</v>
      </c>
      <c r="G3" s="37">
        <f>2276/D3</f>
        <v>0.43360640121927985</v>
      </c>
    </row>
    <row r="4" spans="1:7" x14ac:dyDescent="0.3">
      <c r="A4" s="1">
        <v>2017</v>
      </c>
      <c r="B4" s="38">
        <v>193</v>
      </c>
      <c r="C4" s="37">
        <f>171/B4</f>
        <v>0.88601036269430056</v>
      </c>
      <c r="D4" s="38">
        <v>5414</v>
      </c>
      <c r="E4" s="37">
        <f>3631/D4</f>
        <v>0.67066863686738087</v>
      </c>
      <c r="F4" s="37">
        <f>2102/D4</f>
        <v>0.38825267824159587</v>
      </c>
      <c r="G4" s="37">
        <f>3145/D4</f>
        <v>0.58090136682674542</v>
      </c>
    </row>
    <row r="5" spans="1:7" x14ac:dyDescent="0.3">
      <c r="A5" s="1">
        <v>2018</v>
      </c>
      <c r="B5" s="38">
        <v>175</v>
      </c>
      <c r="C5" s="37">
        <f>156/B5</f>
        <v>0.89142857142857146</v>
      </c>
      <c r="D5" s="38">
        <v>5530</v>
      </c>
      <c r="E5" s="37">
        <f>3947/D5</f>
        <v>0.71374321880650993</v>
      </c>
      <c r="F5" s="37">
        <f>2711/D5</f>
        <v>0.49023508137432187</v>
      </c>
      <c r="G5" s="37">
        <f>3477/D5</f>
        <v>0.62875226039783005</v>
      </c>
    </row>
    <row r="6" spans="1:7" x14ac:dyDescent="0.3">
      <c r="A6" s="1">
        <v>2015</v>
      </c>
      <c r="B6" s="39">
        <v>935</v>
      </c>
      <c r="C6" s="40">
        <f>737/B6</f>
        <v>0.78823529411764703</v>
      </c>
      <c r="D6" s="41">
        <v>21201</v>
      </c>
      <c r="E6" s="40">
        <f>12190/D6</f>
        <v>0.57497287863780011</v>
      </c>
      <c r="F6" s="40">
        <f>7626/D6</f>
        <v>0.35970001415027592</v>
      </c>
      <c r="G6" s="45">
        <f>9234/D6</f>
        <v>0.43554549313711616</v>
      </c>
    </row>
    <row r="7" spans="1:7" x14ac:dyDescent="0.3">
      <c r="A7" s="1">
        <v>2016</v>
      </c>
      <c r="B7" s="39">
        <v>979</v>
      </c>
      <c r="C7" s="40">
        <f>812/B7</f>
        <v>0.82941777323799792</v>
      </c>
      <c r="D7" s="41">
        <v>22510</v>
      </c>
      <c r="E7" s="40">
        <f>13154/D7</f>
        <v>0.58436250555308755</v>
      </c>
      <c r="F7" s="40">
        <f>8369/D7</f>
        <v>0.37179031541537094</v>
      </c>
      <c r="G7" s="45">
        <f>10738/D7</f>
        <v>0.4770324300310973</v>
      </c>
    </row>
    <row r="8" spans="1:7" x14ac:dyDescent="0.3">
      <c r="A8" s="1">
        <v>2017</v>
      </c>
      <c r="B8" s="39">
        <v>981</v>
      </c>
      <c r="C8" s="40">
        <f>876/B8</f>
        <v>0.89296636085626913</v>
      </c>
      <c r="D8" s="41">
        <v>23131</v>
      </c>
      <c r="E8" s="40">
        <f>15309/D8</f>
        <v>0.66183909039816691</v>
      </c>
      <c r="F8" s="40">
        <f>9029/D8</f>
        <v>0.39034196532791493</v>
      </c>
      <c r="G8" s="45">
        <f>12416/D8</f>
        <v>0.53676883835545375</v>
      </c>
    </row>
    <row r="9" spans="1:7" x14ac:dyDescent="0.3">
      <c r="A9" s="1">
        <v>2018</v>
      </c>
      <c r="B9" s="39">
        <v>979</v>
      </c>
      <c r="C9" s="40">
        <f>849/B9</f>
        <v>0.86721144024514807</v>
      </c>
      <c r="D9" s="41">
        <v>23530</v>
      </c>
      <c r="E9" s="40">
        <f>16689/D9</f>
        <v>0.70926476838079044</v>
      </c>
      <c r="F9" s="40">
        <f>10969/D9</f>
        <v>0.46617084572885675</v>
      </c>
      <c r="G9" s="45">
        <f>13888/D9</f>
        <v>0.59022524436889079</v>
      </c>
    </row>
    <row r="11" spans="1:7" x14ac:dyDescent="0.3">
      <c r="B11" s="38" t="s">
        <v>70</v>
      </c>
      <c r="C11" s="38"/>
      <c r="D11" s="38"/>
    </row>
    <row r="12" spans="1:7" x14ac:dyDescent="0.3">
      <c r="B12" s="41" t="s">
        <v>45</v>
      </c>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120" zoomScaleNormal="120" workbookViewId="0">
      <selection activeCell="C1" sqref="C1"/>
    </sheetView>
  </sheetViews>
  <sheetFormatPr defaultColWidth="8.77734375" defaultRowHeight="14.4" x14ac:dyDescent="0.3"/>
  <cols>
    <col min="1" max="1" width="25.33203125" customWidth="1"/>
  </cols>
  <sheetData>
    <row r="1" spans="1:11" x14ac:dyDescent="0.3">
      <c r="A1" t="s">
        <v>24</v>
      </c>
      <c r="C1" t="s">
        <v>71</v>
      </c>
    </row>
    <row r="2" spans="1:11" x14ac:dyDescent="0.3">
      <c r="J2" s="9"/>
      <c r="K2" s="9"/>
    </row>
    <row r="4" spans="1:11" x14ac:dyDescent="0.3">
      <c r="A4" s="11" t="s">
        <v>64</v>
      </c>
      <c r="B4" s="12">
        <v>1235072</v>
      </c>
    </row>
    <row r="5" spans="1:11" x14ac:dyDescent="0.3">
      <c r="B5" s="30"/>
    </row>
    <row r="6" spans="1:11" x14ac:dyDescent="0.3">
      <c r="A6" t="s">
        <v>44</v>
      </c>
    </row>
    <row r="8" spans="1:11" x14ac:dyDescent="0.3">
      <c r="A8" t="s">
        <v>65</v>
      </c>
      <c r="B8" s="12">
        <v>309833</v>
      </c>
    </row>
    <row r="9" spans="1:11" x14ac:dyDescent="0.3">
      <c r="A9" t="s">
        <v>66</v>
      </c>
      <c r="B9" s="12">
        <v>230149</v>
      </c>
      <c r="D9" s="9"/>
      <c r="E9" s="9"/>
      <c r="F9" s="9"/>
    </row>
    <row r="10" spans="1:11" x14ac:dyDescent="0.3">
      <c r="A10" t="s">
        <v>67</v>
      </c>
      <c r="B10" s="31">
        <v>179746</v>
      </c>
    </row>
    <row r="11" spans="1:11" x14ac:dyDescent="0.3">
      <c r="A11" t="s">
        <v>68</v>
      </c>
      <c r="B11" s="31">
        <v>93649</v>
      </c>
    </row>
    <row r="13" spans="1:11" x14ac:dyDescent="0.3">
      <c r="A13" s="10"/>
      <c r="B13" s="31"/>
    </row>
    <row r="14" spans="1:11" x14ac:dyDescent="0.3">
      <c r="A14" s="10"/>
      <c r="B14" s="31"/>
    </row>
    <row r="15" spans="1:11" x14ac:dyDescent="0.3">
      <c r="A15" t="s">
        <v>46</v>
      </c>
      <c r="B15" s="16"/>
    </row>
    <row r="16" spans="1:11" x14ac:dyDescent="0.3">
      <c r="A16" t="s">
        <v>47</v>
      </c>
    </row>
    <row r="17" spans="2:2" x14ac:dyDescent="0.3">
      <c r="B17" t="s">
        <v>48</v>
      </c>
    </row>
    <row r="18" spans="2:2" x14ac:dyDescent="0.3">
      <c r="B18" t="s">
        <v>49</v>
      </c>
    </row>
    <row r="19" spans="2:2" x14ac:dyDescent="0.3">
      <c r="B19" s="1" t="s">
        <v>50</v>
      </c>
    </row>
    <row r="20" spans="2:2" x14ac:dyDescent="0.3">
      <c r="B20" t="s">
        <v>51</v>
      </c>
    </row>
    <row r="21" spans="2:2" x14ac:dyDescent="0.3">
      <c r="B21" t="s">
        <v>52</v>
      </c>
    </row>
    <row r="22" spans="2:2" x14ac:dyDescent="0.3">
      <c r="B22" t="s">
        <v>53</v>
      </c>
    </row>
    <row r="23" spans="2:2" x14ac:dyDescent="0.3">
      <c r="B23" t="s">
        <v>54</v>
      </c>
    </row>
    <row r="24" spans="2:2" x14ac:dyDescent="0.3">
      <c r="B24" s="44" t="s">
        <v>55</v>
      </c>
    </row>
    <row r="25" spans="2:2" x14ac:dyDescent="0.3">
      <c r="B25" t="s">
        <v>56</v>
      </c>
    </row>
    <row r="26" spans="2:2" x14ac:dyDescent="0.3">
      <c r="B26" t="s">
        <v>57</v>
      </c>
    </row>
    <row r="27" spans="2:2" x14ac:dyDescent="0.3">
      <c r="B27" s="44" t="s">
        <v>58</v>
      </c>
    </row>
    <row r="29" spans="2:2" x14ac:dyDescent="0.3">
      <c r="B29" s="8" t="s">
        <v>59</v>
      </c>
    </row>
    <row r="30" spans="2:2" x14ac:dyDescent="0.3">
      <c r="B30" s="8" t="s">
        <v>60</v>
      </c>
    </row>
    <row r="31" spans="2:2" x14ac:dyDescent="0.3">
      <c r="B31" s="8" t="s">
        <v>61</v>
      </c>
    </row>
    <row r="32" spans="2:2" x14ac:dyDescent="0.3">
      <c r="B32" s="8" t="s">
        <v>62</v>
      </c>
    </row>
    <row r="33" spans="2:2" x14ac:dyDescent="0.3">
      <c r="B33" s="8" t="s">
        <v>63</v>
      </c>
    </row>
    <row r="39" spans="2:2" x14ac:dyDescent="0.3">
      <c r="B39" s="8"/>
    </row>
  </sheetData>
  <hyperlinks>
    <hyperlink ref="B29" r:id="rId1"/>
    <hyperlink ref="B31" r:id="rId2"/>
    <hyperlink ref="B32" r:id="rId3"/>
    <hyperlink ref="B30" r:id="rId4"/>
    <hyperlink ref="B33"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ColWidth="11.5546875" defaultRowHeight="14.4" x14ac:dyDescent="0.3"/>
  <cols>
    <col min="1" max="1" width="13" bestFit="1" customWidth="1"/>
    <col min="2" max="2" width="52" customWidth="1"/>
    <col min="3" max="3" width="32" customWidth="1"/>
  </cols>
  <sheetData>
    <row r="1" spans="1:3" x14ac:dyDescent="0.3">
      <c r="A1" s="19" t="s">
        <v>28</v>
      </c>
      <c r="B1" s="20" t="s">
        <v>29</v>
      </c>
      <c r="C1" s="21" t="s">
        <v>35</v>
      </c>
    </row>
    <row r="2" spans="1:3" x14ac:dyDescent="0.3">
      <c r="A2" s="19" t="s">
        <v>31</v>
      </c>
      <c r="B2" s="22" t="s">
        <v>27</v>
      </c>
      <c r="C2" s="23"/>
    </row>
    <row r="3" spans="1:3" ht="43.2" x14ac:dyDescent="0.3">
      <c r="A3" s="24" t="s">
        <v>30</v>
      </c>
      <c r="B3" s="18" t="s">
        <v>36</v>
      </c>
      <c r="C3" s="25" t="s">
        <v>37</v>
      </c>
    </row>
    <row r="4" spans="1:3" x14ac:dyDescent="0.3">
      <c r="A4" s="26" t="s">
        <v>32</v>
      </c>
      <c r="B4" s="22" t="s">
        <v>26</v>
      </c>
      <c r="C4" s="23"/>
    </row>
    <row r="5" spans="1:3" ht="28.8" x14ac:dyDescent="0.3">
      <c r="A5" s="26" t="s">
        <v>33</v>
      </c>
      <c r="B5" s="17" t="s">
        <v>34</v>
      </c>
      <c r="C5" s="27" t="s">
        <v>38</v>
      </c>
    </row>
    <row r="6" spans="1:3" x14ac:dyDescent="0.3">
      <c r="A6" s="26" t="s">
        <v>39</v>
      </c>
      <c r="B6" s="17" t="s">
        <v>40</v>
      </c>
      <c r="C6" s="27" t="s">
        <v>38</v>
      </c>
    </row>
    <row r="7" spans="1:3" x14ac:dyDescent="0.3">
      <c r="A7" s="26" t="s">
        <v>41</v>
      </c>
      <c r="B7" s="18" t="s">
        <v>42</v>
      </c>
      <c r="C7" s="28" t="s">
        <v>38</v>
      </c>
    </row>
    <row r="8" spans="1:3" x14ac:dyDescent="0.3">
      <c r="A8" s="29" t="s">
        <v>43</v>
      </c>
    </row>
    <row r="9" spans="1:3" x14ac:dyDescent="0.3">
      <c r="B9" s="16"/>
    </row>
    <row r="10" spans="1:3" x14ac:dyDescent="0.3">
      <c r="A10" s="1" t="s">
        <v>23</v>
      </c>
      <c r="B10" s="16"/>
    </row>
    <row r="11" spans="1:3" x14ac:dyDescent="0.3">
      <c r="B11" s="16"/>
    </row>
    <row r="12" spans="1:3" x14ac:dyDescent="0.3">
      <c r="B12" s="16"/>
    </row>
    <row r="13" spans="1:3" x14ac:dyDescent="0.3">
      <c r="B13" s="16"/>
    </row>
    <row r="14" spans="1:3" x14ac:dyDescent="0.3">
      <c r="B14" s="16"/>
    </row>
    <row r="15" spans="1:3" x14ac:dyDescent="0.3">
      <c r="B15" s="16"/>
    </row>
    <row r="16" spans="1:3" x14ac:dyDescent="0.3">
      <c r="B16" s="16"/>
    </row>
    <row r="17" spans="2:2" x14ac:dyDescent="0.3">
      <c r="B17" s="16"/>
    </row>
    <row r="18" spans="2:2" x14ac:dyDescent="0.3">
      <c r="B18" s="16"/>
    </row>
    <row r="19" spans="2:2" x14ac:dyDescent="0.3">
      <c r="B19" s="16"/>
    </row>
    <row r="20" spans="2:2" x14ac:dyDescent="0.3">
      <c r="B20" s="16"/>
    </row>
    <row r="21" spans="2:2" x14ac:dyDescent="0.3">
      <c r="B21" s="16"/>
    </row>
    <row r="22" spans="2:2" x14ac:dyDescent="0.3">
      <c r="B22" s="16"/>
    </row>
    <row r="23" spans="2:2" x14ac:dyDescent="0.3">
      <c r="B23" s="16"/>
    </row>
    <row r="24" spans="2:2" x14ac:dyDescent="0.3">
      <c r="B24" s="16"/>
    </row>
    <row r="25" spans="2:2" x14ac:dyDescent="0.3">
      <c r="B25" s="16"/>
    </row>
    <row r="26" spans="2:2" x14ac:dyDescent="0.3">
      <c r="B26" s="16"/>
    </row>
    <row r="27" spans="2:2" x14ac:dyDescent="0.3">
      <c r="B2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Stratified_Data</vt:lpstr>
      <vt:lpstr>Total_Data</vt:lpstr>
      <vt:lpstr>Comments</vt:lpstr>
      <vt:lpstr>Indicator definitions</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Todd Fojo</cp:lastModifiedBy>
  <dcterms:created xsi:type="dcterms:W3CDTF">2020-05-23T13:38:33Z</dcterms:created>
  <dcterms:modified xsi:type="dcterms:W3CDTF">2022-01-21T19:21:35Z</dcterms:modified>
</cp:coreProperties>
</file>