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8040" yWindow="540" windowWidth="30540" windowHeight="19440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F17" i="1"/>
  <c r="K17" i="1"/>
  <c r="J17" i="1"/>
  <c r="I17" i="1"/>
  <c r="D17" i="1"/>
  <c r="E17" i="1"/>
  <c r="F15" i="1"/>
  <c r="F13" i="1"/>
  <c r="F12" i="1"/>
  <c r="F11" i="1"/>
  <c r="F10" i="1"/>
  <c r="D9" i="1"/>
  <c r="E9" i="1"/>
  <c r="F9" i="1"/>
  <c r="D6" i="1"/>
  <c r="E6" i="1"/>
  <c r="F6" i="1"/>
  <c r="F5" i="1"/>
  <c r="F4" i="1"/>
  <c r="F14" i="1"/>
  <c r="F8" i="1"/>
  <c r="F7" i="1"/>
  <c r="F3" i="1"/>
  <c r="D15" i="1"/>
  <c r="D13" i="1"/>
  <c r="D12" i="1"/>
  <c r="D11" i="1"/>
  <c r="D10" i="1"/>
  <c r="D5" i="1"/>
  <c r="D4" i="1"/>
  <c r="C13" i="1"/>
  <c r="C12" i="1"/>
  <c r="C11" i="1"/>
  <c r="C10" i="1"/>
  <c r="B9" i="1"/>
  <c r="C9" i="1"/>
  <c r="B13" i="1"/>
  <c r="B12" i="1"/>
  <c r="B11" i="1"/>
  <c r="B10" i="1"/>
  <c r="J15" i="1"/>
  <c r="K15" i="1"/>
  <c r="K13" i="1"/>
  <c r="J12" i="1"/>
  <c r="K12" i="1"/>
  <c r="K11" i="1"/>
  <c r="J10" i="1"/>
  <c r="K10" i="1"/>
  <c r="K9" i="1"/>
  <c r="J6" i="1"/>
  <c r="K6" i="1"/>
  <c r="J5" i="1"/>
  <c r="K5" i="1"/>
  <c r="K4" i="1"/>
  <c r="K14" i="1"/>
  <c r="K8" i="1"/>
  <c r="K7" i="1"/>
  <c r="K3" i="1"/>
  <c r="I15" i="1"/>
  <c r="I14" i="1"/>
  <c r="I13" i="1"/>
  <c r="I12" i="1"/>
  <c r="I11" i="1"/>
  <c r="I10" i="1"/>
  <c r="I9" i="1"/>
  <c r="I6" i="1"/>
  <c r="I5" i="1"/>
  <c r="I4" i="1"/>
  <c r="H13" i="1"/>
  <c r="H12" i="1"/>
  <c r="H11" i="1"/>
  <c r="H10" i="1"/>
  <c r="G9" i="1"/>
  <c r="H9" i="1"/>
  <c r="G13" i="1"/>
  <c r="G12" i="1"/>
  <c r="G11" i="1"/>
  <c r="G10" i="1"/>
  <c r="N17" i="1"/>
  <c r="O17" i="1"/>
  <c r="P17" i="1"/>
  <c r="N15" i="1"/>
  <c r="O15" i="1"/>
  <c r="P15" i="1"/>
  <c r="P14" i="1"/>
  <c r="P13" i="1"/>
  <c r="P12" i="1"/>
  <c r="P11" i="1"/>
  <c r="P10" i="1"/>
  <c r="N9" i="1"/>
  <c r="O9" i="1"/>
  <c r="P9" i="1"/>
  <c r="P6" i="1"/>
  <c r="O5" i="1"/>
  <c r="P5" i="1"/>
  <c r="P4" i="1"/>
  <c r="P8" i="1"/>
  <c r="P7" i="1"/>
  <c r="P3" i="1"/>
  <c r="N13" i="1"/>
  <c r="N12" i="1"/>
  <c r="N11" i="1"/>
  <c r="N10" i="1"/>
  <c r="N6" i="1"/>
  <c r="N5" i="1"/>
  <c r="N4" i="1"/>
  <c r="M13" i="1"/>
  <c r="M12" i="1"/>
  <c r="M11" i="1"/>
  <c r="M10" i="1"/>
  <c r="M9" i="1"/>
  <c r="R9" i="1"/>
  <c r="R10" i="1"/>
  <c r="L13" i="1"/>
  <c r="L12" i="1"/>
  <c r="L11" i="1"/>
  <c r="L10" i="1"/>
  <c r="L9" i="1"/>
  <c r="U13" i="1"/>
  <c r="U12" i="1"/>
  <c r="U11" i="1"/>
  <c r="U10" i="1"/>
  <c r="T9" i="1"/>
  <c r="U9" i="1"/>
  <c r="U6" i="1"/>
  <c r="U5" i="1"/>
  <c r="U4" i="1"/>
  <c r="S17" i="1"/>
  <c r="T17" i="1"/>
  <c r="U17" i="1"/>
  <c r="S15" i="1"/>
  <c r="T15" i="1"/>
  <c r="U15" i="1"/>
  <c r="U14" i="1"/>
  <c r="U8" i="1"/>
  <c r="U7" i="1"/>
  <c r="U3" i="1"/>
  <c r="S13" i="1"/>
  <c r="S12" i="1"/>
  <c r="S11" i="1"/>
  <c r="S10" i="1"/>
  <c r="S9" i="1"/>
  <c r="S6" i="1"/>
  <c r="S5" i="1"/>
  <c r="S4" i="1"/>
  <c r="R13" i="1"/>
  <c r="R12" i="1"/>
  <c r="R11" i="1"/>
  <c r="Q13" i="1"/>
  <c r="Q12" i="1"/>
  <c r="Q11" i="1"/>
  <c r="Q10" i="1"/>
  <c r="Q9" i="1"/>
</calcChain>
</file>

<file path=xl/sharedStrings.xml><?xml version="1.0" encoding="utf-8"?>
<sst xmlns="http://schemas.openxmlformats.org/spreadsheetml/2006/main" count="78" uniqueCount="55">
  <si>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</si>
  <si>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</si>
  <si>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</si>
  <si>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</si>
  <si>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</si>
  <si>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</si>
  <si>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</si>
  <si>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</si>
  <si>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</si>
  <si>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</si>
  <si>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</si>
  <si>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</si>
  <si>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</si>
  <si>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</si>
  <si>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</si>
  <si>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</si>
  <si>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</si>
  <si>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</si>
  <si>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</si>
  <si>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</si>
  <si>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</si>
  <si>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</si>
  <si>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</si>
  <si>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</si>
  <si>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</si>
  <si>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</si>
  <si>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</si>
  <si>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</si>
  <si>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</si>
  <si>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</si>
  <si>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</si>
  <si>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</si>
  <si>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</si>
  <si>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</si>
  <si>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</si>
  <si>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</si>
  <si>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</si>
  <si>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</si>
  <si>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</si>
  <si>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</si>
  <si>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</si>
  <si>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</si>
  <si>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</si>
  <si>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</si>
  <si>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Other counties in MSA: </t>
  </si>
  <si>
    <t>Lapeer (88,028)</t>
  </si>
  <si>
    <t>Livingston (191,224)</t>
  </si>
  <si>
    <t>Macomb (874,759)</t>
  </si>
  <si>
    <t>Oakland (1,259,201)</t>
  </si>
  <si>
    <t>St. Clair (159,337)</t>
  </si>
  <si>
    <t>Wayne county (1,753,893)</t>
  </si>
  <si>
    <t>https://www.michigan.gov/mdhhs/0,5885,7-339-71550_2955_2982_46000_46003-35962--,00.html#current</t>
  </si>
  <si>
    <t xml:space="preserve">Metro area data, 2015-2018: </t>
  </si>
  <si>
    <t>2013 data</t>
  </si>
  <si>
    <t>https://www.michigan.gov/documents/mdch/msacascades_485864_7.pdf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</si>
</sst>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10" fontId="0" fillId="0" borderId="0" xfId="0" applyNumberFormat="1"/>
    <xf numFmtId="3" fontId="0" fillId="0" borderId="0" xfId="0" applyNumberFormat="1" applyFill="1"/>
    <xf numFmtId="1" fontId="0" fillId="0" borderId="1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2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chigan.gov/mdhhs/0,5885,7-339-71550_2955_2982_46000_46003-35962--,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zoomScale="120" zoomScaleNormal="12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V4" sqref="V4"/>
    </sheetView>
  </sheetViews>
  <sheetFormatPr defaultColWidth="8.77734375" defaultRowHeight="14.4" x14ac:dyDescent="0.3"/>
  <cols>
    <col min="1" max="1" width="13.33203125" style="1" customWidth="1"/>
  </cols>
  <sheetData>
    <row r="1" spans="1:24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16</v>
      </c>
      <c r="G1" s="1" t="s">
        <v>19</v>
      </c>
      <c r="H1" s="1" t="s">
        <v>18</v>
      </c>
      <c r="I1" s="1" t="s">
        <v>17</v>
      </c>
      <c r="J1" s="1" t="s">
        <v>21</v>
      </c>
      <c r="K1" s="1" t="s">
        <v>16</v>
      </c>
      <c r="L1" s="1" t="s">
        <v>19</v>
      </c>
      <c r="M1" s="1" t="s">
        <v>18</v>
      </c>
      <c r="N1" s="1" t="s">
        <v>17</v>
      </c>
      <c r="O1" s="1" t="s">
        <v>21</v>
      </c>
      <c r="P1" s="1" t="s">
        <v>16</v>
      </c>
      <c r="Q1" s="1" t="s">
        <v>19</v>
      </c>
      <c r="R1" s="1" t="s">
        <v>18</v>
      </c>
      <c r="S1" s="1" t="s">
        <v>17</v>
      </c>
      <c r="T1" s="1" t="s">
        <v>21</v>
      </c>
      <c r="U1" s="1" t="s">
        <v>16</v>
      </c>
      <c r="V1" s="1" t="s">
        <v>17</v>
      </c>
      <c r="W1" s="1" t="s">
        <v>21</v>
      </c>
      <c r="X1" s="1" t="s">
        <v>16</v>
      </c>
    </row>
    <row r="2" spans="1:24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2017</v>
      </c>
      <c r="H2" s="1">
        <v>2017</v>
      </c>
      <c r="I2" s="1">
        <v>2017</v>
      </c>
      <c r="J2" s="1">
        <v>2017</v>
      </c>
      <c r="K2" s="1">
        <v>2017</v>
      </c>
      <c r="L2" s="1">
        <v>2016</v>
      </c>
      <c r="M2" s="1">
        <v>2016</v>
      </c>
      <c r="N2" s="1">
        <v>2016</v>
      </c>
      <c r="O2" s="1">
        <v>2016</v>
      </c>
      <c r="P2" s="1">
        <v>2016</v>
      </c>
      <c r="Q2" s="1">
        <v>2015</v>
      </c>
      <c r="R2" s="1">
        <v>2015</v>
      </c>
      <c r="S2" s="1">
        <v>2015</v>
      </c>
      <c r="T2" s="1">
        <v>2015</v>
      </c>
      <c r="U2" s="1">
        <v>2015</v>
      </c>
      <c r="V2" s="1">
        <v>2013</v>
      </c>
      <c r="W2" s="1">
        <v>2013</v>
      </c>
      <c r="X2" s="1">
        <v>2013</v>
      </c>
    </row>
    <row r="3" spans="1:24" s="5" customFormat="1" x14ac:dyDescent="0.3">
      <c r="A3" s="4" t="s">
        <v>0</v>
      </c>
      <c r="B3" s="17">
        <v>474</v>
      </c>
      <c r="C3" s="17">
        <v>0.46</v>
      </c>
      <c r="D3" s="17">
        <v>10437</v>
      </c>
      <c r="E3" s="56">
        <v>0.83</v>
      </c>
      <c r="F3" s="56">
        <f>0.88*E3</f>
        <v>0.73039999999999994</v>
      </c>
      <c r="G3" s="17">
        <v>512</v>
      </c>
      <c r="H3" s="17">
        <v>0.48</v>
      </c>
      <c r="I3" s="17">
        <v>10382</v>
      </c>
      <c r="J3" s="56">
        <v>0.81</v>
      </c>
      <c r="K3" s="56">
        <f>0.87*J3</f>
        <v>0.70469999999999999</v>
      </c>
      <c r="L3" s="17">
        <v>507</v>
      </c>
      <c r="M3" s="5">
        <v>0.44</v>
      </c>
      <c r="N3" s="5">
        <v>10047</v>
      </c>
      <c r="O3" s="55">
        <v>0.8</v>
      </c>
      <c r="P3" s="55">
        <f>0.86*O3</f>
        <v>0.68800000000000006</v>
      </c>
      <c r="Q3" s="17">
        <v>488</v>
      </c>
      <c r="R3" s="5">
        <v>0.41</v>
      </c>
      <c r="S3" s="5">
        <v>9971</v>
      </c>
      <c r="T3" s="5">
        <v>0.77</v>
      </c>
      <c r="U3" s="55">
        <f>0.83*T3</f>
        <v>0.6391</v>
      </c>
      <c r="V3" s="5">
        <v>9969</v>
      </c>
      <c r="W3" s="5">
        <v>0.67</v>
      </c>
      <c r="X3" s="5">
        <f>5012/V3</f>
        <v>0.50275855150967996</v>
      </c>
    </row>
    <row r="4" spans="1:24" s="7" customFormat="1" x14ac:dyDescent="0.3">
      <c r="A4" s="6" t="s">
        <v>1</v>
      </c>
      <c r="B4" s="20">
        <v>324</v>
      </c>
      <c r="C4" s="20"/>
      <c r="D4" s="18">
        <f>5150+1738</f>
        <v>6888</v>
      </c>
      <c r="E4" s="19">
        <v>0.81499999999999995</v>
      </c>
      <c r="F4" s="19">
        <f>0.855*E4</f>
        <v>0.69682499999999992</v>
      </c>
      <c r="G4" s="18">
        <v>342</v>
      </c>
      <c r="H4" s="18"/>
      <c r="I4" s="18">
        <f>5121+1763</f>
        <v>6884</v>
      </c>
      <c r="J4" s="19">
        <v>0.80500000000000005</v>
      </c>
      <c r="K4" s="19">
        <f>0.85*J4</f>
        <v>0.68425000000000002</v>
      </c>
      <c r="L4" s="18">
        <v>331</v>
      </c>
      <c r="N4" s="7">
        <f>4992+1747</f>
        <v>6739</v>
      </c>
      <c r="O4" s="7">
        <v>0.76</v>
      </c>
      <c r="P4" s="15">
        <f>0.825*O4</f>
        <v>0.627</v>
      </c>
      <c r="Q4" s="20">
        <v>343</v>
      </c>
      <c r="S4" s="7">
        <f>4987+1799</f>
        <v>6786</v>
      </c>
      <c r="T4" s="7">
        <v>0.76500000000000001</v>
      </c>
      <c r="U4" s="15">
        <f>0.805*T4</f>
        <v>0.61582500000000007</v>
      </c>
    </row>
    <row r="5" spans="1:24" s="9" customFormat="1" x14ac:dyDescent="0.3">
      <c r="A5" s="8" t="s">
        <v>2</v>
      </c>
      <c r="B5" s="22">
        <v>21</v>
      </c>
      <c r="C5" s="22"/>
      <c r="D5" s="10">
        <f>354+90</f>
        <v>444</v>
      </c>
      <c r="E5" s="21">
        <v>0.82499999999999996</v>
      </c>
      <c r="F5" s="21">
        <f>0.925*E5</f>
        <v>0.76312499999999994</v>
      </c>
      <c r="G5" s="10">
        <v>27</v>
      </c>
      <c r="H5" s="10"/>
      <c r="I5" s="10">
        <f>356+84</f>
        <v>440</v>
      </c>
      <c r="J5" s="21">
        <f>AVERAGE(0.77,0.83)</f>
        <v>0.8</v>
      </c>
      <c r="K5" s="21">
        <f>0.91*J5</f>
        <v>0.72800000000000009</v>
      </c>
      <c r="L5" s="10">
        <v>24</v>
      </c>
      <c r="N5" s="10">
        <f>324+78</f>
        <v>402</v>
      </c>
      <c r="O5" s="9">
        <f>AVERAGE(0.77,0.71)</f>
        <v>0.74</v>
      </c>
      <c r="P5" s="53">
        <f>AVERAGE(0.93,0.82)*O5</f>
        <v>0.64749999999999996</v>
      </c>
      <c r="Q5" s="22">
        <v>29</v>
      </c>
      <c r="R5" s="10"/>
      <c r="S5" s="9">
        <f>300+79</f>
        <v>379</v>
      </c>
      <c r="T5" s="9">
        <v>0.71</v>
      </c>
      <c r="U5" s="53">
        <f>0.855*T5</f>
        <v>0.60704999999999998</v>
      </c>
    </row>
    <row r="6" spans="1:24" s="3" customFormat="1" x14ac:dyDescent="0.3">
      <c r="A6" s="2" t="s">
        <v>3</v>
      </c>
      <c r="B6" s="25">
        <v>112</v>
      </c>
      <c r="C6" s="25"/>
      <c r="D6" s="23">
        <f>2242+298</f>
        <v>2540</v>
      </c>
      <c r="E6" s="24">
        <f>((2242/D6)*0.88)+((298/D6)*0.85)</f>
        <v>0.87648031496062995</v>
      </c>
      <c r="F6" s="24">
        <f>(((2242/D6)*0.95)+((298/D6)*0.87))*E6</f>
        <v>0.82442980680761369</v>
      </c>
      <c r="G6" s="23">
        <v>133</v>
      </c>
      <c r="H6" s="23"/>
      <c r="I6" s="23">
        <f>2229+295</f>
        <v>2524</v>
      </c>
      <c r="J6" s="24">
        <f>AVERAGE(0.85,0.81)</f>
        <v>0.83000000000000007</v>
      </c>
      <c r="K6" s="24">
        <f>AVERAGE(0.94,0.88)*J6</f>
        <v>0.75529999999999997</v>
      </c>
      <c r="L6" s="23">
        <v>136</v>
      </c>
      <c r="N6" s="3">
        <f>2167+287</f>
        <v>2454</v>
      </c>
      <c r="O6" s="3">
        <v>0.83</v>
      </c>
      <c r="P6" s="54">
        <f>AVERAGE(0.94,0.89)*O6</f>
        <v>0.75944999999999996</v>
      </c>
      <c r="Q6" s="25">
        <v>108</v>
      </c>
      <c r="S6" s="3">
        <f>2127+276</f>
        <v>2403</v>
      </c>
      <c r="T6" s="3">
        <v>0.81499999999999995</v>
      </c>
      <c r="U6" s="54">
        <f>AVERAGE(0.92,0.84)*T6</f>
        <v>0.71719999999999995</v>
      </c>
    </row>
    <row r="7" spans="1:24" s="7" customFormat="1" x14ac:dyDescent="0.3">
      <c r="A7" s="6" t="s">
        <v>4</v>
      </c>
      <c r="B7" s="20">
        <v>377</v>
      </c>
      <c r="C7" s="19">
        <v>0.46</v>
      </c>
      <c r="D7" s="18">
        <v>8049</v>
      </c>
      <c r="E7" s="19">
        <v>0.83</v>
      </c>
      <c r="F7" s="19">
        <f>0.88*E7</f>
        <v>0.73039999999999994</v>
      </c>
      <c r="G7" s="18">
        <v>401</v>
      </c>
      <c r="H7" s="18">
        <v>0.48</v>
      </c>
      <c r="I7" s="18">
        <v>8015</v>
      </c>
      <c r="J7" s="19">
        <v>0.81</v>
      </c>
      <c r="K7" s="19">
        <f>0.88*J7</f>
        <v>0.7128000000000001</v>
      </c>
      <c r="L7" s="18">
        <v>419</v>
      </c>
      <c r="M7" s="7">
        <v>0.47</v>
      </c>
      <c r="N7" s="7">
        <v>7746</v>
      </c>
      <c r="O7" s="15">
        <v>0.8</v>
      </c>
      <c r="P7" s="15">
        <f>0.86*O7</f>
        <v>0.68800000000000006</v>
      </c>
      <c r="Q7" s="20">
        <v>388</v>
      </c>
      <c r="R7" s="7">
        <v>0.43</v>
      </c>
      <c r="S7" s="7">
        <v>7656</v>
      </c>
      <c r="T7" s="7">
        <v>0.78</v>
      </c>
      <c r="U7" s="15">
        <f>0.84*T7</f>
        <v>0.6552</v>
      </c>
    </row>
    <row r="8" spans="1:24" s="3" customFormat="1" x14ac:dyDescent="0.3">
      <c r="A8" s="2" t="s">
        <v>5</v>
      </c>
      <c r="B8" s="25">
        <v>81</v>
      </c>
      <c r="C8" s="24">
        <v>0.42</v>
      </c>
      <c r="D8" s="23">
        <v>2199</v>
      </c>
      <c r="E8" s="21">
        <v>0.83</v>
      </c>
      <c r="F8" s="24">
        <f>0.87*E8</f>
        <v>0.72209999999999996</v>
      </c>
      <c r="G8" s="23">
        <v>96</v>
      </c>
      <c r="H8" s="23">
        <v>0.48</v>
      </c>
      <c r="I8" s="10">
        <v>2221</v>
      </c>
      <c r="J8" s="24">
        <v>0.81</v>
      </c>
      <c r="K8" s="24">
        <f>0.86*J8</f>
        <v>0.6966</v>
      </c>
      <c r="L8" s="23">
        <v>74</v>
      </c>
      <c r="M8" s="9">
        <v>0.34</v>
      </c>
      <c r="N8" s="3">
        <v>2178</v>
      </c>
      <c r="O8" s="54">
        <v>0.8</v>
      </c>
      <c r="P8" s="54">
        <f>0.83*O8</f>
        <v>0.66400000000000003</v>
      </c>
      <c r="Q8" s="25">
        <v>92</v>
      </c>
      <c r="R8" s="3">
        <v>0.35</v>
      </c>
      <c r="S8" s="9">
        <v>2216</v>
      </c>
      <c r="T8" s="3">
        <v>0.77</v>
      </c>
      <c r="U8" s="54">
        <f>0.82*T8</f>
        <v>0.63139999999999996</v>
      </c>
    </row>
    <row r="9" spans="1:24" s="7" customFormat="1" x14ac:dyDescent="0.3">
      <c r="A9" s="6" t="s">
        <v>6</v>
      </c>
      <c r="B9" s="20">
        <f>34+95</f>
        <v>129</v>
      </c>
      <c r="C9" s="19">
        <f>((34/B9)*0.68)+((95/B9)*0.44)</f>
        <v>0.5032558139534884</v>
      </c>
      <c r="D9" s="20">
        <f>95+552</f>
        <v>647</v>
      </c>
      <c r="E9" s="19">
        <f>((95/D9)*0.92)+((552/D9)*0.82)</f>
        <v>0.83468315301391027</v>
      </c>
      <c r="F9" s="19">
        <f>AVERAGE(0.75,0.79)*E9</f>
        <v>0.64270602782071096</v>
      </c>
      <c r="G9" s="20">
        <f>29+92</f>
        <v>121</v>
      </c>
      <c r="H9" s="19">
        <f>((29/G9)*0.66)+((92/G9)*0.45)</f>
        <v>0.50033057851239671</v>
      </c>
      <c r="I9" s="20">
        <f>114+593</f>
        <v>707</v>
      </c>
      <c r="J9" s="19">
        <v>0.8</v>
      </c>
      <c r="K9" s="19">
        <f>0.795*J9</f>
        <v>0.63600000000000012</v>
      </c>
      <c r="L9" s="18">
        <f>38+111</f>
        <v>149</v>
      </c>
      <c r="M9" s="15">
        <f>AVERAGE(0.47,0.52)</f>
        <v>0.495</v>
      </c>
      <c r="N9" s="13">
        <f>118+625</f>
        <v>743</v>
      </c>
      <c r="O9" s="15">
        <f>((118*0.74)+(625*0.81))/N9</f>
        <v>0.79888290713324372</v>
      </c>
      <c r="P9" s="15">
        <f>((118/N9)*0.51)+((625/N9)*0.73)*O9</f>
        <v>0.57156167749601938</v>
      </c>
      <c r="Q9" s="20">
        <f>26+133</f>
        <v>159</v>
      </c>
      <c r="R9" s="15">
        <f>AVERAGE(0.23,0.39)</f>
        <v>0.31</v>
      </c>
      <c r="S9" s="13">
        <f>70+544</f>
        <v>614</v>
      </c>
      <c r="T9" s="7">
        <f>AVERAGE(0.66,0.79)</f>
        <v>0.72500000000000009</v>
      </c>
      <c r="U9" s="15">
        <f>(AVERAGE(0.71,0.66))*T9</f>
        <v>0.49662500000000009</v>
      </c>
    </row>
    <row r="10" spans="1:24" s="9" customFormat="1" x14ac:dyDescent="0.3">
      <c r="A10" s="8" t="s">
        <v>7</v>
      </c>
      <c r="B10" s="22">
        <f>114+(110/2)</f>
        <v>169</v>
      </c>
      <c r="C10" s="21">
        <f>AVERAGE(0.37,0.44)</f>
        <v>0.40500000000000003</v>
      </c>
      <c r="D10" s="22">
        <f>1239+(2055/2)</f>
        <v>2266.5</v>
      </c>
      <c r="E10" s="21">
        <v>0.8</v>
      </c>
      <c r="F10" s="21">
        <f>AVERAGE(0.77,0.84)*E10</f>
        <v>0.64400000000000002</v>
      </c>
      <c r="G10" s="22">
        <f>(128/2)+(105/2)</f>
        <v>116.5</v>
      </c>
      <c r="H10" s="21">
        <f>AVERAGE(0.46,0.51)</f>
        <v>0.48499999999999999</v>
      </c>
      <c r="I10" s="22">
        <f>1190+(1981/2)</f>
        <v>2180.5</v>
      </c>
      <c r="J10" s="21">
        <f>AVERAGE(0.76,0.79)</f>
        <v>0.77500000000000002</v>
      </c>
      <c r="K10" s="21">
        <f>AVERAGE(0.79,0.83)*J10</f>
        <v>0.62775000000000003</v>
      </c>
      <c r="L10" s="22">
        <f>100+(90/2)</f>
        <v>145</v>
      </c>
      <c r="M10" s="10">
        <f>AVERAGE(0.38,0.47)</f>
        <v>0.42499999999999999</v>
      </c>
      <c r="N10" s="14">
        <f>1048+(1824/2)</f>
        <v>1960</v>
      </c>
      <c r="O10" s="21">
        <v>0.77500000000000002</v>
      </c>
      <c r="P10" s="53">
        <f>AVERAGE(0.74,0.82)*O10</f>
        <v>0.60450000000000004</v>
      </c>
      <c r="Q10" s="22">
        <f>89+(90/2)</f>
        <v>134</v>
      </c>
      <c r="R10" s="53">
        <f>AVERAGE(0.42, 0.44)</f>
        <v>0.43</v>
      </c>
      <c r="S10" s="14">
        <f>977+(1742/2)</f>
        <v>1848</v>
      </c>
      <c r="T10" s="9">
        <v>0.75</v>
      </c>
      <c r="U10" s="53">
        <f>AVERAGE(0.7,0.79)*T10</f>
        <v>0.55874999999999997</v>
      </c>
    </row>
    <row r="11" spans="1:24" s="9" customFormat="1" x14ac:dyDescent="0.3">
      <c r="A11" s="8" t="s">
        <v>8</v>
      </c>
      <c r="B11" s="22">
        <f>(110/2)+(56/2)</f>
        <v>83</v>
      </c>
      <c r="C11" s="21">
        <f>AVERAGE(0.44,0.52)</f>
        <v>0.48</v>
      </c>
      <c r="D11" s="22">
        <f>(2055/2)+(2198/2)</f>
        <v>2126.5</v>
      </c>
      <c r="E11" s="21">
        <v>0.82</v>
      </c>
      <c r="F11" s="21">
        <f>AVERAGE(0.84,0.88)*E11</f>
        <v>0.70519999999999994</v>
      </c>
      <c r="G11" s="22">
        <f>(105/2)+(83/2)</f>
        <v>94</v>
      </c>
      <c r="H11" s="21">
        <f>AVERAGE(0.51,0.47)</f>
        <v>0.49</v>
      </c>
      <c r="I11" s="22">
        <f>(1981/2)+(2287/2)</f>
        <v>2134</v>
      </c>
      <c r="J11" s="21">
        <v>0.8</v>
      </c>
      <c r="K11" s="21">
        <f>AVERAGE(0.83,0.88)*J11</f>
        <v>0.68400000000000005</v>
      </c>
      <c r="L11" s="22">
        <f>(90/2)+(74/2)</f>
        <v>82</v>
      </c>
      <c r="M11" s="9">
        <f>AVERAGE(0.47,0.38)</f>
        <v>0.42499999999999999</v>
      </c>
      <c r="N11" s="14">
        <f>(1824/2)+(2359/2)</f>
        <v>2091.5</v>
      </c>
      <c r="O11" s="21">
        <v>0.79</v>
      </c>
      <c r="P11" s="53">
        <f>AVERAGE(0.82,0.87)*O11</f>
        <v>0.66754999999999998</v>
      </c>
      <c r="Q11" s="22">
        <f>(90/2)+(75/2)</f>
        <v>82.5</v>
      </c>
      <c r="R11" s="53">
        <f>AVERAGE(0.44,0.48)</f>
        <v>0.45999999999999996</v>
      </c>
      <c r="S11" s="14">
        <f>(1742/2)+(2375/2)</f>
        <v>2058.5</v>
      </c>
      <c r="T11" s="9">
        <v>0.76500000000000001</v>
      </c>
      <c r="U11" s="53">
        <f>AVERAGE(0.79,0.85)*T11</f>
        <v>0.62730000000000008</v>
      </c>
    </row>
    <row r="12" spans="1:24" s="9" customFormat="1" x14ac:dyDescent="0.3">
      <c r="A12" s="8" t="s">
        <v>9</v>
      </c>
      <c r="B12" s="22">
        <f>(56/2)+(43/2)</f>
        <v>49.5</v>
      </c>
      <c r="C12" s="21">
        <f>AVERAGE(0.52,0.53)</f>
        <v>0.52500000000000002</v>
      </c>
      <c r="D12" s="22">
        <f>(2198/2)+(2788/2)</f>
        <v>2493</v>
      </c>
      <c r="E12" s="21">
        <v>0.84</v>
      </c>
      <c r="F12" s="21">
        <f>0.9*E12</f>
        <v>0.75600000000000001</v>
      </c>
      <c r="G12" s="22">
        <f>(83/2)+(56/2)</f>
        <v>69.5</v>
      </c>
      <c r="H12" s="21">
        <f>AVERAGE(0.47,0.43)</f>
        <v>0.44999999999999996</v>
      </c>
      <c r="I12" s="22">
        <f>(2287/2)+(2805/2)</f>
        <v>2546</v>
      </c>
      <c r="J12" s="21">
        <f>AVERAGE(0.81,0.84)</f>
        <v>0.82499999999999996</v>
      </c>
      <c r="K12" s="21">
        <f>AVERAGE(0.88,0.91)*J12</f>
        <v>0.738375</v>
      </c>
      <c r="L12" s="22">
        <f>74</f>
        <v>74</v>
      </c>
      <c r="M12" s="9">
        <f>AVERAGE(0.38,0.41)</f>
        <v>0.39500000000000002</v>
      </c>
      <c r="N12" s="14">
        <f>(2359/2)+(2737/2)</f>
        <v>2548</v>
      </c>
      <c r="O12" s="21">
        <v>0.81</v>
      </c>
      <c r="P12" s="53">
        <f>AVERAGE(0.87,0.9)*O12</f>
        <v>0.7168500000000001</v>
      </c>
      <c r="Q12" s="22">
        <f>(75/2)+(58/2)</f>
        <v>66.5</v>
      </c>
      <c r="R12" s="53">
        <f>AVERAGE(0.48,0.43)</f>
        <v>0.45499999999999996</v>
      </c>
      <c r="S12" s="14">
        <f>(2375/2)+(2812/2)</f>
        <v>2593.5</v>
      </c>
      <c r="T12" s="9">
        <v>0.78</v>
      </c>
      <c r="U12" s="53">
        <f>AVERAGE(0.85,0.88)*T12</f>
        <v>0.67469999999999997</v>
      </c>
    </row>
    <row r="13" spans="1:24" s="3" customFormat="1" x14ac:dyDescent="0.3">
      <c r="A13" s="2" t="s">
        <v>10</v>
      </c>
      <c r="B13" s="25">
        <f>(43/2)+21</f>
        <v>42.5</v>
      </c>
      <c r="C13" s="21">
        <f>AVERAGE(0.53,0.48)</f>
        <v>0.505</v>
      </c>
      <c r="D13" s="25">
        <f>(2788/2)+1489</f>
        <v>2883</v>
      </c>
      <c r="E13" s="24">
        <v>0.85</v>
      </c>
      <c r="F13" s="24">
        <f>0.93*E13</f>
        <v>0.79049999999999998</v>
      </c>
      <c r="G13" s="25">
        <f>(56/2)+18</f>
        <v>46</v>
      </c>
      <c r="H13" s="21">
        <f>AVERAGE(0.43,0.5)</f>
        <v>0.46499999999999997</v>
      </c>
      <c r="I13" s="25">
        <f>(2805/2)+1387</f>
        <v>2789.5</v>
      </c>
      <c r="J13" s="21">
        <v>0.83</v>
      </c>
      <c r="K13" s="24">
        <f>AVERAGE(0.91,0.94)*J13</f>
        <v>0.76775000000000004</v>
      </c>
      <c r="L13" s="22">
        <f>(74/2)+19</f>
        <v>56</v>
      </c>
      <c r="M13" s="3">
        <f>AVERAGE(0.41,0.47)</f>
        <v>0.43999999999999995</v>
      </c>
      <c r="N13" s="52">
        <f>(2737/2)+1311</f>
        <v>2679.5</v>
      </c>
      <c r="O13" s="54">
        <v>0.81</v>
      </c>
      <c r="P13" s="54">
        <f>AVERAGE(0.9,0.93)*O13</f>
        <v>0.74115000000000009</v>
      </c>
      <c r="Q13" s="25">
        <f>(58/2)+16</f>
        <v>45</v>
      </c>
      <c r="R13" s="54">
        <f>AVERAGE(0.43,0.19)</f>
        <v>0.31</v>
      </c>
      <c r="S13" s="52">
        <f>(2812/2)+1426</f>
        <v>2832</v>
      </c>
      <c r="T13" s="3">
        <v>0.78500000000000003</v>
      </c>
      <c r="U13" s="54">
        <f>AVERAGE(0.88,0.91)*T13</f>
        <v>0.70257500000000006</v>
      </c>
    </row>
    <row r="14" spans="1:24" s="7" customFormat="1" x14ac:dyDescent="0.3">
      <c r="A14" s="6" t="s">
        <v>11</v>
      </c>
      <c r="B14" s="20">
        <v>241</v>
      </c>
      <c r="C14" s="18">
        <v>0.48</v>
      </c>
      <c r="D14" s="18">
        <v>5923</v>
      </c>
      <c r="E14" s="19">
        <v>0.85</v>
      </c>
      <c r="F14" s="19">
        <f>0.88*E14</f>
        <v>0.748</v>
      </c>
      <c r="G14" s="18">
        <v>292</v>
      </c>
      <c r="H14" s="18">
        <v>0.51</v>
      </c>
      <c r="I14" s="18">
        <f>5856</f>
        <v>5856</v>
      </c>
      <c r="J14" s="18">
        <v>0.84</v>
      </c>
      <c r="K14" s="19">
        <f>0.88*J14</f>
        <v>0.73919999999999997</v>
      </c>
      <c r="L14" s="18">
        <v>313</v>
      </c>
      <c r="M14" s="7">
        <v>0.49</v>
      </c>
      <c r="N14" s="7">
        <v>5583</v>
      </c>
      <c r="O14" s="15">
        <v>0.83</v>
      </c>
      <c r="P14" s="15">
        <f>0.87*O14</f>
        <v>0.72209999999999996</v>
      </c>
      <c r="Q14" s="20">
        <v>274</v>
      </c>
      <c r="S14" s="7">
        <v>5417</v>
      </c>
      <c r="T14" s="15">
        <v>0.8</v>
      </c>
      <c r="U14" s="15">
        <f>0.85*T14</f>
        <v>0.68</v>
      </c>
    </row>
    <row r="15" spans="1:24" s="9" customFormat="1" x14ac:dyDescent="0.3">
      <c r="A15" s="8" t="s">
        <v>12</v>
      </c>
      <c r="B15" s="22">
        <v>23</v>
      </c>
      <c r="C15" s="22"/>
      <c r="D15" s="10">
        <f>364+282</f>
        <v>646</v>
      </c>
      <c r="E15" s="21">
        <v>0.76500000000000001</v>
      </c>
      <c r="F15" s="21">
        <f>0.845*E15</f>
        <v>0.64642500000000003</v>
      </c>
      <c r="G15" s="10">
        <v>20</v>
      </c>
      <c r="H15" s="10"/>
      <c r="I15" s="10">
        <f>394+300</f>
        <v>694</v>
      </c>
      <c r="J15" s="21">
        <f>AVERAGE(0.73,0.76)</f>
        <v>0.745</v>
      </c>
      <c r="K15" s="21">
        <f>0.84*J15</f>
        <v>0.62580000000000002</v>
      </c>
      <c r="L15" s="10">
        <v>13</v>
      </c>
      <c r="N15" s="10">
        <f>427+305</f>
        <v>732</v>
      </c>
      <c r="O15" s="53">
        <f>((0.69*427)+(0.73*305))/N15</f>
        <v>0.70666666666666667</v>
      </c>
      <c r="P15" s="53">
        <f>AVERAGE(0.85,0.81)*O15</f>
        <v>0.58653333333333335</v>
      </c>
      <c r="Q15" s="22">
        <v>14</v>
      </c>
      <c r="S15" s="9">
        <f>470+333</f>
        <v>803</v>
      </c>
      <c r="T15" s="53">
        <f>((0.65*470)+(0.7*333))/S15</f>
        <v>0.67073474470734751</v>
      </c>
      <c r="U15" s="53">
        <f>0.81*T15</f>
        <v>0.54329514321295147</v>
      </c>
    </row>
    <row r="16" spans="1:24" s="9" customFormat="1" x14ac:dyDescent="0.3">
      <c r="A16" s="8" t="s">
        <v>13</v>
      </c>
      <c r="B16" s="22">
        <v>9</v>
      </c>
      <c r="C16" s="22"/>
      <c r="D16" s="10"/>
      <c r="E16" s="21"/>
      <c r="F16" s="21"/>
      <c r="G16" s="10">
        <v>10</v>
      </c>
      <c r="H16" s="10"/>
      <c r="I16" s="10"/>
      <c r="J16" s="21"/>
      <c r="K16" s="21"/>
      <c r="L16" s="10">
        <v>13</v>
      </c>
      <c r="N16" s="10"/>
      <c r="O16" s="53"/>
      <c r="P16" s="53"/>
      <c r="Q16" s="22">
        <v>7</v>
      </c>
      <c r="U16" s="53"/>
    </row>
    <row r="17" spans="1:22" s="3" customFormat="1" x14ac:dyDescent="0.3">
      <c r="A17" s="2" t="s">
        <v>14</v>
      </c>
      <c r="B17" s="25">
        <v>72</v>
      </c>
      <c r="C17" s="23"/>
      <c r="D17" s="23">
        <f>427+1546</f>
        <v>1973</v>
      </c>
      <c r="E17" s="24">
        <f>((427/D17)*0.77)+((1546/D17)*0.85)</f>
        <v>0.83268626457171824</v>
      </c>
      <c r="F17" s="24">
        <f>AVERAGE(0.86,0.89)*E17</f>
        <v>0.72860048150025347</v>
      </c>
      <c r="G17" s="23">
        <v>97</v>
      </c>
      <c r="H17" s="23"/>
      <c r="I17" s="23">
        <f>430+1532</f>
        <v>1962</v>
      </c>
      <c r="J17" s="3">
        <f>((430/I17)*0.76)+((1532/I17)*0.84)</f>
        <v>0.82246687054026502</v>
      </c>
      <c r="K17" s="24">
        <f>0.875*J17</f>
        <v>0.71965851172273188</v>
      </c>
      <c r="L17" s="23">
        <v>73</v>
      </c>
      <c r="M17" s="3">
        <v>0.375</v>
      </c>
      <c r="N17" s="3">
        <f>397+1474</f>
        <v>1871</v>
      </c>
      <c r="O17" s="54">
        <f>((0.77*397)+(0.83*1474))/N17</f>
        <v>0.81726884019241042</v>
      </c>
      <c r="P17" s="54">
        <f>0.855*O17</f>
        <v>0.69876485836451085</v>
      </c>
      <c r="Q17" s="25">
        <v>81</v>
      </c>
      <c r="S17" s="3">
        <f>404+1464</f>
        <v>1868</v>
      </c>
      <c r="T17" s="54">
        <f>((0.76*404)+(0.81*1464))/S17</f>
        <v>0.79918629550321207</v>
      </c>
      <c r="U17" s="54">
        <f>0.815*T17</f>
        <v>0.65133683083511784</v>
      </c>
    </row>
    <row r="18" spans="1:22" x14ac:dyDescent="0.3">
      <c r="A18" s="1" t="s">
        <v>20</v>
      </c>
      <c r="B18" s="16"/>
      <c r="C18" s="16">
        <v>1</v>
      </c>
      <c r="D18" s="16"/>
      <c r="E18" s="16"/>
      <c r="H18">
        <v>1</v>
      </c>
      <c r="K18" s="30"/>
      <c r="L18" s="29"/>
      <c r="M18" s="28">
        <v>1</v>
      </c>
      <c r="O18" s="32"/>
      <c r="P18" s="31"/>
      <c r="Q18" s="32"/>
      <c r="R18" s="31">
        <v>1</v>
      </c>
      <c r="S18" s="31"/>
      <c r="T18" s="31"/>
    </row>
    <row r="19" spans="1:22" x14ac:dyDescent="0.3">
      <c r="G19" s="28"/>
      <c r="H19" s="29"/>
      <c r="I19" s="28"/>
      <c r="J19" s="29"/>
      <c r="K19" s="28"/>
      <c r="L19" s="34"/>
      <c r="M19" s="33"/>
      <c r="N19" s="32"/>
      <c r="O19" s="32"/>
      <c r="P19" s="32"/>
      <c r="Q19" s="31"/>
      <c r="R19" s="31"/>
      <c r="S19" s="31"/>
      <c r="T19" s="31"/>
    </row>
    <row r="20" spans="1:22" x14ac:dyDescent="0.3">
      <c r="C20" t="s">
        <v>24</v>
      </c>
      <c r="F20" s="31"/>
      <c r="G20" s="31"/>
      <c r="H20" s="31"/>
      <c r="I20" s="31"/>
      <c r="J20" s="31"/>
      <c r="K20" s="28"/>
      <c r="L20" s="34"/>
      <c r="M20" s="33"/>
      <c r="N20" s="32"/>
      <c r="O20" s="31"/>
      <c r="P20" s="31"/>
      <c r="Q20" s="32"/>
      <c r="R20" s="31"/>
      <c r="S20" s="31"/>
      <c r="T20" s="31"/>
      <c r="U20" s="31"/>
      <c r="V20" s="31"/>
    </row>
    <row r="21" spans="1:22" x14ac:dyDescent="0.3">
      <c r="B21" s="26"/>
      <c r="C21" s="26"/>
      <c r="E21" s="26"/>
      <c r="F21" s="31"/>
      <c r="G21" s="31"/>
      <c r="H21" s="31"/>
      <c r="I21" s="31"/>
      <c r="J21" s="31"/>
      <c r="K21" s="33"/>
      <c r="L21" s="34"/>
      <c r="M21" s="28"/>
      <c r="N21" s="32"/>
      <c r="O21" s="31"/>
      <c r="P21" s="31"/>
      <c r="Q21" s="32"/>
      <c r="R21" s="31"/>
      <c r="S21" s="31"/>
      <c r="T21" s="31"/>
      <c r="U21" s="31"/>
      <c r="V21" s="31"/>
    </row>
    <row r="22" spans="1:22" x14ac:dyDescent="0.3">
      <c r="B22" s="26"/>
      <c r="C22" s="26"/>
      <c r="E22" s="26"/>
      <c r="F22" s="31"/>
      <c r="G22" s="31"/>
      <c r="H22" s="31"/>
      <c r="I22" s="31"/>
      <c r="J22" s="31"/>
      <c r="K22" s="28"/>
      <c r="L22" s="34"/>
      <c r="M22" s="33"/>
      <c r="N22" s="32"/>
      <c r="O22" s="31"/>
      <c r="P22" s="31"/>
      <c r="Q22" s="32"/>
      <c r="R22" s="31"/>
      <c r="S22" s="31"/>
      <c r="T22" s="31"/>
      <c r="U22" s="31"/>
      <c r="V22" s="31"/>
    </row>
    <row r="23" spans="1:22" x14ac:dyDescent="0.3">
      <c r="F23" s="31"/>
      <c r="G23" s="31"/>
      <c r="H23" s="31"/>
      <c r="I23" s="31"/>
      <c r="J23" s="31"/>
      <c r="K23" s="33"/>
      <c r="L23" s="34"/>
      <c r="M23" s="28"/>
      <c r="N23" s="32"/>
      <c r="O23" s="31"/>
      <c r="P23" s="31"/>
      <c r="Q23" s="32"/>
      <c r="R23" s="31"/>
      <c r="S23" s="31"/>
      <c r="T23" s="31"/>
      <c r="U23" s="31"/>
      <c r="V23" s="31"/>
    </row>
    <row r="24" spans="1:22" x14ac:dyDescent="0.3">
      <c r="F24" s="31"/>
      <c r="G24" s="31"/>
      <c r="H24" s="31"/>
      <c r="I24" s="31"/>
      <c r="J24" s="31"/>
      <c r="K24" s="33"/>
      <c r="L24" s="34"/>
      <c r="M24" s="28"/>
      <c r="N24" s="32"/>
      <c r="O24" s="31"/>
      <c r="P24" s="31"/>
      <c r="Q24" s="32"/>
      <c r="R24" s="31"/>
      <c r="S24" s="31"/>
      <c r="T24" s="31"/>
      <c r="U24" s="31"/>
      <c r="V24" s="31"/>
    </row>
    <row r="25" spans="1:22" x14ac:dyDescent="0.3">
      <c r="F25" s="31"/>
      <c r="G25" s="31"/>
      <c r="H25" s="31"/>
      <c r="I25" s="31"/>
      <c r="J25" s="31"/>
      <c r="K25" s="31"/>
      <c r="L25" s="34"/>
      <c r="M25" s="32"/>
      <c r="N25" s="32"/>
      <c r="O25" s="31"/>
      <c r="P25" s="31"/>
      <c r="Q25" s="32"/>
      <c r="R25" s="31"/>
      <c r="S25" s="31"/>
      <c r="T25" s="31"/>
      <c r="U25" s="31"/>
      <c r="V25" s="31"/>
    </row>
    <row r="26" spans="1:22" x14ac:dyDescent="0.3">
      <c r="F26" s="31"/>
      <c r="G26" s="31"/>
      <c r="H26" s="31"/>
      <c r="I26" s="31"/>
      <c r="J26" s="31"/>
      <c r="K26" s="28"/>
      <c r="L26" s="34"/>
      <c r="M26" s="28"/>
      <c r="N26" s="32"/>
      <c r="O26" s="31"/>
      <c r="P26" s="31"/>
      <c r="Q26" s="32"/>
      <c r="R26" s="31"/>
      <c r="S26" s="31"/>
      <c r="T26" s="31"/>
      <c r="U26" s="31"/>
      <c r="V26" s="31"/>
    </row>
    <row r="27" spans="1:22" x14ac:dyDescent="0.3">
      <c r="F27" s="31"/>
      <c r="G27" s="31"/>
      <c r="H27" s="31"/>
      <c r="I27" s="31"/>
      <c r="J27" s="31"/>
      <c r="K27" s="28"/>
      <c r="L27" s="34"/>
      <c r="M27" s="28"/>
      <c r="N27" s="32"/>
      <c r="O27" s="31"/>
      <c r="P27" s="31"/>
      <c r="Q27" s="32"/>
      <c r="R27" s="31"/>
      <c r="S27" s="31"/>
      <c r="T27" s="31"/>
      <c r="U27" s="31"/>
      <c r="V27" s="31"/>
    </row>
    <row r="28" spans="1:22" x14ac:dyDescent="0.3">
      <c r="F28" s="31"/>
      <c r="G28" s="31"/>
      <c r="H28" s="31"/>
      <c r="I28" s="31"/>
      <c r="J28" s="31"/>
      <c r="K28" s="28"/>
      <c r="L28" s="34"/>
      <c r="M28" s="33"/>
      <c r="N28" s="32"/>
      <c r="O28" s="31"/>
      <c r="P28" s="31"/>
      <c r="Q28" s="32"/>
      <c r="R28" s="31"/>
      <c r="S28" s="31"/>
      <c r="T28" s="31"/>
      <c r="U28" s="31"/>
      <c r="V28" s="31"/>
    </row>
    <row r="29" spans="1:22" x14ac:dyDescent="0.3">
      <c r="F29" s="31"/>
      <c r="G29" s="31"/>
      <c r="H29" s="31"/>
      <c r="I29" s="31"/>
      <c r="J29" s="31"/>
      <c r="K29" s="28"/>
      <c r="L29" s="34"/>
      <c r="M29" s="33"/>
      <c r="N29" s="32"/>
      <c r="O29" s="31"/>
      <c r="P29" s="31"/>
      <c r="Q29" s="32"/>
      <c r="R29" s="31"/>
      <c r="S29" s="31"/>
      <c r="T29" s="31"/>
      <c r="U29" s="31"/>
      <c r="V29" s="31"/>
    </row>
    <row r="30" spans="1:22" x14ac:dyDescent="0.3">
      <c r="F30" s="31"/>
      <c r="G30" s="31"/>
      <c r="H30" s="31"/>
      <c r="I30" s="31"/>
      <c r="J30" s="31"/>
      <c r="K30" s="28"/>
      <c r="L30" s="34"/>
      <c r="M30" s="28"/>
      <c r="N30" s="32"/>
      <c r="O30" s="31"/>
      <c r="P30" s="31"/>
      <c r="Q30" s="32"/>
      <c r="R30" s="31"/>
      <c r="S30" s="31"/>
      <c r="T30" s="31"/>
      <c r="U30" s="31"/>
      <c r="V30" s="31"/>
    </row>
    <row r="31" spans="1:22" x14ac:dyDescent="0.3">
      <c r="F31" s="31"/>
      <c r="G31" s="31"/>
      <c r="H31" s="31"/>
      <c r="I31" s="31"/>
      <c r="J31" s="31"/>
      <c r="K31" s="28"/>
      <c r="L31" s="34"/>
      <c r="M31" s="28"/>
      <c r="N31" s="32"/>
      <c r="O31" s="31"/>
      <c r="P31" s="31"/>
      <c r="Q31" s="31"/>
      <c r="R31" s="31"/>
      <c r="S31" s="31"/>
      <c r="T31" s="31"/>
      <c r="U31" s="31"/>
      <c r="V31" s="31"/>
    </row>
    <row r="32" spans="1:22" x14ac:dyDescent="0.3">
      <c r="F32" s="31"/>
      <c r="G32" s="31"/>
      <c r="H32" s="31"/>
      <c r="I32" s="31"/>
      <c r="J32" s="31"/>
      <c r="K32" s="28"/>
      <c r="L32" s="34"/>
      <c r="M32" s="28"/>
      <c r="N32" s="32"/>
      <c r="O32" s="31"/>
      <c r="P32" s="31"/>
      <c r="Q32" s="31"/>
      <c r="R32" s="31"/>
      <c r="S32" s="31"/>
      <c r="T32" s="31"/>
      <c r="U32" s="31"/>
      <c r="V32" s="31"/>
    </row>
    <row r="33" spans="6:22" x14ac:dyDescent="0.3">
      <c r="F33" s="31"/>
      <c r="G33" s="31"/>
      <c r="H33" s="31"/>
      <c r="I33" s="31"/>
      <c r="J33" s="31"/>
      <c r="K33" s="28"/>
      <c r="L33" s="34"/>
      <c r="M33" s="28"/>
      <c r="N33" s="31"/>
      <c r="O33" s="31"/>
      <c r="P33" s="31"/>
      <c r="Q33" s="31"/>
      <c r="R33" s="31"/>
      <c r="S33" s="31"/>
      <c r="T33" s="31"/>
      <c r="V33" s="31"/>
    </row>
    <row r="34" spans="6:22" x14ac:dyDescent="0.3">
      <c r="F34" s="31"/>
      <c r="G34" s="31"/>
      <c r="H34" s="31"/>
      <c r="I34" s="31"/>
      <c r="J34" s="31"/>
      <c r="U34" s="31"/>
      <c r="V34" s="31"/>
    </row>
    <row r="35" spans="6:22" x14ac:dyDescent="0.3">
      <c r="F35" s="31"/>
      <c r="G35" s="31"/>
      <c r="H35" s="31"/>
      <c r="I35" s="31"/>
      <c r="J35" s="31"/>
      <c r="U35" s="31"/>
      <c r="V35" s="31"/>
    </row>
    <row r="36" spans="6:22" x14ac:dyDescent="0.3">
      <c r="F36" s="31"/>
      <c r="G36" s="31"/>
      <c r="H36" s="31"/>
      <c r="I36" s="31"/>
      <c r="J36" s="31"/>
      <c r="K36" s="31"/>
      <c r="L36" s="34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6:22" x14ac:dyDescent="0.3">
      <c r="F37" s="31"/>
      <c r="G37" s="31"/>
      <c r="H37" s="31"/>
      <c r="I37" s="31"/>
      <c r="J37" s="31"/>
      <c r="N37" s="32"/>
      <c r="O37" s="31"/>
      <c r="P37" s="31"/>
      <c r="Q37" s="32"/>
      <c r="R37" s="31"/>
      <c r="S37" s="31"/>
      <c r="T37" s="31"/>
      <c r="U37" s="31"/>
      <c r="V37" s="31"/>
    </row>
    <row r="38" spans="6:22" x14ac:dyDescent="0.3">
      <c r="F38" s="31"/>
      <c r="G38" s="31"/>
      <c r="H38" s="31"/>
      <c r="I38" s="31"/>
      <c r="J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6:22" x14ac:dyDescent="0.3">
      <c r="F39" s="31"/>
      <c r="G39" s="31"/>
      <c r="H39" s="31"/>
      <c r="I39" s="31"/>
      <c r="J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6:22" x14ac:dyDescent="0.3">
      <c r="F40" s="31"/>
      <c r="G40" s="31"/>
      <c r="H40" s="31"/>
      <c r="I40" s="31"/>
      <c r="J40" s="31"/>
      <c r="N40" s="31"/>
      <c r="O40" s="31"/>
      <c r="P40" s="31"/>
      <c r="Q40" s="31"/>
      <c r="R40" s="31"/>
      <c r="S40" s="31"/>
      <c r="T40" s="31"/>
    </row>
    <row r="41" spans="6:22" x14ac:dyDescent="0.3">
      <c r="F41" s="31"/>
      <c r="G41" s="31"/>
      <c r="H41" s="31"/>
      <c r="I41" s="31"/>
      <c r="J41" s="31"/>
      <c r="K41" s="31"/>
      <c r="L41" s="31"/>
      <c r="M41" s="31"/>
    </row>
    <row r="42" spans="6:22" x14ac:dyDescent="0.3">
      <c r="F42" s="31"/>
      <c r="G42" s="31"/>
      <c r="H42" s="31"/>
      <c r="I42" s="31"/>
      <c r="J42" s="31"/>
      <c r="N42" s="31"/>
      <c r="O42" s="31"/>
      <c r="P42" s="31"/>
      <c r="Q42" s="31"/>
    </row>
    <row r="43" spans="6:22" x14ac:dyDescent="0.3">
      <c r="F43" s="31"/>
      <c r="G43" s="31"/>
      <c r="H43" s="31"/>
      <c r="I43" s="31"/>
      <c r="J43" s="31"/>
    </row>
    <row r="44" spans="6:22" x14ac:dyDescent="0.3">
      <c r="F44" s="31"/>
      <c r="G44" s="31"/>
      <c r="H44" s="31"/>
      <c r="I44" s="31"/>
      <c r="J44" s="31"/>
    </row>
    <row r="45" spans="6:22" x14ac:dyDescent="0.3">
      <c r="F45" s="31"/>
      <c r="G45" s="31"/>
      <c r="H45" s="31"/>
      <c r="I45" s="31"/>
      <c r="J45" s="31"/>
      <c r="R45" s="31"/>
      <c r="S45" s="31"/>
      <c r="T45" s="31"/>
    </row>
    <row r="46" spans="6:22" x14ac:dyDescent="0.3">
      <c r="F46" s="31"/>
      <c r="G46" s="31"/>
      <c r="H46" s="31"/>
      <c r="I46" s="31"/>
      <c r="J46" s="31"/>
      <c r="R46" s="31"/>
      <c r="S46" s="31"/>
      <c r="T46" s="31"/>
    </row>
    <row r="47" spans="6:22" x14ac:dyDescent="0.3">
      <c r="F47" s="31"/>
      <c r="G47" s="31"/>
      <c r="H47" s="31"/>
      <c r="I47" s="31"/>
      <c r="J47" s="31"/>
      <c r="K47" s="31"/>
      <c r="L47" s="31"/>
      <c r="M47" s="31"/>
      <c r="R47" s="31"/>
      <c r="S47" s="31"/>
      <c r="T47" s="31"/>
    </row>
    <row r="48" spans="6:22" x14ac:dyDescent="0.3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6:20" x14ac:dyDescent="0.3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6:20" x14ac:dyDescent="0.3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6:20" x14ac:dyDescent="0.3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6:20" x14ac:dyDescent="0.3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6:20" x14ac:dyDescent="0.3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6:20" x14ac:dyDescent="0.3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6:20" x14ac:dyDescent="0.3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6:20" x14ac:dyDescent="0.3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6:20" x14ac:dyDescent="0.3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6:20" x14ac:dyDescent="0.3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6:20" x14ac:dyDescent="0.3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6:20" x14ac:dyDescent="0.3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6:20" x14ac:dyDescent="0.3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6:20" x14ac:dyDescent="0.3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6:20" x14ac:dyDescent="0.3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6:20" x14ac:dyDescent="0.3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6:20" x14ac:dyDescent="0.3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6:20" x14ac:dyDescent="0.3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6:20" x14ac:dyDescent="0.3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6:20" x14ac:dyDescent="0.3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6:20" x14ac:dyDescent="0.3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6:20" x14ac:dyDescent="0.3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6:20" x14ac:dyDescent="0.3"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6:20" x14ac:dyDescent="0.3">
      <c r="K72" s="31"/>
      <c r="L72" s="31"/>
      <c r="M72" s="31"/>
      <c r="N72" s="31"/>
      <c r="O72" s="31"/>
      <c r="P72" s="31"/>
      <c r="Q72" s="31"/>
    </row>
    <row r="73" spans="6:20" x14ac:dyDescent="0.3">
      <c r="K73" s="31"/>
      <c r="L73" s="31"/>
      <c r="M73" s="31"/>
      <c r="N73" s="31"/>
      <c r="O73" s="31"/>
      <c r="P73" s="31"/>
      <c r="Q73" s="31"/>
    </row>
    <row r="74" spans="6:20" x14ac:dyDescent="0.3">
      <c r="N74" s="31"/>
      <c r="O74" s="31"/>
      <c r="P74" s="31"/>
      <c r="Q74" s="3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  <c r="B5">
        <v>0.86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120" zoomScaleNormal="120" workbookViewId="0">
      <selection activeCell="B15" sqref="B15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25</v>
      </c>
    </row>
    <row r="2" spans="1:12" x14ac:dyDescent="0.3">
      <c r="A2" t="s">
        <v>50</v>
      </c>
      <c r="K2" s="16"/>
      <c r="L2" s="16"/>
    </row>
    <row r="5" spans="1:12" x14ac:dyDescent="0.3">
      <c r="A5" s="27" t="s">
        <v>44</v>
      </c>
      <c r="C5" s="11"/>
      <c r="D5" s="28"/>
      <c r="E5" s="28"/>
    </row>
    <row r="6" spans="1:12" x14ac:dyDescent="0.3">
      <c r="A6" s="27" t="s">
        <v>45</v>
      </c>
      <c r="D6" s="28"/>
      <c r="E6" s="28"/>
      <c r="F6" s="50"/>
    </row>
    <row r="7" spans="1:12" x14ac:dyDescent="0.3">
      <c r="A7" s="27" t="s">
        <v>46</v>
      </c>
      <c r="D7" s="28"/>
      <c r="E7" s="28"/>
      <c r="F7" s="50"/>
    </row>
    <row r="8" spans="1:12" x14ac:dyDescent="0.3">
      <c r="A8" s="27" t="s">
        <v>47</v>
      </c>
      <c r="D8" s="28"/>
      <c r="E8" s="28"/>
      <c r="F8" s="50"/>
    </row>
    <row r="9" spans="1:12" x14ac:dyDescent="0.3">
      <c r="A9" s="27" t="s">
        <v>48</v>
      </c>
      <c r="C9" s="16"/>
      <c r="D9" s="51"/>
      <c r="E9" s="51"/>
      <c r="F9" s="16"/>
      <c r="G9" s="16"/>
      <c r="H9" s="16"/>
    </row>
    <row r="10" spans="1:12" x14ac:dyDescent="0.3">
      <c r="A10" s="49" t="s">
        <v>49</v>
      </c>
      <c r="B10" s="12"/>
      <c r="C10" s="16"/>
      <c r="D10" s="28"/>
    </row>
    <row r="11" spans="1:12" x14ac:dyDescent="0.3">
      <c r="A11" s="26"/>
      <c r="B11" s="12"/>
    </row>
    <row r="12" spans="1:12" x14ac:dyDescent="0.3">
      <c r="A12" s="26"/>
      <c r="B12" s="12"/>
    </row>
    <row r="13" spans="1:12" x14ac:dyDescent="0.3">
      <c r="A13" s="26" t="s">
        <v>52</v>
      </c>
      <c r="B13" s="12" t="s">
        <v>51</v>
      </c>
    </row>
    <row r="14" spans="1:12" x14ac:dyDescent="0.3">
      <c r="A14" s="12"/>
      <c r="B14" t="s">
        <v>24</v>
      </c>
    </row>
    <row r="15" spans="1:12" x14ac:dyDescent="0.3">
      <c r="A15" t="s">
        <v>53</v>
      </c>
      <c r="B15" t="s">
        <v>54</v>
      </c>
    </row>
  </sheetData>
  <hyperlinks>
    <hyperlink ref="B13" r:id="rId1" location="current" display="https://www.michigan.gov/mdhhs/0,5885,7-339-71550_2955_2982_46000_46003-35962--,00.html - curr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38" t="s">
        <v>28</v>
      </c>
      <c r="B1" s="39" t="s">
        <v>29</v>
      </c>
      <c r="C1" s="40" t="s">
        <v>35</v>
      </c>
    </row>
    <row r="2" spans="1:3" x14ac:dyDescent="0.3">
      <c r="A2" s="38" t="s">
        <v>31</v>
      </c>
      <c r="B2" s="41" t="s">
        <v>27</v>
      </c>
      <c r="C2" s="42"/>
    </row>
    <row r="3" spans="1:3" ht="43.2" x14ac:dyDescent="0.3">
      <c r="A3" s="43" t="s">
        <v>30</v>
      </c>
      <c r="B3" s="37" t="s">
        <v>36</v>
      </c>
      <c r="C3" s="44" t="s">
        <v>37</v>
      </c>
    </row>
    <row r="4" spans="1:3" x14ac:dyDescent="0.3">
      <c r="A4" s="45" t="s">
        <v>32</v>
      </c>
      <c r="B4" s="41" t="s">
        <v>26</v>
      </c>
      <c r="C4" s="42"/>
    </row>
    <row r="5" spans="1:3" ht="28.8" x14ac:dyDescent="0.3">
      <c r="A5" s="45" t="s">
        <v>33</v>
      </c>
      <c r="B5" s="36" t="s">
        <v>34</v>
      </c>
      <c r="C5" s="46" t="s">
        <v>38</v>
      </c>
    </row>
    <row r="6" spans="1:3" x14ac:dyDescent="0.3">
      <c r="A6" s="45" t="s">
        <v>39</v>
      </c>
      <c r="B6" s="36" t="s">
        <v>40</v>
      </c>
      <c r="C6" s="46" t="s">
        <v>38</v>
      </c>
    </row>
    <row r="7" spans="1:3" x14ac:dyDescent="0.3">
      <c r="A7" s="45" t="s">
        <v>41</v>
      </c>
      <c r="B7" s="37" t="s">
        <v>42</v>
      </c>
      <c r="C7" s="47" t="s">
        <v>38</v>
      </c>
    </row>
    <row r="8" spans="1:3" x14ac:dyDescent="0.3">
      <c r="A8" s="48" t="s">
        <v>43</v>
      </c>
    </row>
    <row r="9" spans="1:3" x14ac:dyDescent="0.3">
      <c r="B9" s="35"/>
    </row>
    <row r="10" spans="1:3" x14ac:dyDescent="0.3">
      <c r="A10" s="1" t="s">
        <v>24</v>
      </c>
      <c r="B10" s="35"/>
    </row>
    <row r="11" spans="1:3" x14ac:dyDescent="0.3">
      <c r="B11" s="35"/>
    </row>
    <row r="12" spans="1:3" x14ac:dyDescent="0.3">
      <c r="B12" s="35"/>
    </row>
    <row r="13" spans="1:3" x14ac:dyDescent="0.3">
      <c r="B13" s="35"/>
    </row>
    <row r="14" spans="1:3" x14ac:dyDescent="0.3">
      <c r="B14" s="35"/>
    </row>
    <row r="15" spans="1:3" x14ac:dyDescent="0.3">
      <c r="B15" s="35"/>
    </row>
    <row r="16" spans="1:3" x14ac:dyDescent="0.3">
      <c r="B16" s="35"/>
    </row>
    <row r="17" spans="2:2" x14ac:dyDescent="0.3">
      <c r="B17" s="35"/>
    </row>
    <row r="18" spans="2:2" x14ac:dyDescent="0.3">
      <c r="B18" s="35"/>
    </row>
    <row r="19" spans="2:2" x14ac:dyDescent="0.3">
      <c r="B19" s="35"/>
    </row>
    <row r="20" spans="2:2" x14ac:dyDescent="0.3">
      <c r="B20" s="35"/>
    </row>
    <row r="21" spans="2:2" x14ac:dyDescent="0.3">
      <c r="B21" s="35"/>
    </row>
    <row r="22" spans="2:2" x14ac:dyDescent="0.3">
      <c r="B22" s="35"/>
    </row>
    <row r="23" spans="2:2" x14ac:dyDescent="0.3">
      <c r="B23" s="35"/>
    </row>
    <row r="24" spans="2:2" x14ac:dyDescent="0.3">
      <c r="B24" s="35"/>
    </row>
    <row r="25" spans="2:2" x14ac:dyDescent="0.3">
      <c r="B25" s="35"/>
    </row>
    <row r="26" spans="2:2" x14ac:dyDescent="0.3">
      <c r="B26" s="35"/>
    </row>
    <row r="27" spans="2:2" x14ac:dyDescent="0.3">
      <c r="B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2020-07-30T19:58:28Z</dcterms:modified>
</cp:coreProperties>
</file>