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odd Fojo\CloudStation\Projects\Ending HIV\Ending_HIV\raw_data\local_continuum\"/>
    </mc:Choice>
  </mc:AlternateContent>
  <bookViews>
    <workbookView xWindow="0" yWindow="540" windowWidth="38244" windowHeight="19440"/>
  </bookViews>
  <sheets>
    <sheet name="Stratified_Data" sheetId="1" r:id="rId1"/>
    <sheet name="Total_Data" sheetId="4" r:id="rId2"/>
    <sheet name="Comments" sheetId="2" r:id="rId3"/>
    <sheet name="Indicator definitions" sheetId="5" r:id="rId4"/>
  </sheets>
  <calcPr calcId="162913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7" i="4" l="1"/>
  <c r="H6" i="4"/>
  <c r="O13" i="1"/>
  <c r="N13" i="1"/>
  <c r="C2" i="4"/>
  <c r="AC3" i="1"/>
  <c r="AD6" i="1"/>
  <c r="AD5" i="1"/>
  <c r="AD4" i="1"/>
  <c r="AD8" i="1"/>
  <c r="AD7" i="1"/>
  <c r="G7" i="4"/>
  <c r="F7" i="4"/>
  <c r="C7" i="4"/>
  <c r="G6" i="4"/>
  <c r="F6" i="4"/>
  <c r="C6" i="4"/>
  <c r="G4" i="4"/>
  <c r="C4" i="4"/>
  <c r="G13" i="1"/>
  <c r="G9" i="1"/>
  <c r="F13" i="1"/>
  <c r="F9" i="1"/>
  <c r="G3" i="1"/>
  <c r="F3" i="1"/>
  <c r="C3" i="1"/>
  <c r="M3" i="1"/>
  <c r="L3" i="1"/>
  <c r="I3" i="1"/>
  <c r="Q3" i="1"/>
  <c r="AB17" i="1"/>
  <c r="AB14" i="1"/>
  <c r="AB7" i="1"/>
  <c r="AB8" i="1"/>
  <c r="AD13" i="1"/>
  <c r="AD12" i="1"/>
  <c r="AD11" i="1"/>
  <c r="AD10" i="1"/>
  <c r="AD9" i="1"/>
  <c r="AB13" i="1"/>
  <c r="AB12" i="1"/>
  <c r="AB11" i="1"/>
  <c r="AB10" i="1"/>
  <c r="AB9" i="1"/>
</calcChain>
</file>

<file path=xl/sharedStrings.xml><?xml version="1.0" encoding="utf-8"?>
<sst xmlns="http://schemas.openxmlformats.org/spreadsheetml/2006/main" count="124" uniqueCount="77">
  <si>
    <t>Total</t>
  </si>
  <si>
    <t>Black</t>
  </si>
  <si>
    <t>Hispanic</t>
  </si>
  <si>
    <t>Other</t>
  </si>
  <si>
    <t>Male</t>
  </si>
  <si>
    <t>Female</t>
  </si>
  <si>
    <t>13-24</t>
  </si>
  <si>
    <t>25-34</t>
  </si>
  <si>
    <t>35-44</t>
  </si>
  <si>
    <t>45-54</t>
  </si>
  <si>
    <t>55+</t>
  </si>
  <si>
    <t>MSM</t>
  </si>
  <si>
    <t>IDU</t>
  </si>
  <si>
    <t>MSM+IDU</t>
  </si>
  <si>
    <t>Heterosexual</t>
  </si>
  <si>
    <t>Year</t>
  </si>
  <si>
    <t>suppressed</t>
  </si>
  <si>
    <t>prevalent</t>
  </si>
  <si>
    <t>linked</t>
  </si>
  <si>
    <t>new</t>
  </si>
  <si>
    <t>Months</t>
  </si>
  <si>
    <t>engaged</t>
  </si>
  <si>
    <t>Data_Type</t>
  </si>
  <si>
    <t xml:space="preserve"> </t>
  </si>
  <si>
    <t xml:space="preserve">Specific EHE priority counties: </t>
  </si>
  <si>
    <t>retained</t>
  </si>
  <si>
    <t>Individuals living with diagnosed HIV</t>
  </si>
  <si>
    <t>Individuals diagnosed with HIV in that year</t>
  </si>
  <si>
    <t>Indicator</t>
  </si>
  <si>
    <t>Definition</t>
  </si>
  <si>
    <t>Linked (%)</t>
  </si>
  <si>
    <t>New (n)</t>
  </si>
  <si>
    <t>Prevalent (n)</t>
  </si>
  <si>
    <t>Engaged (%)</t>
  </si>
  <si>
    <t>“Receipt of care” (defined as ≥1 test (CD4 or viral load)), or “In care”  (documented care ≥1 time)</t>
  </si>
  <si>
    <t>Denominator</t>
  </si>
  <si>
    <t>Individuals who visited an HIV heath care provider (had ≥1 documented test) within 1 month after receiving a diagnosis of HIV</t>
  </si>
  <si>
    <t>Individuals receiving a diagnosis of HIV in a given year</t>
  </si>
  <si>
    <t>Diagnosed HIV</t>
  </si>
  <si>
    <t xml:space="preserve">Retained (%) </t>
  </si>
  <si>
    <t>Individuals with ≥2 tests (CD4 or VL) ≥3 months apart</t>
  </si>
  <si>
    <t xml:space="preserve">Suppressed (%) </t>
  </si>
  <si>
    <t>Individuals with &lt;200 copies/mL on the most recent VL test</t>
  </si>
  <si>
    <t>*New (n) and linked (%) should come from same level/source (e.g. state vs. county); while prevalent (n) and engaged/retained/suppressed (%) should come from the same source</t>
  </si>
  <si>
    <t>Shelby County (937,166)</t>
  </si>
  <si>
    <t>Tennessee</t>
  </si>
  <si>
    <t>Mississippi</t>
  </si>
  <si>
    <t>Tipton County (61,599)</t>
  </si>
  <si>
    <t xml:space="preserve">Other counties in MSA: </t>
  </si>
  <si>
    <t>Crittenden County (47,955)</t>
  </si>
  <si>
    <t>Arkansas</t>
  </si>
  <si>
    <t>Fayette County (41,133)</t>
  </si>
  <si>
    <t>Marshall County (35,294</t>
  </si>
  <si>
    <t>Tate County (28,321)</t>
  </si>
  <si>
    <t>Tunica County (9,632)</t>
  </si>
  <si>
    <t xml:space="preserve">DeSoto County (184,945) </t>
  </si>
  <si>
    <t>http://www.shelbytnhealth.com/233/Reports-Data-Tables</t>
  </si>
  <si>
    <t>https://www.tn.gov/content/dam/tn/health/program-areas/hiv/2017_HIV_Epi_Profile.pdf</t>
  </si>
  <si>
    <t xml:space="preserve">HIV reports for Shelby county but no viral suppression </t>
  </si>
  <si>
    <t>https://www.tn.gov/content/dam/tn/health/program-areas/hiv/Tennessee-HIV-Epidemiological-Profile-2018.pdf</t>
  </si>
  <si>
    <t>https://www.tn.gov/health/health-program-areas/statistics/health-data/hiv-data.html</t>
  </si>
  <si>
    <t xml:space="preserve">Tennessee reports </t>
  </si>
  <si>
    <t>https://bids.shelbycountytn.gov/system/files/_RFP%2016-001-39%20Attachment_G_HCAP_2014_Data_Presentation_.PDF</t>
  </si>
  <si>
    <t>http://hivmemphis.org/sites/default/files/documents/FY17-PSRA-Data-Presentation_08_23_2017.pdf</t>
  </si>
  <si>
    <t>Ryan White data</t>
  </si>
  <si>
    <t>http://hivmemphis.org/about-hcap/resources</t>
  </si>
  <si>
    <t>http://hivmemphis.org/sites/default/files/documents/FY15-EPI-Profile-Presentation-Memphis-TGA-5-29-2015.pdf</t>
  </si>
  <si>
    <t>(3 West TN counties: Shelby, Fayette, Tipton)</t>
  </si>
  <si>
    <t>http://hivmemphis.org/sites/default/files/documents/FY16-PSRA-data-presentation_1.pdf</t>
  </si>
  <si>
    <t>West TN 3 counties (Shelby, Fayette, Tipton)</t>
  </si>
  <si>
    <t>Shelby county</t>
  </si>
  <si>
    <t>http://hivmemphis.org/sites/default/files/documents/Appendix_5_Tennessee_Integrated_HIV_Prevention_and_Care_Plan.pdf</t>
  </si>
  <si>
    <t>"Although Shelby County represents approximately 14% of Tennessee’s general population, over the period from 2005 to 2015, the Shelby County represented 42% of the new HIV diagnoses in Tennessee (Figure 7)."</t>
  </si>
  <si>
    <t>***2013 Continuum for Shelby by sex/risk group</t>
  </si>
  <si>
    <t>Integrated plan</t>
  </si>
  <si>
    <t>aware</t>
  </si>
  <si>
    <t>Memphis TGA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</si>
</sst>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3" fillId="0" borderId="0" applyFont="0" applyFill="0" applyBorder="0" applyAlignment="0" applyProtection="0"/>
  </cellStyleXfs>
  <cellXfs count="99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1" fillId="0" borderId="2" xfId="0" applyFont="1" applyBorder="1"/>
    <xf numFmtId="0" fontId="0" fillId="0" borderId="2" xfId="0" applyBorder="1"/>
    <xf numFmtId="0" fontId="1" fillId="0" borderId="3" xfId="0" applyFont="1" applyBorder="1"/>
    <xf numFmtId="0" fontId="0" fillId="0" borderId="3" xfId="0" applyBorder="1"/>
    <xf numFmtId="0" fontId="1" fillId="0" borderId="0" xfId="0" applyFont="1" applyBorder="1"/>
    <xf numFmtId="0" fontId="0" fillId="0" borderId="0" xfId="0" applyBorder="1"/>
    <xf numFmtId="0" fontId="0" fillId="0" borderId="0" xfId="0" applyFill="1" applyBorder="1"/>
    <xf numFmtId="0" fontId="0" fillId="0" borderId="0" xfId="0" quotePrefix="1"/>
    <xf numFmtId="0" fontId="2" fillId="0" borderId="0" xfId="1"/>
    <xf numFmtId="1" fontId="0" fillId="0" borderId="3" xfId="0" applyNumberFormat="1" applyBorder="1"/>
    <xf numFmtId="1" fontId="0" fillId="0" borderId="0" xfId="0" applyNumberFormat="1" applyBorder="1"/>
    <xf numFmtId="2" fontId="0" fillId="0" borderId="3" xfId="0" applyNumberFormat="1" applyBorder="1"/>
    <xf numFmtId="0" fontId="0" fillId="0" borderId="0" xfId="0" applyFill="1"/>
    <xf numFmtId="0" fontId="0" fillId="0" borderId="2" xfId="0" applyFill="1" applyBorder="1"/>
    <xf numFmtId="0" fontId="0" fillId="0" borderId="3" xfId="0" applyFill="1" applyBorder="1"/>
    <xf numFmtId="2" fontId="0" fillId="0" borderId="3" xfId="0" applyNumberFormat="1" applyFill="1" applyBorder="1"/>
    <xf numFmtId="1" fontId="0" fillId="0" borderId="3" xfId="0" applyNumberFormat="1" applyFill="1" applyBorder="1"/>
    <xf numFmtId="2" fontId="0" fillId="0" borderId="0" xfId="0" applyNumberFormat="1" applyFill="1" applyBorder="1"/>
    <xf numFmtId="1" fontId="0" fillId="0" borderId="0" xfId="0" applyNumberFormat="1" applyFill="1" applyBorder="1"/>
    <xf numFmtId="0" fontId="0" fillId="0" borderId="1" xfId="0" applyFill="1" applyBorder="1"/>
    <xf numFmtId="2" fontId="0" fillId="0" borderId="1" xfId="0" applyNumberFormat="1" applyFill="1" applyBorder="1"/>
    <xf numFmtId="0" fontId="0" fillId="0" borderId="0" xfId="0" applyFont="1" applyFill="1"/>
    <xf numFmtId="0" fontId="3" fillId="0" borderId="0" xfId="1" applyFont="1"/>
    <xf numFmtId="3" fontId="0" fillId="0" borderId="0" xfId="0" applyNumberFormat="1"/>
    <xf numFmtId="9" fontId="0" fillId="0" borderId="0" xfId="0" applyNumberFormat="1"/>
    <xf numFmtId="9" fontId="0" fillId="0" borderId="0" xfId="2" applyFont="1"/>
    <xf numFmtId="0" fontId="0" fillId="0" borderId="0" xfId="0" applyNumberFormat="1"/>
    <xf numFmtId="0" fontId="0" fillId="0" borderId="0" xfId="2" applyNumberFormat="1" applyFont="1"/>
    <xf numFmtId="0" fontId="0" fillId="0" borderId="0" xfId="0" applyNumberFormat="1" applyFont="1" applyFill="1"/>
    <xf numFmtId="3" fontId="0" fillId="0" borderId="0" xfId="2" applyNumberFormat="1" applyFont="1"/>
    <xf numFmtId="164" fontId="0" fillId="0" borderId="0" xfId="2" applyNumberFormat="1" applyFont="1"/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0" fillId="0" borderId="1" xfId="0" applyBorder="1" applyAlignment="1">
      <alignment horizontal="left" wrapText="1"/>
    </xf>
    <xf numFmtId="0" fontId="1" fillId="0" borderId="8" xfId="0" applyFont="1" applyBorder="1" applyAlignment="1">
      <alignment horizontal="left"/>
    </xf>
    <xf numFmtId="0" fontId="1" fillId="0" borderId="2" xfId="0" applyFont="1" applyBorder="1" applyAlignment="1">
      <alignment horizontal="left" wrapText="1"/>
    </xf>
    <xf numFmtId="0" fontId="1" fillId="0" borderId="7" xfId="0" applyFont="1" applyBorder="1" applyAlignment="1">
      <alignment horizontal="left"/>
    </xf>
    <xf numFmtId="0" fontId="0" fillId="0" borderId="3" xfId="0" applyBorder="1" applyAlignment="1">
      <alignment horizontal="left" wrapText="1"/>
    </xf>
    <xf numFmtId="0" fontId="0" fillId="0" borderId="4" xfId="0" applyBorder="1" applyAlignment="1">
      <alignment horizontal="left"/>
    </xf>
    <xf numFmtId="0" fontId="1" fillId="0" borderId="10" xfId="0" applyFont="1" applyBorder="1" applyAlignment="1">
      <alignment horizontal="left"/>
    </xf>
    <xf numFmtId="0" fontId="0" fillId="0" borderId="5" xfId="0" applyBorder="1" applyAlignment="1">
      <alignment horizontal="left" wrapText="1"/>
    </xf>
    <xf numFmtId="0" fontId="1" fillId="0" borderId="9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3" xfId="0" applyBorder="1" applyAlignment="1">
      <alignment horizontal="left"/>
    </xf>
    <xf numFmtId="0" fontId="3" fillId="0" borderId="0" xfId="1" applyFont="1" applyFill="1"/>
    <xf numFmtId="0" fontId="4" fillId="0" borderId="0" xfId="0" applyFont="1"/>
    <xf numFmtId="0" fontId="0" fillId="2" borderId="0" xfId="0" applyFill="1"/>
    <xf numFmtId="0" fontId="0" fillId="2" borderId="2" xfId="0" applyFill="1" applyBorder="1"/>
    <xf numFmtId="1" fontId="0" fillId="2" borderId="3" xfId="0" applyNumberFormat="1" applyFill="1" applyBorder="1"/>
    <xf numFmtId="0" fontId="0" fillId="2" borderId="3" xfId="0" applyFill="1" applyBorder="1"/>
    <xf numFmtId="1" fontId="0" fillId="2" borderId="0" xfId="0" applyNumberFormat="1" applyFill="1" applyBorder="1"/>
    <xf numFmtId="0" fontId="0" fillId="2" borderId="0" xfId="0" applyFill="1" applyBorder="1"/>
    <xf numFmtId="1" fontId="0" fillId="2" borderId="1" xfId="0" applyNumberFormat="1" applyFill="1" applyBorder="1"/>
    <xf numFmtId="0" fontId="0" fillId="2" borderId="1" xfId="0" applyFill="1" applyBorder="1"/>
    <xf numFmtId="2" fontId="0" fillId="2" borderId="3" xfId="0" applyNumberFormat="1" applyFill="1" applyBorder="1"/>
    <xf numFmtId="2" fontId="0" fillId="2" borderId="1" xfId="0" applyNumberFormat="1" applyFill="1" applyBorder="1"/>
    <xf numFmtId="2" fontId="0" fillId="2" borderId="0" xfId="0" applyNumberFormat="1" applyFill="1" applyBorder="1"/>
    <xf numFmtId="0" fontId="1" fillId="3" borderId="0" xfId="0" applyFont="1" applyFill="1"/>
    <xf numFmtId="0" fontId="0" fillId="3" borderId="2" xfId="0" applyFill="1" applyBorder="1"/>
    <xf numFmtId="1" fontId="0" fillId="3" borderId="3" xfId="0" applyNumberFormat="1" applyFill="1" applyBorder="1"/>
    <xf numFmtId="0" fontId="0" fillId="3" borderId="3" xfId="0" applyFill="1" applyBorder="1"/>
    <xf numFmtId="1" fontId="0" fillId="3" borderId="0" xfId="0" applyNumberFormat="1" applyFill="1" applyBorder="1"/>
    <xf numFmtId="0" fontId="0" fillId="3" borderId="0" xfId="0" applyFill="1" applyBorder="1"/>
    <xf numFmtId="1" fontId="0" fillId="3" borderId="1" xfId="0" applyNumberFormat="1" applyFill="1" applyBorder="1"/>
    <xf numFmtId="0" fontId="0" fillId="3" borderId="1" xfId="0" applyFill="1" applyBorder="1"/>
    <xf numFmtId="2" fontId="0" fillId="3" borderId="3" xfId="0" applyNumberFormat="1" applyFill="1" applyBorder="1"/>
    <xf numFmtId="2" fontId="0" fillId="3" borderId="1" xfId="0" applyNumberFormat="1" applyFill="1" applyBorder="1"/>
    <xf numFmtId="2" fontId="0" fillId="3" borderId="0" xfId="0" applyNumberFormat="1" applyFill="1" applyBorder="1"/>
    <xf numFmtId="0" fontId="0" fillId="3" borderId="0" xfId="0" applyFill="1"/>
    <xf numFmtId="0" fontId="0" fillId="3" borderId="0" xfId="0" applyFont="1" applyFill="1"/>
    <xf numFmtId="2" fontId="0" fillId="3" borderId="2" xfId="0" applyNumberFormat="1" applyFill="1" applyBorder="1"/>
    <xf numFmtId="0" fontId="0" fillId="2" borderId="0" xfId="0" applyFont="1" applyFill="1"/>
    <xf numFmtId="2" fontId="0" fillId="3" borderId="0" xfId="0" applyNumberFormat="1" applyFill="1"/>
    <xf numFmtId="0" fontId="5" fillId="2" borderId="0" xfId="0" applyFont="1" applyFill="1"/>
    <xf numFmtId="2" fontId="0" fillId="2" borderId="2" xfId="0" applyNumberFormat="1" applyFill="1" applyBorder="1"/>
    <xf numFmtId="2" fontId="0" fillId="2" borderId="0" xfId="0" applyNumberFormat="1" applyFont="1" applyFill="1"/>
    <xf numFmtId="0" fontId="1" fillId="4" borderId="0" xfId="0" applyFont="1" applyFill="1"/>
    <xf numFmtId="0" fontId="0" fillId="4" borderId="2" xfId="0" applyFill="1" applyBorder="1"/>
    <xf numFmtId="2" fontId="0" fillId="4" borderId="2" xfId="0" applyNumberFormat="1" applyFill="1" applyBorder="1"/>
    <xf numFmtId="1" fontId="0" fillId="4" borderId="3" xfId="0" applyNumberFormat="1" applyFill="1" applyBorder="1"/>
    <xf numFmtId="0" fontId="0" fillId="4" borderId="3" xfId="0" applyFill="1" applyBorder="1"/>
    <xf numFmtId="1" fontId="0" fillId="4" borderId="0" xfId="0" applyNumberFormat="1" applyFill="1" applyBorder="1"/>
    <xf numFmtId="0" fontId="0" fillId="4" borderId="0" xfId="0" applyFill="1" applyBorder="1"/>
    <xf numFmtId="1" fontId="0" fillId="4" borderId="1" xfId="0" applyNumberFormat="1" applyFill="1" applyBorder="1"/>
    <xf numFmtId="0" fontId="0" fillId="4" borderId="1" xfId="0" applyFill="1" applyBorder="1"/>
    <xf numFmtId="2" fontId="0" fillId="4" borderId="3" xfId="0" applyNumberFormat="1" applyFill="1" applyBorder="1"/>
    <xf numFmtId="2" fontId="0" fillId="4" borderId="1" xfId="0" applyNumberFormat="1" applyFill="1" applyBorder="1"/>
    <xf numFmtId="2" fontId="0" fillId="4" borderId="0" xfId="0" applyNumberFormat="1" applyFill="1" applyBorder="1"/>
    <xf numFmtId="0" fontId="0" fillId="4" borderId="0" xfId="0" applyFill="1"/>
    <xf numFmtId="0" fontId="0" fillId="4" borderId="0" xfId="0" applyFont="1" applyFill="1"/>
    <xf numFmtId="2" fontId="0" fillId="4" borderId="0" xfId="0" applyNumberFormat="1" applyFont="1" applyFill="1"/>
    <xf numFmtId="2" fontId="5" fillId="4" borderId="0" xfId="0" applyNumberFormat="1" applyFont="1" applyFill="1"/>
    <xf numFmtId="2" fontId="0" fillId="4" borderId="0" xfId="0" applyNumberFormat="1" applyFill="1"/>
    <xf numFmtId="2" fontId="0" fillId="3" borderId="0" xfId="0" applyNumberFormat="1" applyFont="1" applyFill="1"/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29</xdr:row>
      <xdr:rowOff>44248</xdr:rowOff>
    </xdr:from>
    <xdr:to>
      <xdr:col>8</xdr:col>
      <xdr:colOff>110067</xdr:colOff>
      <xdr:row>47</xdr:row>
      <xdr:rowOff>112184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ADF55BB-74B4-F940-81E0-4FDAD4C99C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568748"/>
          <a:ext cx="6777567" cy="34969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hivmemphis.org/sites/default/files/documents/FY15-EPI-Profile-Presentation-Memphis-TGA-5-29-2015.pdf" TargetMode="External"/><Relationship Id="rId3" Type="http://schemas.openxmlformats.org/officeDocument/2006/relationships/hyperlink" Target="https://www.tn.gov/content/dam/tn/health/program-areas/hiv/2017_HIV_Epi_Profile.pdf" TargetMode="External"/><Relationship Id="rId7" Type="http://schemas.openxmlformats.org/officeDocument/2006/relationships/hyperlink" Target="http://hivmemphis.org/about-hcap/resources" TargetMode="External"/><Relationship Id="rId2" Type="http://schemas.openxmlformats.org/officeDocument/2006/relationships/hyperlink" Target="https://www.tn.gov/content/dam/tn/health/program-areas/hiv/Tennessee-HIV-Epidemiological-Profile-2018.pdf" TargetMode="External"/><Relationship Id="rId1" Type="http://schemas.openxmlformats.org/officeDocument/2006/relationships/hyperlink" Target="http://www.shelbytnhealth.com/233/Reports-Data-Tables" TargetMode="External"/><Relationship Id="rId6" Type="http://schemas.openxmlformats.org/officeDocument/2006/relationships/hyperlink" Target="http://hivmemphis.org/sites/default/files/documents/FY17-PSRA-Data-Presentation_08_23_2017.pdf" TargetMode="External"/><Relationship Id="rId11" Type="http://schemas.openxmlformats.org/officeDocument/2006/relationships/drawing" Target="../drawings/drawing1.xml"/><Relationship Id="rId5" Type="http://schemas.openxmlformats.org/officeDocument/2006/relationships/hyperlink" Target="https://bids.shelbycountytn.gov/system/files/_RFP%2016-001-39%20Attachment_G_HCAP_2014_Data_Presentation_.PDF" TargetMode="External"/><Relationship Id="rId10" Type="http://schemas.openxmlformats.org/officeDocument/2006/relationships/hyperlink" Target="http://hivmemphis.org/sites/default/files/documents/Appendix_5_Tennessee_Integrated_HIV_Prevention_and_Care_Plan.pdf" TargetMode="External"/><Relationship Id="rId4" Type="http://schemas.openxmlformats.org/officeDocument/2006/relationships/hyperlink" Target="https://www.tn.gov/health/health-program-areas/statistics/health-data/hiv-data.html" TargetMode="External"/><Relationship Id="rId9" Type="http://schemas.openxmlformats.org/officeDocument/2006/relationships/hyperlink" Target="http://hivmemphis.org/sites/default/files/documents/FY16-PSRA-data-presentation_1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74"/>
  <sheetViews>
    <sheetView tabSelected="1" zoomScale="120" zoomScaleNormal="120" workbookViewId="0">
      <pane xSplit="1" ySplit="1" topLeftCell="U2" activePane="bottomRight" state="frozen"/>
      <selection pane="topRight" activeCell="B1" sqref="B1"/>
      <selection pane="bottomLeft" activeCell="A2" sqref="A2"/>
      <selection pane="bottomRight" activeCell="K17" sqref="K10:AF17"/>
    </sheetView>
  </sheetViews>
  <sheetFormatPr defaultColWidth="8.77734375" defaultRowHeight="14.4" x14ac:dyDescent="0.3"/>
  <cols>
    <col min="1" max="1" width="13.33203125" style="1" customWidth="1"/>
  </cols>
  <sheetData>
    <row r="1" spans="1:47" s="1" customFormat="1" x14ac:dyDescent="0.3">
      <c r="A1" s="1" t="s">
        <v>22</v>
      </c>
      <c r="B1" s="1" t="s">
        <v>19</v>
      </c>
      <c r="C1" s="1" t="s">
        <v>18</v>
      </c>
      <c r="D1" s="1" t="s">
        <v>17</v>
      </c>
      <c r="E1" s="1" t="s">
        <v>21</v>
      </c>
      <c r="F1" s="1" t="s">
        <v>25</v>
      </c>
      <c r="G1" s="1" t="s">
        <v>16</v>
      </c>
      <c r="H1" s="1" t="s">
        <v>19</v>
      </c>
      <c r="I1" s="1" t="s">
        <v>18</v>
      </c>
      <c r="J1" s="1" t="s">
        <v>17</v>
      </c>
      <c r="K1" s="1" t="s">
        <v>21</v>
      </c>
      <c r="L1" s="1" t="s">
        <v>25</v>
      </c>
      <c r="M1" s="1" t="s">
        <v>16</v>
      </c>
      <c r="N1" s="1" t="s">
        <v>19</v>
      </c>
      <c r="O1" s="1" t="s">
        <v>17</v>
      </c>
      <c r="P1" s="1" t="s">
        <v>19</v>
      </c>
      <c r="Q1" s="1" t="s">
        <v>18</v>
      </c>
      <c r="R1" s="1" t="s">
        <v>17</v>
      </c>
      <c r="S1" s="1" t="s">
        <v>21</v>
      </c>
      <c r="T1" s="1" t="s">
        <v>25</v>
      </c>
      <c r="U1" s="1" t="s">
        <v>16</v>
      </c>
      <c r="V1" s="1" t="s">
        <v>19</v>
      </c>
      <c r="W1" s="1" t="s">
        <v>18</v>
      </c>
      <c r="X1" s="1" t="s">
        <v>17</v>
      </c>
      <c r="Y1" s="1" t="s">
        <v>21</v>
      </c>
      <c r="Z1" s="1" t="s">
        <v>25</v>
      </c>
      <c r="AA1" s="1" t="s">
        <v>16</v>
      </c>
      <c r="AB1" s="1" t="s">
        <v>19</v>
      </c>
      <c r="AC1" s="1" t="s">
        <v>18</v>
      </c>
      <c r="AD1" s="1" t="s">
        <v>17</v>
      </c>
      <c r="AE1" s="1" t="s">
        <v>21</v>
      </c>
      <c r="AF1" s="1" t="s">
        <v>25</v>
      </c>
      <c r="AG1" s="1" t="s">
        <v>16</v>
      </c>
    </row>
    <row r="2" spans="1:47" s="1" customFormat="1" x14ac:dyDescent="0.3">
      <c r="A2" s="1" t="s">
        <v>15</v>
      </c>
      <c r="B2" s="62">
        <v>2016</v>
      </c>
      <c r="C2" s="62">
        <v>2016</v>
      </c>
      <c r="D2" s="62">
        <v>2016</v>
      </c>
      <c r="E2" s="62">
        <v>2016</v>
      </c>
      <c r="F2" s="62">
        <v>2016</v>
      </c>
      <c r="G2" s="62">
        <v>2016</v>
      </c>
      <c r="H2" s="62">
        <v>2015</v>
      </c>
      <c r="I2" s="62">
        <v>2015</v>
      </c>
      <c r="J2" s="62">
        <v>2015</v>
      </c>
      <c r="K2" s="62">
        <v>2015</v>
      </c>
      <c r="L2" s="62">
        <v>2015</v>
      </c>
      <c r="M2" s="62">
        <v>2015</v>
      </c>
      <c r="N2" s="81">
        <v>2015</v>
      </c>
      <c r="O2" s="81">
        <v>2015</v>
      </c>
      <c r="P2" s="62">
        <v>2014</v>
      </c>
      <c r="Q2" s="62">
        <v>2014</v>
      </c>
      <c r="R2" s="62">
        <v>2014</v>
      </c>
      <c r="S2" s="62">
        <v>2014</v>
      </c>
      <c r="T2" s="62">
        <v>2014</v>
      </c>
      <c r="U2" s="62">
        <v>2014</v>
      </c>
      <c r="V2" s="81">
        <v>2014</v>
      </c>
      <c r="W2" s="81">
        <v>2014</v>
      </c>
      <c r="X2" s="81">
        <v>2014</v>
      </c>
      <c r="Y2" s="81">
        <v>2014</v>
      </c>
      <c r="Z2" s="81">
        <v>2014</v>
      </c>
      <c r="AA2" s="81">
        <v>2014</v>
      </c>
      <c r="AB2" s="1">
        <v>2013</v>
      </c>
      <c r="AC2" s="1">
        <v>2013</v>
      </c>
      <c r="AD2" s="1">
        <v>2013</v>
      </c>
      <c r="AE2" s="1">
        <v>2013</v>
      </c>
      <c r="AF2" s="1">
        <v>2013</v>
      </c>
      <c r="AG2" s="1">
        <v>2013</v>
      </c>
    </row>
    <row r="3" spans="1:47" s="5" customFormat="1" x14ac:dyDescent="0.3">
      <c r="A3" s="4" t="s">
        <v>0</v>
      </c>
      <c r="B3" s="63">
        <v>276</v>
      </c>
      <c r="C3" s="75">
        <f>166/B3</f>
        <v>0.60144927536231885</v>
      </c>
      <c r="D3" s="63">
        <v>6665</v>
      </c>
      <c r="E3" s="63"/>
      <c r="F3" s="75">
        <f>3805/D3</f>
        <v>0.5708927231807952</v>
      </c>
      <c r="G3" s="75">
        <f>3794/D3</f>
        <v>0.56924231057764441</v>
      </c>
      <c r="H3" s="63">
        <v>282</v>
      </c>
      <c r="I3" s="75">
        <f>188/H3</f>
        <v>0.66666666666666663</v>
      </c>
      <c r="J3" s="63">
        <v>6485</v>
      </c>
      <c r="K3" s="63"/>
      <c r="L3" s="75">
        <f>3452/J3</f>
        <v>0.53230531996915964</v>
      </c>
      <c r="M3" s="75">
        <f>3501/J3</f>
        <v>0.53986121819583655</v>
      </c>
      <c r="N3" s="82">
        <v>712</v>
      </c>
      <c r="O3" s="82">
        <v>16903</v>
      </c>
      <c r="P3" s="63">
        <v>288</v>
      </c>
      <c r="Q3" s="75">
        <f>190/288</f>
        <v>0.65972222222222221</v>
      </c>
      <c r="R3" s="63">
        <v>6458</v>
      </c>
      <c r="S3" s="63"/>
      <c r="T3" s="63">
        <v>0.51</v>
      </c>
      <c r="U3" s="75">
        <v>0.47</v>
      </c>
      <c r="V3" s="82">
        <v>753</v>
      </c>
      <c r="W3" s="83">
        <v>0.77</v>
      </c>
      <c r="X3" s="82"/>
      <c r="Y3" s="82"/>
      <c r="Z3" s="82">
        <v>0.53</v>
      </c>
      <c r="AA3" s="83">
        <v>0.52</v>
      </c>
      <c r="AB3" s="52">
        <v>331</v>
      </c>
      <c r="AC3" s="79">
        <f>234/AB3</f>
        <v>0.70694864048338368</v>
      </c>
      <c r="AD3" s="52">
        <v>7190</v>
      </c>
      <c r="AE3" s="52"/>
      <c r="AF3" s="52">
        <v>0.45</v>
      </c>
      <c r="AG3" s="52">
        <v>0.34</v>
      </c>
      <c r="AH3" s="17"/>
      <c r="AI3" s="17"/>
      <c r="AJ3" s="17"/>
      <c r="AK3" s="17"/>
      <c r="AL3" s="17"/>
      <c r="AM3" s="17"/>
      <c r="AN3" s="17"/>
    </row>
    <row r="4" spans="1:47" s="7" customFormat="1" x14ac:dyDescent="0.3">
      <c r="A4" s="6" t="s">
        <v>1</v>
      </c>
      <c r="B4" s="64"/>
      <c r="C4" s="64"/>
      <c r="D4" s="65"/>
      <c r="E4" s="65"/>
      <c r="F4" s="64"/>
      <c r="G4" s="65"/>
      <c r="H4" s="64"/>
      <c r="I4" s="64"/>
      <c r="J4" s="65"/>
      <c r="K4" s="65"/>
      <c r="L4" s="64"/>
      <c r="M4" s="65"/>
      <c r="N4" s="84">
        <v>421</v>
      </c>
      <c r="O4" s="84">
        <v>9535</v>
      </c>
      <c r="P4" s="64"/>
      <c r="Q4" s="64"/>
      <c r="R4" s="65"/>
      <c r="S4" s="65"/>
      <c r="T4" s="64"/>
      <c r="U4" s="65"/>
      <c r="V4" s="84"/>
      <c r="W4" s="90">
        <v>0.72</v>
      </c>
      <c r="X4" s="85"/>
      <c r="Y4" s="85"/>
      <c r="Z4" s="90">
        <v>0.53</v>
      </c>
      <c r="AA4" s="85">
        <v>0.5</v>
      </c>
      <c r="AB4" s="53">
        <v>293</v>
      </c>
      <c r="AC4" s="53"/>
      <c r="AD4" s="53">
        <f>0.82*AD3</f>
        <v>5895.7999999999993</v>
      </c>
      <c r="AE4" s="54"/>
      <c r="AF4" s="53"/>
      <c r="AG4" s="54"/>
      <c r="AH4" s="18"/>
      <c r="AI4" s="18"/>
      <c r="AJ4" s="18"/>
      <c r="AK4" s="18"/>
      <c r="AL4" s="18"/>
      <c r="AM4" s="18"/>
      <c r="AN4" s="18"/>
    </row>
    <row r="5" spans="1:47" s="9" customFormat="1" x14ac:dyDescent="0.3">
      <c r="A5" s="8" t="s">
        <v>2</v>
      </c>
      <c r="B5" s="66"/>
      <c r="C5" s="66"/>
      <c r="D5" s="67"/>
      <c r="E5" s="67"/>
      <c r="F5" s="66"/>
      <c r="G5" s="67"/>
      <c r="H5" s="66"/>
      <c r="I5" s="66"/>
      <c r="J5" s="67"/>
      <c r="K5" s="67"/>
      <c r="L5" s="66"/>
      <c r="M5" s="67"/>
      <c r="N5" s="86">
        <v>41</v>
      </c>
      <c r="O5" s="86">
        <v>764</v>
      </c>
      <c r="P5" s="66"/>
      <c r="Q5" s="66"/>
      <c r="R5" s="67"/>
      <c r="S5" s="67"/>
      <c r="T5" s="66"/>
      <c r="U5" s="67"/>
      <c r="V5" s="86"/>
      <c r="W5" s="92">
        <v>0.77</v>
      </c>
      <c r="X5" s="87"/>
      <c r="Y5" s="87"/>
      <c r="Z5" s="92">
        <v>0.45</v>
      </c>
      <c r="AA5" s="87">
        <v>0.43</v>
      </c>
      <c r="AB5" s="55">
        <v>11</v>
      </c>
      <c r="AC5" s="55"/>
      <c r="AD5" s="55">
        <f>0.02*AD3</f>
        <v>143.80000000000001</v>
      </c>
      <c r="AE5" s="56"/>
      <c r="AF5" s="55"/>
      <c r="AG5" s="56"/>
      <c r="AH5" s="10"/>
      <c r="AI5" s="10"/>
      <c r="AJ5" s="10"/>
      <c r="AK5" s="10"/>
      <c r="AL5" s="10"/>
      <c r="AM5" s="10"/>
      <c r="AN5" s="10"/>
      <c r="AP5" s="10"/>
      <c r="AU5" s="10"/>
    </row>
    <row r="6" spans="1:47" s="3" customFormat="1" x14ac:dyDescent="0.3">
      <c r="A6" s="2" t="s">
        <v>3</v>
      </c>
      <c r="B6" s="68"/>
      <c r="C6" s="68"/>
      <c r="D6" s="69"/>
      <c r="E6" s="69"/>
      <c r="F6" s="68"/>
      <c r="G6" s="69"/>
      <c r="H6" s="68"/>
      <c r="I6" s="68"/>
      <c r="J6" s="69"/>
      <c r="K6" s="69"/>
      <c r="L6" s="68"/>
      <c r="M6" s="69"/>
      <c r="N6" s="88">
        <v>237</v>
      </c>
      <c r="O6" s="88">
        <v>6189</v>
      </c>
      <c r="P6" s="68"/>
      <c r="Q6" s="68"/>
      <c r="R6" s="69"/>
      <c r="S6" s="69"/>
      <c r="T6" s="68"/>
      <c r="U6" s="69"/>
      <c r="V6" s="88"/>
      <c r="W6" s="91">
        <v>0.83</v>
      </c>
      <c r="X6" s="89"/>
      <c r="Y6" s="89"/>
      <c r="Z6" s="91">
        <v>0.53</v>
      </c>
      <c r="AA6" s="89">
        <v>0.56000000000000005</v>
      </c>
      <c r="AB6" s="57">
        <v>27</v>
      </c>
      <c r="AC6" s="57"/>
      <c r="AD6" s="57">
        <f>0.15*AD3</f>
        <v>1078.5</v>
      </c>
      <c r="AE6" s="58"/>
      <c r="AF6" s="57"/>
      <c r="AG6" s="58"/>
      <c r="AH6" s="23"/>
      <c r="AI6" s="23"/>
      <c r="AJ6" s="23"/>
      <c r="AK6" s="23"/>
      <c r="AL6" s="23"/>
      <c r="AM6" s="23"/>
      <c r="AN6" s="23"/>
    </row>
    <row r="7" spans="1:47" s="7" customFormat="1" x14ac:dyDescent="0.3">
      <c r="A7" s="6" t="s">
        <v>4</v>
      </c>
      <c r="B7" s="64"/>
      <c r="C7" s="70"/>
      <c r="D7" s="65"/>
      <c r="E7" s="65"/>
      <c r="F7" s="70"/>
      <c r="G7" s="65"/>
      <c r="H7" s="64"/>
      <c r="I7" s="70"/>
      <c r="J7" s="65"/>
      <c r="K7" s="65"/>
      <c r="L7" s="70"/>
      <c r="M7" s="65"/>
      <c r="N7" s="84">
        <v>562</v>
      </c>
      <c r="O7" s="84">
        <v>12466</v>
      </c>
      <c r="P7" s="64"/>
      <c r="Q7" s="70"/>
      <c r="R7" s="65"/>
      <c r="S7" s="65"/>
      <c r="T7" s="70"/>
      <c r="U7" s="65"/>
      <c r="V7" s="84"/>
      <c r="W7" s="90"/>
      <c r="X7" s="85"/>
      <c r="Y7" s="85"/>
      <c r="Z7" s="90"/>
      <c r="AA7" s="85"/>
      <c r="AB7" s="53">
        <f>0.76*AB3</f>
        <v>251.56</v>
      </c>
      <c r="AC7" s="59">
        <v>0.66</v>
      </c>
      <c r="AD7" s="53">
        <f>0.69*AD3</f>
        <v>4961.0999999999995</v>
      </c>
      <c r="AE7" s="54"/>
      <c r="AF7" s="59">
        <v>0.44</v>
      </c>
      <c r="AG7" s="54">
        <v>0.34</v>
      </c>
      <c r="AH7" s="18"/>
      <c r="AI7" s="18"/>
      <c r="AJ7" s="18"/>
      <c r="AK7" s="18"/>
      <c r="AL7" s="18"/>
      <c r="AM7" s="18"/>
      <c r="AN7" s="18"/>
    </row>
    <row r="8" spans="1:47" s="3" customFormat="1" x14ac:dyDescent="0.3">
      <c r="A8" s="2" t="s">
        <v>5</v>
      </c>
      <c r="B8" s="68"/>
      <c r="C8" s="71"/>
      <c r="D8" s="69"/>
      <c r="E8" s="67"/>
      <c r="F8" s="71"/>
      <c r="G8" s="69"/>
      <c r="H8" s="68"/>
      <c r="I8" s="71"/>
      <c r="J8" s="69"/>
      <c r="K8" s="67"/>
      <c r="L8" s="71"/>
      <c r="M8" s="69"/>
      <c r="N8" s="88">
        <v>142</v>
      </c>
      <c r="O8" s="88">
        <v>4378</v>
      </c>
      <c r="P8" s="68"/>
      <c r="Q8" s="71"/>
      <c r="R8" s="69"/>
      <c r="S8" s="67"/>
      <c r="T8" s="71"/>
      <c r="U8" s="69"/>
      <c r="V8" s="88"/>
      <c r="W8" s="91"/>
      <c r="X8" s="89"/>
      <c r="Y8" s="87"/>
      <c r="Z8" s="91"/>
      <c r="AA8" s="89"/>
      <c r="AB8" s="57">
        <f>0.24*AB3</f>
        <v>79.44</v>
      </c>
      <c r="AC8" s="60">
        <v>0.79</v>
      </c>
      <c r="AD8" s="57">
        <f>0.31*AD3</f>
        <v>2228.9</v>
      </c>
      <c r="AE8" s="56"/>
      <c r="AF8" s="60">
        <v>0.47</v>
      </c>
      <c r="AG8" s="58">
        <v>0.34</v>
      </c>
      <c r="AH8" s="23"/>
      <c r="AI8" s="23"/>
      <c r="AJ8" s="10"/>
      <c r="AK8" s="23"/>
      <c r="AL8" s="23"/>
      <c r="AM8" s="23"/>
      <c r="AN8" s="23"/>
      <c r="AO8" s="9"/>
    </row>
    <row r="9" spans="1:47" s="7" customFormat="1" x14ac:dyDescent="0.3">
      <c r="A9" s="6" t="s">
        <v>6</v>
      </c>
      <c r="B9" s="64"/>
      <c r="C9" s="64"/>
      <c r="D9" s="64"/>
      <c r="E9" s="70"/>
      <c r="F9" s="70">
        <f>AVERAGE(0.55,0.61)</f>
        <v>0.58000000000000007</v>
      </c>
      <c r="G9" s="70">
        <f>AVERAGE(0.39,0.51)</f>
        <v>0.45</v>
      </c>
      <c r="H9" s="64"/>
      <c r="I9" s="64"/>
      <c r="J9" s="64"/>
      <c r="K9" s="70"/>
      <c r="L9" s="64"/>
      <c r="M9" s="70"/>
      <c r="N9" s="84">
        <v>179</v>
      </c>
      <c r="O9" s="84">
        <v>741</v>
      </c>
      <c r="P9" s="64"/>
      <c r="Q9" s="64"/>
      <c r="R9" s="64"/>
      <c r="S9" s="70"/>
      <c r="T9" s="64"/>
      <c r="U9" s="70"/>
      <c r="V9" s="84"/>
      <c r="W9" s="84"/>
      <c r="X9" s="84"/>
      <c r="Y9" s="90"/>
      <c r="Z9" s="84"/>
      <c r="AA9" s="90"/>
      <c r="AB9" s="53">
        <f>(0.05+0.25)*AB3</f>
        <v>99.3</v>
      </c>
      <c r="AC9" s="53"/>
      <c r="AD9" s="53">
        <f>0.08*AD3</f>
        <v>575.20000000000005</v>
      </c>
      <c r="AE9" s="59"/>
      <c r="AF9" s="53"/>
      <c r="AG9" s="59"/>
      <c r="AH9" s="19"/>
      <c r="AI9" s="18"/>
      <c r="AJ9" s="19"/>
      <c r="AK9" s="20"/>
      <c r="AL9" s="19"/>
      <c r="AM9" s="19"/>
      <c r="AN9" s="18"/>
      <c r="AO9" s="15"/>
      <c r="AP9" s="13"/>
    </row>
    <row r="10" spans="1:47" s="9" customFormat="1" x14ac:dyDescent="0.3">
      <c r="A10" s="8" t="s">
        <v>7</v>
      </c>
      <c r="B10" s="66"/>
      <c r="C10" s="66"/>
      <c r="D10" s="66"/>
      <c r="E10" s="67"/>
      <c r="F10" s="72">
        <v>0.52</v>
      </c>
      <c r="G10" s="72">
        <v>0.52</v>
      </c>
      <c r="H10" s="66"/>
      <c r="I10" s="66"/>
      <c r="J10" s="66"/>
      <c r="K10" s="67"/>
      <c r="L10" s="66"/>
      <c r="M10" s="67"/>
      <c r="N10" s="86">
        <v>247</v>
      </c>
      <c r="O10" s="86">
        <v>2860</v>
      </c>
      <c r="P10" s="66"/>
      <c r="Q10" s="66"/>
      <c r="R10" s="66"/>
      <c r="S10" s="67"/>
      <c r="T10" s="66"/>
      <c r="U10" s="67"/>
      <c r="V10" s="86"/>
      <c r="W10" s="86"/>
      <c r="X10" s="86"/>
      <c r="Y10" s="87"/>
      <c r="Z10" s="86"/>
      <c r="AA10" s="87"/>
      <c r="AB10" s="55">
        <f>0.28*AB3</f>
        <v>92.68</v>
      </c>
      <c r="AC10" s="55"/>
      <c r="AD10" s="55">
        <f>0.21*AD3</f>
        <v>1509.8999999999999</v>
      </c>
      <c r="AE10" s="56"/>
      <c r="AF10" s="55"/>
      <c r="AG10" s="56"/>
      <c r="AH10" s="10"/>
      <c r="AI10" s="10"/>
      <c r="AJ10" s="10"/>
      <c r="AK10" s="10"/>
      <c r="AL10" s="21"/>
      <c r="AM10" s="10"/>
      <c r="AN10" s="22"/>
      <c r="AO10" s="10"/>
    </row>
    <row r="11" spans="1:47" s="9" customFormat="1" x14ac:dyDescent="0.3">
      <c r="A11" s="8" t="s">
        <v>8</v>
      </c>
      <c r="B11" s="66"/>
      <c r="C11" s="66"/>
      <c r="D11" s="66"/>
      <c r="E11" s="67"/>
      <c r="F11" s="72">
        <v>0.55000000000000004</v>
      </c>
      <c r="G11" s="72">
        <v>0.55000000000000004</v>
      </c>
      <c r="H11" s="66"/>
      <c r="I11" s="66"/>
      <c r="J11" s="66"/>
      <c r="K11" s="67"/>
      <c r="L11" s="66"/>
      <c r="M11" s="72"/>
      <c r="N11" s="86">
        <v>121</v>
      </c>
      <c r="O11" s="86">
        <v>3816</v>
      </c>
      <c r="P11" s="66"/>
      <c r="Q11" s="66"/>
      <c r="R11" s="66"/>
      <c r="S11" s="67"/>
      <c r="T11" s="66"/>
      <c r="U11" s="72"/>
      <c r="V11" s="86"/>
      <c r="W11" s="86"/>
      <c r="X11" s="86"/>
      <c r="Y11" s="87"/>
      <c r="Z11" s="86"/>
      <c r="AA11" s="92"/>
      <c r="AB11" s="55">
        <f>0.16*AB3</f>
        <v>52.96</v>
      </c>
      <c r="AC11" s="55"/>
      <c r="AD11" s="55">
        <f>0.26*AD3</f>
        <v>1869.4</v>
      </c>
      <c r="AE11" s="56"/>
      <c r="AF11" s="55"/>
      <c r="AG11" s="61"/>
      <c r="AH11" s="21"/>
      <c r="AI11" s="10"/>
      <c r="AJ11" s="10"/>
      <c r="AK11" s="10"/>
      <c r="AL11" s="21"/>
      <c r="AM11" s="21"/>
      <c r="AN11" s="22"/>
    </row>
    <row r="12" spans="1:47" s="9" customFormat="1" x14ac:dyDescent="0.3">
      <c r="A12" s="8" t="s">
        <v>9</v>
      </c>
      <c r="B12" s="66"/>
      <c r="C12" s="66"/>
      <c r="D12" s="66"/>
      <c r="E12" s="67"/>
      <c r="F12" s="72">
        <v>0.57999999999999996</v>
      </c>
      <c r="G12" s="72">
        <v>0.6</v>
      </c>
      <c r="H12" s="66"/>
      <c r="I12" s="66"/>
      <c r="J12" s="66"/>
      <c r="K12" s="67"/>
      <c r="L12" s="66"/>
      <c r="M12" s="67"/>
      <c r="N12" s="86">
        <v>108</v>
      </c>
      <c r="O12" s="86">
        <v>5479</v>
      </c>
      <c r="P12" s="66"/>
      <c r="Q12" s="66"/>
      <c r="R12" s="66"/>
      <c r="S12" s="67"/>
      <c r="T12" s="66"/>
      <c r="U12" s="67"/>
      <c r="V12" s="86"/>
      <c r="W12" s="86"/>
      <c r="X12" s="86"/>
      <c r="Y12" s="87"/>
      <c r="Z12" s="86"/>
      <c r="AA12" s="87"/>
      <c r="AB12" s="55">
        <f>0.16*AB3</f>
        <v>52.96</v>
      </c>
      <c r="AC12" s="55"/>
      <c r="AD12" s="55">
        <f>(0.45/2)*AD3</f>
        <v>1617.75</v>
      </c>
      <c r="AE12" s="56"/>
      <c r="AF12" s="55"/>
      <c r="AG12" s="56"/>
      <c r="AH12" s="10"/>
      <c r="AI12" s="22"/>
      <c r="AJ12" s="10"/>
      <c r="AK12" s="22"/>
      <c r="AL12" s="21"/>
      <c r="AM12" s="10"/>
      <c r="AN12" s="22"/>
      <c r="AP12" s="14"/>
    </row>
    <row r="13" spans="1:47" s="3" customFormat="1" x14ac:dyDescent="0.3">
      <c r="A13" s="2" t="s">
        <v>10</v>
      </c>
      <c r="B13" s="68"/>
      <c r="C13" s="66"/>
      <c r="D13" s="68"/>
      <c r="E13" s="69"/>
      <c r="F13" s="72">
        <f>AVERAGE(0.64,0.57)</f>
        <v>0.60499999999999998</v>
      </c>
      <c r="G13" s="71">
        <f>AVERAGE(0.63,0.61)</f>
        <v>0.62</v>
      </c>
      <c r="H13" s="68"/>
      <c r="I13" s="66"/>
      <c r="J13" s="68"/>
      <c r="K13" s="69"/>
      <c r="L13" s="66"/>
      <c r="M13" s="71"/>
      <c r="N13" s="88">
        <f>41+7</f>
        <v>48</v>
      </c>
      <c r="O13" s="88">
        <f>3056+857</f>
        <v>3913</v>
      </c>
      <c r="P13" s="68"/>
      <c r="Q13" s="66"/>
      <c r="R13" s="68"/>
      <c r="S13" s="69"/>
      <c r="T13" s="66"/>
      <c r="U13" s="71"/>
      <c r="V13" s="88"/>
      <c r="W13" s="86"/>
      <c r="X13" s="88"/>
      <c r="Y13" s="89"/>
      <c r="Z13" s="86"/>
      <c r="AA13" s="91"/>
      <c r="AB13" s="57">
        <f>0.09*AB3</f>
        <v>29.79</v>
      </c>
      <c r="AC13" s="55"/>
      <c r="AD13" s="57">
        <f>(0.45/2)*AD3</f>
        <v>1617.75</v>
      </c>
      <c r="AE13" s="58"/>
      <c r="AF13" s="55"/>
      <c r="AG13" s="60"/>
      <c r="AH13" s="24"/>
      <c r="AI13" s="22"/>
      <c r="AJ13" s="23"/>
      <c r="AK13" s="22"/>
      <c r="AL13" s="24"/>
      <c r="AM13" s="24"/>
      <c r="AN13" s="22"/>
    </row>
    <row r="14" spans="1:47" s="7" customFormat="1" x14ac:dyDescent="0.3">
      <c r="A14" s="6" t="s">
        <v>11</v>
      </c>
      <c r="B14" s="64"/>
      <c r="C14" s="65"/>
      <c r="D14" s="65"/>
      <c r="E14" s="65"/>
      <c r="F14" s="65"/>
      <c r="G14" s="65"/>
      <c r="H14" s="64"/>
      <c r="I14" s="65"/>
      <c r="J14" s="65"/>
      <c r="K14" s="65"/>
      <c r="L14" s="65"/>
      <c r="M14" s="65"/>
      <c r="N14" s="84">
        <v>380</v>
      </c>
      <c r="O14" s="84">
        <v>8217</v>
      </c>
      <c r="P14" s="64"/>
      <c r="Q14" s="65"/>
      <c r="R14" s="65"/>
      <c r="S14" s="65"/>
      <c r="T14" s="65"/>
      <c r="U14" s="65"/>
      <c r="V14" s="84"/>
      <c r="W14" s="85">
        <v>0.77</v>
      </c>
      <c r="X14" s="85"/>
      <c r="Y14" s="85"/>
      <c r="Z14" s="85">
        <v>0.54</v>
      </c>
      <c r="AA14" s="85">
        <v>0.56000000000000005</v>
      </c>
      <c r="AB14" s="53">
        <f>0.34*AB3</f>
        <v>112.54</v>
      </c>
      <c r="AC14" s="54">
        <v>0.75</v>
      </c>
      <c r="AD14" s="54"/>
      <c r="AE14" s="54"/>
      <c r="AF14" s="54">
        <v>0.45</v>
      </c>
      <c r="AG14" s="54">
        <v>0.35</v>
      </c>
      <c r="AH14" s="18"/>
      <c r="AI14" s="18"/>
      <c r="AJ14" s="18"/>
      <c r="AK14" s="18"/>
      <c r="AL14" s="18"/>
      <c r="AM14" s="18"/>
      <c r="AN14" s="18"/>
    </row>
    <row r="15" spans="1:47" s="9" customFormat="1" x14ac:dyDescent="0.3">
      <c r="A15" s="8" t="s">
        <v>12</v>
      </c>
      <c r="B15" s="66"/>
      <c r="C15" s="66"/>
      <c r="D15" s="67"/>
      <c r="E15" s="67"/>
      <c r="F15" s="66"/>
      <c r="G15" s="67"/>
      <c r="H15" s="66"/>
      <c r="I15" s="66"/>
      <c r="J15" s="67"/>
      <c r="K15" s="67"/>
      <c r="L15" s="66"/>
      <c r="M15" s="67"/>
      <c r="N15" s="86">
        <v>36</v>
      </c>
      <c r="O15" s="86">
        <v>1144</v>
      </c>
      <c r="P15" s="66"/>
      <c r="Q15" s="66"/>
      <c r="R15" s="67"/>
      <c r="S15" s="67"/>
      <c r="T15" s="66"/>
      <c r="U15" s="67"/>
      <c r="V15" s="86"/>
      <c r="W15" s="92">
        <v>0.84</v>
      </c>
      <c r="X15" s="87"/>
      <c r="Y15" s="87"/>
      <c r="Z15" s="92">
        <v>0.48</v>
      </c>
      <c r="AA15" s="87">
        <v>0.45</v>
      </c>
      <c r="AB15" s="55"/>
      <c r="AC15" s="55"/>
      <c r="AD15" s="56"/>
      <c r="AE15" s="56"/>
      <c r="AF15" s="55"/>
      <c r="AG15" s="56"/>
      <c r="AH15" s="10"/>
      <c r="AI15" s="10"/>
      <c r="AJ15" s="10"/>
      <c r="AK15" s="10"/>
      <c r="AL15" s="10"/>
      <c r="AM15" s="10"/>
      <c r="AN15" s="10"/>
      <c r="AP15" s="10"/>
    </row>
    <row r="16" spans="1:47" s="9" customFormat="1" x14ac:dyDescent="0.3">
      <c r="A16" s="8" t="s">
        <v>13</v>
      </c>
      <c r="B16" s="66"/>
      <c r="C16" s="66"/>
      <c r="D16" s="67"/>
      <c r="E16" s="67"/>
      <c r="F16" s="66"/>
      <c r="G16" s="67"/>
      <c r="H16" s="66"/>
      <c r="I16" s="66"/>
      <c r="J16" s="67"/>
      <c r="K16" s="67"/>
      <c r="L16" s="66"/>
      <c r="M16" s="67"/>
      <c r="N16" s="86">
        <v>15</v>
      </c>
      <c r="O16" s="86">
        <v>494</v>
      </c>
      <c r="P16" s="66"/>
      <c r="Q16" s="66"/>
      <c r="R16" s="67"/>
      <c r="S16" s="67"/>
      <c r="T16" s="66"/>
      <c r="U16" s="67"/>
      <c r="V16" s="86"/>
      <c r="W16" s="92">
        <v>0.82</v>
      </c>
      <c r="X16" s="87"/>
      <c r="Y16" s="87"/>
      <c r="Z16" s="92">
        <v>0.5</v>
      </c>
      <c r="AA16" s="87">
        <v>0.47</v>
      </c>
      <c r="AB16" s="55"/>
      <c r="AC16" s="55"/>
      <c r="AD16" s="56"/>
      <c r="AE16" s="56"/>
      <c r="AF16" s="55"/>
      <c r="AG16" s="56"/>
      <c r="AH16" s="10"/>
      <c r="AI16" s="10"/>
      <c r="AJ16" s="10"/>
      <c r="AK16" s="10"/>
      <c r="AL16" s="10"/>
      <c r="AM16" s="10"/>
      <c r="AN16" s="10"/>
      <c r="AP16" s="10"/>
    </row>
    <row r="17" spans="1:49" s="3" customFormat="1" x14ac:dyDescent="0.3">
      <c r="A17" s="2" t="s">
        <v>14</v>
      </c>
      <c r="B17" s="68"/>
      <c r="C17" s="69"/>
      <c r="D17" s="69"/>
      <c r="E17" s="69"/>
      <c r="F17" s="69"/>
      <c r="G17" s="69"/>
      <c r="H17" s="68"/>
      <c r="I17" s="69"/>
      <c r="J17" s="69"/>
      <c r="K17" s="69"/>
      <c r="L17" s="69"/>
      <c r="M17" s="69"/>
      <c r="N17" s="88">
        <v>146</v>
      </c>
      <c r="O17" s="88">
        <v>4370</v>
      </c>
      <c r="P17" s="68"/>
      <c r="Q17" s="69"/>
      <c r="R17" s="69"/>
      <c r="S17" s="69"/>
      <c r="T17" s="69"/>
      <c r="U17" s="69"/>
      <c r="V17" s="88"/>
      <c r="W17" s="89">
        <v>0.78</v>
      </c>
      <c r="X17" s="89"/>
      <c r="Y17" s="89"/>
      <c r="Z17" s="89">
        <v>0.54</v>
      </c>
      <c r="AA17" s="89">
        <v>0.52</v>
      </c>
      <c r="AB17" s="57">
        <f>0.27*AB3</f>
        <v>89.37</v>
      </c>
      <c r="AC17" s="58">
        <v>0.79</v>
      </c>
      <c r="AD17" s="58"/>
      <c r="AE17" s="58"/>
      <c r="AF17" s="58">
        <v>0.48</v>
      </c>
      <c r="AG17" s="58">
        <v>0.35</v>
      </c>
      <c r="AH17" s="23"/>
      <c r="AI17" s="23"/>
      <c r="AJ17" s="23"/>
      <c r="AK17" s="23"/>
      <c r="AL17" s="23"/>
      <c r="AM17" s="23"/>
      <c r="AN17" s="23"/>
    </row>
    <row r="18" spans="1:49" x14ac:dyDescent="0.3">
      <c r="A18" s="1" t="s">
        <v>20</v>
      </c>
      <c r="B18" s="73"/>
      <c r="C18" s="73">
        <v>3</v>
      </c>
      <c r="D18" s="73"/>
      <c r="E18" s="73"/>
      <c r="F18" s="73"/>
      <c r="G18" s="73"/>
      <c r="H18" s="73"/>
      <c r="I18" s="73">
        <v>3</v>
      </c>
      <c r="J18" s="73"/>
      <c r="K18" s="73"/>
      <c r="L18" s="73"/>
      <c r="M18" s="73"/>
      <c r="N18" s="93"/>
      <c r="O18" s="93"/>
      <c r="P18" s="73"/>
      <c r="Q18" s="73">
        <v>3</v>
      </c>
      <c r="R18" s="73"/>
      <c r="S18" s="73"/>
      <c r="T18" s="73"/>
      <c r="U18" s="73"/>
      <c r="V18" s="93"/>
      <c r="W18" s="93">
        <v>3</v>
      </c>
      <c r="X18" s="93"/>
      <c r="Y18" s="93"/>
      <c r="Z18" s="93"/>
      <c r="AA18" s="93"/>
      <c r="AB18" s="51"/>
      <c r="AC18" s="51">
        <v>3</v>
      </c>
      <c r="AD18" s="51"/>
      <c r="AE18" s="51"/>
      <c r="AF18" s="51"/>
      <c r="AG18" s="51"/>
      <c r="AL18" s="27"/>
      <c r="AM18" s="29"/>
      <c r="AN18" s="28"/>
      <c r="AO18" s="27"/>
      <c r="AQ18" s="31"/>
      <c r="AR18" s="31"/>
      <c r="AS18" s="30"/>
      <c r="AT18" s="31"/>
      <c r="AU18" s="30"/>
      <c r="AV18" s="30"/>
      <c r="AW18" s="30"/>
    </row>
    <row r="19" spans="1:49" x14ac:dyDescent="0.3">
      <c r="N19" s="27"/>
      <c r="O19" s="27"/>
      <c r="P19" s="27"/>
      <c r="Q19" s="28"/>
      <c r="R19" s="27"/>
      <c r="S19" s="28"/>
      <c r="T19" s="30"/>
      <c r="U19" s="27"/>
      <c r="V19" s="27"/>
      <c r="W19" s="28"/>
      <c r="X19" s="27"/>
      <c r="Y19" s="28"/>
      <c r="Z19" s="30"/>
      <c r="AA19" s="27"/>
      <c r="AB19" s="34"/>
      <c r="AC19" s="33"/>
      <c r="AD19" s="31"/>
      <c r="AE19" s="31"/>
      <c r="AF19" s="30"/>
      <c r="AG19" s="31"/>
      <c r="AH19" s="30"/>
      <c r="AI19" s="30"/>
      <c r="AJ19" s="30"/>
      <c r="AK19" s="30"/>
    </row>
    <row r="20" spans="1:49" x14ac:dyDescent="0.3">
      <c r="B20" s="51" t="s">
        <v>70</v>
      </c>
      <c r="C20" s="51"/>
      <c r="F20" s="30"/>
      <c r="G20" s="30"/>
      <c r="I20" t="s">
        <v>23</v>
      </c>
      <c r="L20" s="30"/>
      <c r="M20" s="30"/>
      <c r="N20" s="30"/>
      <c r="O20" s="30"/>
      <c r="P20" s="30"/>
      <c r="Q20" s="30"/>
      <c r="R20" s="30"/>
      <c r="S20" s="30"/>
      <c r="T20" s="30"/>
      <c r="U20" s="27"/>
      <c r="V20" s="30"/>
      <c r="W20" s="30"/>
      <c r="X20" s="30"/>
      <c r="Y20" s="30"/>
      <c r="Z20" s="30"/>
      <c r="AA20" s="27"/>
      <c r="AB20" s="34"/>
      <c r="AC20" s="33"/>
      <c r="AD20" s="31"/>
      <c r="AE20" s="30"/>
      <c r="AF20" s="31"/>
      <c r="AG20" s="30"/>
      <c r="AH20" s="31"/>
      <c r="AI20" s="30"/>
      <c r="AJ20" s="30"/>
      <c r="AK20" s="30"/>
      <c r="AL20" s="30"/>
      <c r="AM20" s="30"/>
      <c r="AN20" s="30"/>
    </row>
    <row r="21" spans="1:49" x14ac:dyDescent="0.3">
      <c r="B21" s="74" t="s">
        <v>69</v>
      </c>
      <c r="C21" s="74"/>
      <c r="D21" s="73"/>
      <c r="E21" s="74"/>
      <c r="F21" s="32"/>
      <c r="G21" s="30"/>
      <c r="H21" s="25"/>
      <c r="I21" s="25"/>
      <c r="K21" s="25"/>
      <c r="L21" s="32"/>
      <c r="M21" s="30"/>
      <c r="N21" s="30"/>
      <c r="O21" s="30"/>
      <c r="P21" s="30"/>
      <c r="Q21" s="30"/>
      <c r="R21" s="30"/>
      <c r="S21" s="30"/>
      <c r="T21" s="30"/>
      <c r="U21" s="33"/>
      <c r="V21" s="30"/>
      <c r="W21" s="30"/>
      <c r="X21" s="30"/>
      <c r="Y21" s="30"/>
      <c r="Z21" s="30"/>
      <c r="AA21" s="33"/>
      <c r="AB21" s="34"/>
      <c r="AC21" s="27"/>
      <c r="AD21" s="31"/>
      <c r="AE21" s="30"/>
      <c r="AF21" s="31"/>
      <c r="AG21" s="30"/>
      <c r="AH21" s="31"/>
      <c r="AI21" s="30"/>
      <c r="AJ21" s="30"/>
      <c r="AK21" s="30"/>
      <c r="AM21" s="30"/>
      <c r="AN21" s="30"/>
    </row>
    <row r="22" spans="1:49" x14ac:dyDescent="0.3">
      <c r="B22" s="94" t="s">
        <v>45</v>
      </c>
      <c r="C22" s="25"/>
      <c r="E22" s="25"/>
      <c r="F22" s="32"/>
      <c r="G22" s="30"/>
      <c r="H22" s="25"/>
      <c r="I22" s="25"/>
      <c r="K22" s="25"/>
      <c r="L22" s="32"/>
      <c r="M22" s="30"/>
      <c r="N22" s="30"/>
      <c r="O22" s="30"/>
      <c r="P22" s="30"/>
      <c r="Q22" s="30"/>
      <c r="R22" s="30"/>
      <c r="S22" s="30"/>
      <c r="T22" s="30"/>
      <c r="U22" s="27"/>
      <c r="V22" s="30"/>
      <c r="W22" s="30"/>
      <c r="X22" s="30"/>
      <c r="Y22" s="30"/>
      <c r="Z22" s="30"/>
      <c r="AA22" s="27"/>
      <c r="AB22" s="34"/>
      <c r="AC22" s="33"/>
      <c r="AD22" s="31"/>
      <c r="AE22" s="30"/>
      <c r="AF22" s="31"/>
      <c r="AG22" s="30"/>
      <c r="AH22" s="31"/>
      <c r="AI22" s="30"/>
      <c r="AJ22" s="30"/>
      <c r="AK22" s="30"/>
      <c r="AL22" s="30"/>
      <c r="AM22" s="30"/>
      <c r="AN22" s="30"/>
    </row>
    <row r="23" spans="1:49" x14ac:dyDescent="0.3">
      <c r="F23" s="30"/>
      <c r="G23" s="30"/>
      <c r="L23" s="30"/>
      <c r="M23" s="30"/>
      <c r="N23" s="30"/>
      <c r="O23" s="30"/>
      <c r="P23" s="30"/>
      <c r="Q23" s="30"/>
      <c r="R23" s="30"/>
      <c r="S23" s="30"/>
      <c r="T23" s="30"/>
      <c r="U23" s="33"/>
      <c r="V23" s="30"/>
      <c r="W23" s="30"/>
      <c r="X23" s="30"/>
      <c r="Y23" s="30"/>
      <c r="Z23" s="30"/>
      <c r="AA23" s="33"/>
      <c r="AB23" s="34"/>
      <c r="AC23" s="27"/>
      <c r="AD23" s="31"/>
      <c r="AE23" s="30"/>
      <c r="AF23" s="31"/>
      <c r="AG23" s="30"/>
      <c r="AH23" s="31"/>
      <c r="AI23" s="30"/>
      <c r="AJ23" s="30"/>
      <c r="AK23" s="30"/>
      <c r="AL23" s="30"/>
      <c r="AM23" s="30"/>
      <c r="AN23" s="30"/>
    </row>
    <row r="24" spans="1:49" x14ac:dyDescent="0.3">
      <c r="F24" s="30"/>
      <c r="G24" s="30"/>
      <c r="L24" s="30"/>
      <c r="M24" s="30"/>
      <c r="N24" s="30"/>
      <c r="O24" s="30"/>
      <c r="P24" s="30"/>
      <c r="Q24" s="30"/>
      <c r="R24" s="30"/>
      <c r="S24" s="30"/>
      <c r="T24" s="30"/>
      <c r="U24" s="33"/>
      <c r="V24" s="30"/>
      <c r="W24" s="30"/>
      <c r="X24" s="30"/>
      <c r="Y24" s="30"/>
      <c r="Z24" s="30"/>
      <c r="AA24" s="33"/>
      <c r="AB24" s="34"/>
      <c r="AC24" s="27"/>
      <c r="AD24" s="31"/>
      <c r="AE24" s="30"/>
      <c r="AF24" s="31"/>
      <c r="AG24" s="30"/>
      <c r="AH24" s="31"/>
      <c r="AI24" s="30"/>
      <c r="AJ24" s="30"/>
      <c r="AK24" s="30"/>
      <c r="AL24" s="30"/>
      <c r="AM24" s="30"/>
      <c r="AN24" s="30"/>
    </row>
    <row r="25" spans="1:49" x14ac:dyDescent="0.3">
      <c r="F25" s="30"/>
      <c r="G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4"/>
      <c r="AC25" s="31"/>
      <c r="AD25" s="31"/>
      <c r="AE25" s="30"/>
      <c r="AF25" s="31"/>
      <c r="AG25" s="30"/>
      <c r="AH25" s="31"/>
      <c r="AI25" s="30"/>
      <c r="AJ25" s="30"/>
      <c r="AK25" s="30"/>
      <c r="AL25" s="30"/>
      <c r="AM25" s="30"/>
      <c r="AN25" s="30"/>
    </row>
    <row r="26" spans="1:49" x14ac:dyDescent="0.3">
      <c r="F26" s="30"/>
      <c r="G26" s="30"/>
      <c r="L26" s="30"/>
      <c r="M26" s="30"/>
      <c r="N26" s="30"/>
      <c r="O26" s="30"/>
      <c r="P26" s="30"/>
      <c r="Q26" s="30"/>
      <c r="R26" s="30"/>
      <c r="S26" s="30"/>
      <c r="T26" s="30"/>
      <c r="U26" s="27"/>
      <c r="V26" s="30"/>
      <c r="W26" s="30"/>
      <c r="X26" s="30"/>
      <c r="Y26" s="30"/>
      <c r="Z26" s="30"/>
      <c r="AA26" s="27"/>
      <c r="AB26" s="34"/>
      <c r="AC26" s="27"/>
      <c r="AD26" s="31"/>
      <c r="AE26" s="30"/>
      <c r="AF26" s="31"/>
      <c r="AG26" s="30"/>
      <c r="AH26" s="31"/>
      <c r="AI26" s="30"/>
      <c r="AJ26" s="30"/>
      <c r="AK26" s="30"/>
      <c r="AL26" s="30"/>
      <c r="AM26" s="30"/>
      <c r="AN26" s="30"/>
    </row>
    <row r="27" spans="1:49" x14ac:dyDescent="0.3">
      <c r="F27" s="30"/>
      <c r="G27" s="30"/>
      <c r="L27" s="30"/>
      <c r="M27" s="30"/>
      <c r="N27" s="30"/>
      <c r="O27" s="30"/>
      <c r="P27" s="30"/>
      <c r="Q27" s="30"/>
      <c r="R27" s="30"/>
      <c r="S27" s="30"/>
      <c r="T27" s="30"/>
      <c r="U27" s="27"/>
      <c r="V27" s="30"/>
      <c r="W27" s="30"/>
      <c r="X27" s="30"/>
      <c r="Y27" s="30"/>
      <c r="Z27" s="30"/>
      <c r="AA27" s="27"/>
      <c r="AB27" s="34"/>
      <c r="AC27" s="27"/>
      <c r="AD27" s="31"/>
      <c r="AE27" s="30"/>
      <c r="AF27" s="31"/>
      <c r="AG27" s="30"/>
      <c r="AH27" s="31"/>
      <c r="AI27" s="30"/>
      <c r="AJ27" s="30"/>
      <c r="AK27" s="30"/>
      <c r="AL27" s="30"/>
      <c r="AM27" s="30"/>
      <c r="AN27" s="30"/>
    </row>
    <row r="28" spans="1:49" x14ac:dyDescent="0.3">
      <c r="F28" s="30"/>
      <c r="G28" s="30"/>
      <c r="L28" s="30"/>
      <c r="M28" s="30"/>
      <c r="N28" s="30"/>
      <c r="O28" s="30"/>
      <c r="P28" s="30"/>
      <c r="Q28" s="30"/>
      <c r="R28" s="30"/>
      <c r="S28" s="30"/>
      <c r="T28" s="30"/>
      <c r="U28" s="27"/>
      <c r="V28" s="30"/>
      <c r="W28" s="30"/>
      <c r="X28" s="30"/>
      <c r="Y28" s="30"/>
      <c r="Z28" s="30"/>
      <c r="AA28" s="27"/>
      <c r="AB28" s="34"/>
      <c r="AC28" s="33"/>
      <c r="AD28" s="31"/>
      <c r="AE28" s="30"/>
      <c r="AF28" s="31"/>
      <c r="AG28" s="30"/>
      <c r="AH28" s="31"/>
      <c r="AI28" s="30"/>
      <c r="AJ28" s="30"/>
      <c r="AK28" s="30"/>
      <c r="AL28" s="30"/>
      <c r="AM28" s="30"/>
      <c r="AN28" s="30"/>
    </row>
    <row r="29" spans="1:49" x14ac:dyDescent="0.3">
      <c r="F29" s="30"/>
      <c r="G29" s="30"/>
      <c r="L29" s="30"/>
      <c r="M29" s="30"/>
      <c r="N29" s="30"/>
      <c r="O29" s="30"/>
      <c r="P29" s="30"/>
      <c r="Q29" s="30"/>
      <c r="R29" s="30"/>
      <c r="S29" s="30"/>
      <c r="T29" s="30"/>
      <c r="U29" s="27"/>
      <c r="V29" s="30"/>
      <c r="W29" s="30"/>
      <c r="X29" s="30"/>
      <c r="Y29" s="30"/>
      <c r="Z29" s="30"/>
      <c r="AA29" s="27"/>
      <c r="AB29" s="34"/>
      <c r="AC29" s="33"/>
      <c r="AD29" s="31"/>
      <c r="AE29" s="30"/>
      <c r="AF29" s="31"/>
      <c r="AG29" s="30"/>
      <c r="AH29" s="31"/>
      <c r="AI29" s="30"/>
      <c r="AJ29" s="30"/>
      <c r="AK29" s="30"/>
      <c r="AL29" s="30"/>
      <c r="AM29" s="30"/>
      <c r="AN29" s="30"/>
    </row>
    <row r="30" spans="1:49" x14ac:dyDescent="0.3">
      <c r="F30" s="30" t="s">
        <v>23</v>
      </c>
      <c r="G30" s="30"/>
      <c r="L30" s="30" t="s">
        <v>23</v>
      </c>
      <c r="M30" s="30"/>
      <c r="N30" s="30"/>
      <c r="O30" s="30"/>
      <c r="P30" s="30"/>
      <c r="Q30" s="30"/>
      <c r="R30" s="30"/>
      <c r="S30" s="30"/>
      <c r="T30" s="30"/>
      <c r="U30" s="27"/>
      <c r="V30" s="30"/>
      <c r="W30" s="30"/>
      <c r="X30" s="30"/>
      <c r="Y30" s="30"/>
      <c r="Z30" s="30"/>
      <c r="AA30" s="27"/>
      <c r="AB30" s="34"/>
      <c r="AC30" s="27"/>
      <c r="AD30" s="31"/>
      <c r="AE30" s="30"/>
      <c r="AF30" s="31"/>
      <c r="AG30" s="30"/>
      <c r="AH30" s="31"/>
      <c r="AI30" s="30"/>
      <c r="AJ30" s="30"/>
      <c r="AK30" s="30"/>
      <c r="AL30" s="30"/>
      <c r="AM30" s="30"/>
      <c r="AN30" s="30"/>
    </row>
    <row r="31" spans="1:49" x14ac:dyDescent="0.3">
      <c r="F31" s="30"/>
      <c r="G31" s="30"/>
      <c r="L31" s="30"/>
      <c r="M31" s="30"/>
      <c r="N31" s="30"/>
      <c r="O31" s="30"/>
      <c r="P31" s="30"/>
      <c r="Q31" s="30"/>
      <c r="R31" s="30"/>
      <c r="S31" s="30"/>
      <c r="T31" s="30"/>
      <c r="U31" s="27"/>
      <c r="V31" s="30"/>
      <c r="W31" s="30"/>
      <c r="X31" s="30"/>
      <c r="Y31" s="30"/>
      <c r="Z31" s="30"/>
      <c r="AA31" s="27"/>
      <c r="AB31" s="34"/>
      <c r="AC31" s="27"/>
      <c r="AD31" s="31"/>
      <c r="AE31" s="30"/>
      <c r="AF31" s="31"/>
      <c r="AG31" s="30"/>
      <c r="AH31" s="30"/>
      <c r="AI31" s="30"/>
      <c r="AJ31" s="30"/>
      <c r="AK31" s="30"/>
      <c r="AL31" s="30"/>
      <c r="AM31" s="30"/>
      <c r="AN31" s="30"/>
    </row>
    <row r="32" spans="1:49" x14ac:dyDescent="0.3">
      <c r="F32" s="30"/>
      <c r="G32" s="30"/>
      <c r="L32" s="30"/>
      <c r="M32" s="30"/>
      <c r="N32" s="30"/>
      <c r="O32" s="30"/>
      <c r="P32" s="30"/>
      <c r="Q32" s="30"/>
      <c r="R32" s="30"/>
      <c r="S32" s="30"/>
      <c r="T32" s="30"/>
      <c r="U32" s="27"/>
      <c r="V32" s="30"/>
      <c r="W32" s="30"/>
      <c r="X32" s="30"/>
      <c r="Y32" s="30"/>
      <c r="Z32" s="30"/>
      <c r="AA32" s="27"/>
      <c r="AB32" s="34"/>
      <c r="AC32" s="27"/>
      <c r="AD32" s="31"/>
      <c r="AE32" s="30"/>
      <c r="AF32" s="31"/>
      <c r="AG32" s="30"/>
      <c r="AH32" s="30"/>
      <c r="AI32" s="30"/>
      <c r="AJ32" s="30"/>
      <c r="AK32" s="30"/>
      <c r="AL32" s="30"/>
      <c r="AM32" s="30"/>
      <c r="AN32" s="30"/>
    </row>
    <row r="33" spans="6:40" x14ac:dyDescent="0.3">
      <c r="F33" s="30"/>
      <c r="G33" s="30"/>
      <c r="L33" s="30"/>
      <c r="M33" s="30"/>
      <c r="N33" s="30"/>
      <c r="O33" s="30"/>
      <c r="P33" s="30"/>
      <c r="Q33" s="30"/>
      <c r="R33" s="30"/>
      <c r="S33" s="30"/>
      <c r="T33" s="30"/>
      <c r="U33" s="27"/>
      <c r="V33" s="30"/>
      <c r="W33" s="30"/>
      <c r="X33" s="30"/>
      <c r="Y33" s="30"/>
      <c r="Z33" s="30"/>
      <c r="AA33" s="27"/>
      <c r="AB33" s="34"/>
      <c r="AC33" s="27"/>
      <c r="AD33" s="30"/>
      <c r="AE33" s="30"/>
      <c r="AF33" s="30"/>
      <c r="AG33" s="30"/>
      <c r="AH33" s="30"/>
      <c r="AI33" s="30"/>
      <c r="AJ33" s="30"/>
      <c r="AK33" s="30"/>
      <c r="AN33" s="30"/>
    </row>
    <row r="34" spans="6:40" x14ac:dyDescent="0.3">
      <c r="F34" s="30"/>
      <c r="G34" s="30"/>
      <c r="L34" s="30"/>
      <c r="M34" s="30"/>
      <c r="N34" s="30"/>
      <c r="O34" s="30"/>
      <c r="P34" s="30"/>
      <c r="Q34" s="30"/>
      <c r="R34" s="30"/>
      <c r="S34" s="30"/>
      <c r="V34" s="30"/>
      <c r="W34" s="30"/>
      <c r="X34" s="30"/>
      <c r="Y34" s="30"/>
      <c r="AL34" s="30"/>
      <c r="AM34" s="30"/>
      <c r="AN34" s="30"/>
    </row>
    <row r="35" spans="6:40" x14ac:dyDescent="0.3">
      <c r="F35" s="30"/>
      <c r="G35" s="30"/>
      <c r="L35" s="30"/>
      <c r="M35" s="30"/>
      <c r="N35" s="30"/>
      <c r="O35" s="30"/>
      <c r="P35" s="30"/>
      <c r="Q35" s="30"/>
      <c r="R35" s="30"/>
      <c r="S35" s="30"/>
      <c r="V35" s="30"/>
      <c r="W35" s="30"/>
      <c r="X35" s="30"/>
      <c r="Y35" s="30"/>
      <c r="AL35" s="30"/>
      <c r="AM35" s="30"/>
      <c r="AN35" s="30"/>
    </row>
    <row r="36" spans="6:40" x14ac:dyDescent="0.3">
      <c r="F36" s="30"/>
      <c r="G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4"/>
      <c r="AC36" s="30"/>
      <c r="AD36" s="30"/>
      <c r="AE36" s="30"/>
      <c r="AF36" s="30"/>
      <c r="AG36" s="30"/>
      <c r="AH36" s="30"/>
      <c r="AI36" s="30"/>
      <c r="AJ36" s="30"/>
      <c r="AK36" s="30"/>
      <c r="AL36" s="30"/>
      <c r="AM36" s="30"/>
      <c r="AN36" s="30"/>
    </row>
    <row r="37" spans="6:40" x14ac:dyDescent="0.3">
      <c r="F37" s="30"/>
      <c r="G37" s="30"/>
      <c r="L37" s="30"/>
      <c r="M37" s="30"/>
      <c r="N37" s="30"/>
      <c r="O37" s="30"/>
      <c r="P37" s="30"/>
      <c r="Q37" s="30"/>
      <c r="R37" s="30"/>
      <c r="S37" s="30"/>
      <c r="V37" s="30"/>
      <c r="W37" s="30"/>
      <c r="X37" s="30"/>
      <c r="Y37" s="30"/>
      <c r="AD37" s="31"/>
      <c r="AE37" s="30"/>
      <c r="AF37" s="31"/>
      <c r="AG37" s="30"/>
      <c r="AH37" s="31"/>
      <c r="AI37" s="30"/>
      <c r="AJ37" s="30"/>
      <c r="AK37" s="30"/>
      <c r="AL37" s="30"/>
      <c r="AM37" s="30"/>
      <c r="AN37" s="30"/>
    </row>
    <row r="38" spans="6:40" x14ac:dyDescent="0.3">
      <c r="F38" s="30"/>
      <c r="G38" s="30"/>
      <c r="L38" s="30"/>
      <c r="M38" s="30"/>
      <c r="N38" s="30"/>
      <c r="O38" s="30"/>
      <c r="P38" s="30"/>
      <c r="Q38" s="30"/>
      <c r="R38" s="30"/>
      <c r="S38" s="30"/>
      <c r="V38" s="30"/>
      <c r="W38" s="30"/>
      <c r="X38" s="30"/>
      <c r="Y38" s="30"/>
      <c r="AD38" s="30"/>
      <c r="AE38" s="30"/>
      <c r="AF38" s="30"/>
      <c r="AG38" s="30"/>
      <c r="AH38" s="30"/>
      <c r="AI38" s="30"/>
      <c r="AJ38" s="30"/>
      <c r="AK38" s="30"/>
      <c r="AL38" s="30"/>
      <c r="AM38" s="30"/>
      <c r="AN38" s="30"/>
    </row>
    <row r="39" spans="6:40" x14ac:dyDescent="0.3">
      <c r="F39" s="30"/>
      <c r="G39" s="30"/>
      <c r="L39" s="30"/>
      <c r="M39" s="30"/>
      <c r="N39" s="30"/>
      <c r="O39" s="30"/>
      <c r="P39" s="30"/>
      <c r="Q39" s="30"/>
      <c r="R39" s="30"/>
      <c r="S39" s="30"/>
      <c r="V39" s="30"/>
      <c r="W39" s="30"/>
      <c r="X39" s="30"/>
      <c r="Y39" s="30"/>
      <c r="AD39" s="30"/>
      <c r="AE39" s="30"/>
      <c r="AF39" s="30"/>
      <c r="AG39" s="30"/>
      <c r="AH39" s="30"/>
      <c r="AI39" s="30"/>
      <c r="AJ39" s="30"/>
      <c r="AK39" s="30"/>
      <c r="AL39" s="30"/>
      <c r="AM39" s="30"/>
      <c r="AN39" s="30"/>
    </row>
    <row r="40" spans="6:40" x14ac:dyDescent="0.3">
      <c r="F40" s="30"/>
      <c r="G40" s="30"/>
      <c r="L40" s="30"/>
      <c r="M40" s="30"/>
      <c r="N40" s="30"/>
      <c r="O40" s="30"/>
      <c r="P40" s="30"/>
      <c r="Q40" s="30"/>
      <c r="R40" s="30"/>
      <c r="S40" s="30"/>
      <c r="V40" s="30"/>
      <c r="W40" s="30"/>
      <c r="X40" s="30"/>
      <c r="Y40" s="30"/>
      <c r="AD40" s="30"/>
      <c r="AE40" s="30"/>
      <c r="AF40" s="30"/>
      <c r="AG40" s="30"/>
      <c r="AH40" s="30"/>
      <c r="AI40" s="30"/>
      <c r="AJ40" s="30"/>
      <c r="AK40" s="30"/>
      <c r="AL40" s="30"/>
    </row>
    <row r="41" spans="6:40" x14ac:dyDescent="0.3">
      <c r="F41" s="30"/>
      <c r="G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L41" s="30"/>
    </row>
    <row r="42" spans="6:40" x14ac:dyDescent="0.3">
      <c r="F42" s="30"/>
      <c r="G42" s="30"/>
      <c r="L42" s="30"/>
      <c r="M42" s="30"/>
      <c r="N42" s="30"/>
      <c r="O42" s="30"/>
      <c r="P42" s="30"/>
      <c r="Q42" s="30"/>
      <c r="R42" s="30"/>
      <c r="S42" s="30"/>
      <c r="V42" s="30"/>
      <c r="W42" s="30"/>
      <c r="X42" s="30"/>
      <c r="Y42" s="30"/>
      <c r="AD42" s="30"/>
      <c r="AE42" s="30"/>
      <c r="AF42" s="30"/>
      <c r="AG42" s="30"/>
      <c r="AH42" s="30"/>
      <c r="AL42" s="30"/>
    </row>
    <row r="43" spans="6:40" x14ac:dyDescent="0.3">
      <c r="F43" s="30"/>
      <c r="G43" s="30"/>
      <c r="L43" s="30"/>
      <c r="M43" s="30"/>
      <c r="N43" s="30"/>
      <c r="O43" s="30"/>
      <c r="P43" s="30"/>
      <c r="Q43" s="30"/>
      <c r="R43" s="30"/>
      <c r="S43" s="30"/>
      <c r="V43" s="30"/>
      <c r="W43" s="30"/>
      <c r="X43" s="30"/>
      <c r="Y43" s="30"/>
      <c r="AL43" s="30"/>
    </row>
    <row r="44" spans="6:40" x14ac:dyDescent="0.3">
      <c r="F44" s="30"/>
      <c r="G44" s="30"/>
      <c r="L44" s="30"/>
      <c r="M44" s="30"/>
      <c r="N44" s="30"/>
      <c r="O44" s="30"/>
      <c r="P44" s="30"/>
      <c r="Q44" s="30"/>
      <c r="R44" s="30"/>
      <c r="S44" s="30"/>
      <c r="V44" s="30"/>
      <c r="W44" s="30"/>
      <c r="X44" s="30"/>
      <c r="Y44" s="30"/>
      <c r="AL44" s="30"/>
    </row>
    <row r="45" spans="6:40" x14ac:dyDescent="0.3">
      <c r="F45" s="30"/>
      <c r="G45" s="30"/>
      <c r="L45" s="30"/>
      <c r="M45" s="30"/>
      <c r="N45" s="30"/>
      <c r="O45" s="30"/>
      <c r="P45" s="30"/>
      <c r="Q45" s="30"/>
      <c r="R45" s="30"/>
      <c r="S45" s="30"/>
      <c r="V45" s="30"/>
      <c r="W45" s="30"/>
      <c r="X45" s="30"/>
      <c r="Y45" s="30"/>
      <c r="AI45" s="30"/>
      <c r="AJ45" s="30"/>
      <c r="AK45" s="30"/>
      <c r="AL45" s="30"/>
    </row>
    <row r="46" spans="6:40" x14ac:dyDescent="0.3">
      <c r="F46" s="30"/>
      <c r="G46" s="30"/>
      <c r="L46" s="30"/>
      <c r="M46" s="30"/>
      <c r="N46" s="30"/>
      <c r="O46" s="30"/>
      <c r="P46" s="30"/>
      <c r="Q46" s="30"/>
      <c r="R46" s="30"/>
      <c r="S46" s="30"/>
      <c r="V46" s="30"/>
      <c r="W46" s="30"/>
      <c r="X46" s="30"/>
      <c r="Y46" s="30"/>
      <c r="AI46" s="30"/>
      <c r="AJ46" s="30"/>
      <c r="AK46" s="30"/>
      <c r="AL46" s="30"/>
    </row>
    <row r="47" spans="6:40" x14ac:dyDescent="0.3">
      <c r="F47" s="30"/>
      <c r="G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  <c r="AC47" s="30"/>
      <c r="AI47" s="30"/>
      <c r="AJ47" s="30"/>
      <c r="AK47" s="30"/>
      <c r="AL47" s="30"/>
    </row>
    <row r="48" spans="6:40" x14ac:dyDescent="0.3">
      <c r="F48" s="30"/>
      <c r="G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</row>
    <row r="49" spans="6:38" x14ac:dyDescent="0.3">
      <c r="F49" s="30"/>
      <c r="G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</row>
    <row r="50" spans="6:38" x14ac:dyDescent="0.3">
      <c r="F50" s="30"/>
      <c r="G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  <c r="AC50" s="30"/>
      <c r="AD50" s="30"/>
      <c r="AE50" s="30"/>
      <c r="AF50" s="30"/>
      <c r="AG50" s="30"/>
      <c r="AH50" s="30"/>
      <c r="AI50" s="30"/>
      <c r="AJ50" s="30"/>
      <c r="AK50" s="30"/>
      <c r="AL50" s="30"/>
    </row>
    <row r="51" spans="6:38" x14ac:dyDescent="0.3">
      <c r="F51" s="30"/>
      <c r="G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  <c r="AC51" s="30"/>
      <c r="AD51" s="30"/>
      <c r="AE51" s="30"/>
      <c r="AF51" s="30"/>
      <c r="AG51" s="30"/>
      <c r="AH51" s="30"/>
      <c r="AI51" s="30"/>
      <c r="AJ51" s="30"/>
      <c r="AK51" s="30"/>
      <c r="AL51" s="30"/>
    </row>
    <row r="52" spans="6:38" x14ac:dyDescent="0.3">
      <c r="F52" s="30"/>
      <c r="G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  <c r="AC52" s="30"/>
      <c r="AD52" s="30"/>
      <c r="AE52" s="30"/>
      <c r="AF52" s="30"/>
      <c r="AG52" s="30"/>
      <c r="AH52" s="30"/>
      <c r="AI52" s="30"/>
      <c r="AJ52" s="30"/>
      <c r="AK52" s="30"/>
      <c r="AL52" s="30"/>
    </row>
    <row r="53" spans="6:38" x14ac:dyDescent="0.3">
      <c r="F53" s="30"/>
      <c r="G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  <c r="AC53" s="30"/>
      <c r="AD53" s="30"/>
      <c r="AE53" s="30"/>
      <c r="AF53" s="30"/>
      <c r="AG53" s="30"/>
      <c r="AH53" s="30"/>
      <c r="AI53" s="30"/>
      <c r="AJ53" s="30"/>
      <c r="AK53" s="30"/>
      <c r="AL53" s="30"/>
    </row>
    <row r="54" spans="6:38" x14ac:dyDescent="0.3">
      <c r="F54" s="30"/>
      <c r="G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0"/>
      <c r="AC54" s="30"/>
      <c r="AD54" s="30"/>
      <c r="AE54" s="30"/>
      <c r="AF54" s="30"/>
      <c r="AG54" s="30"/>
      <c r="AH54" s="30"/>
      <c r="AI54" s="30"/>
      <c r="AJ54" s="30"/>
      <c r="AK54" s="30"/>
      <c r="AL54" s="30"/>
    </row>
    <row r="55" spans="6:38" x14ac:dyDescent="0.3">
      <c r="F55" s="30"/>
      <c r="G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  <c r="AC55" s="30"/>
      <c r="AD55" s="30"/>
      <c r="AE55" s="30"/>
      <c r="AF55" s="30"/>
      <c r="AG55" s="30"/>
      <c r="AH55" s="30"/>
      <c r="AI55" s="30"/>
      <c r="AJ55" s="30"/>
      <c r="AK55" s="30"/>
      <c r="AL55" s="30"/>
    </row>
    <row r="56" spans="6:38" x14ac:dyDescent="0.3">
      <c r="F56" s="30"/>
      <c r="G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  <c r="AC56" s="30"/>
      <c r="AD56" s="30"/>
      <c r="AE56" s="30"/>
      <c r="AF56" s="30"/>
      <c r="AG56" s="30"/>
      <c r="AH56" s="30"/>
      <c r="AI56" s="30"/>
      <c r="AJ56" s="30"/>
      <c r="AK56" s="30"/>
      <c r="AL56" s="30"/>
    </row>
    <row r="57" spans="6:38" x14ac:dyDescent="0.3">
      <c r="F57" s="30"/>
      <c r="G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  <c r="AA57" s="30"/>
      <c r="AB57" s="30"/>
      <c r="AC57" s="30"/>
      <c r="AD57" s="30"/>
      <c r="AE57" s="30"/>
      <c r="AF57" s="30"/>
      <c r="AG57" s="30"/>
      <c r="AH57" s="30"/>
      <c r="AI57" s="30"/>
      <c r="AJ57" s="30"/>
      <c r="AK57" s="30"/>
      <c r="AL57" s="30"/>
    </row>
    <row r="58" spans="6:38" x14ac:dyDescent="0.3">
      <c r="F58" s="30"/>
      <c r="G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</row>
    <row r="59" spans="6:38" x14ac:dyDescent="0.3">
      <c r="F59" s="30"/>
      <c r="G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</row>
    <row r="60" spans="6:38" x14ac:dyDescent="0.3">
      <c r="F60" s="30"/>
      <c r="G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</row>
    <row r="61" spans="6:38" x14ac:dyDescent="0.3">
      <c r="F61" s="30"/>
      <c r="G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</row>
    <row r="62" spans="6:38" x14ac:dyDescent="0.3">
      <c r="F62" s="30"/>
      <c r="G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</row>
    <row r="63" spans="6:38" x14ac:dyDescent="0.3">
      <c r="F63" s="30"/>
      <c r="G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</row>
    <row r="64" spans="6:38" x14ac:dyDescent="0.3">
      <c r="F64" s="30"/>
      <c r="G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</row>
    <row r="65" spans="6:38" x14ac:dyDescent="0.3">
      <c r="F65" s="30"/>
      <c r="G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</row>
    <row r="66" spans="6:38" x14ac:dyDescent="0.3">
      <c r="F66" s="30"/>
      <c r="G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</row>
    <row r="67" spans="6:38" x14ac:dyDescent="0.3">
      <c r="F67" s="30"/>
      <c r="G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</row>
    <row r="68" spans="6:38" x14ac:dyDescent="0.3">
      <c r="F68" s="30"/>
      <c r="G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</row>
    <row r="69" spans="6:38" x14ac:dyDescent="0.3">
      <c r="F69" s="30"/>
      <c r="G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</row>
    <row r="70" spans="6:38" x14ac:dyDescent="0.3">
      <c r="F70" s="30"/>
      <c r="G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</row>
    <row r="71" spans="6:38" x14ac:dyDescent="0.3">
      <c r="T71" s="30"/>
      <c r="U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</row>
    <row r="72" spans="6:38" x14ac:dyDescent="0.3">
      <c r="T72" s="30"/>
      <c r="U72" s="30"/>
      <c r="Z72" s="30"/>
      <c r="AA72" s="30"/>
      <c r="AB72" s="30"/>
      <c r="AC72" s="30"/>
      <c r="AD72" s="30"/>
      <c r="AE72" s="30"/>
      <c r="AF72" s="30"/>
      <c r="AG72" s="30"/>
      <c r="AH72" s="30"/>
    </row>
    <row r="73" spans="6:38" x14ac:dyDescent="0.3">
      <c r="T73" s="30"/>
      <c r="U73" s="30"/>
      <c r="Z73" s="30"/>
      <c r="AA73" s="30"/>
      <c r="AB73" s="30"/>
      <c r="AC73" s="30"/>
      <c r="AD73" s="30"/>
      <c r="AE73" s="30"/>
      <c r="AF73" s="30"/>
      <c r="AG73" s="30"/>
      <c r="AH73" s="30"/>
    </row>
    <row r="74" spans="6:38" x14ac:dyDescent="0.3">
      <c r="AD74" s="30"/>
      <c r="AE74" s="30"/>
      <c r="AF74" s="30"/>
      <c r="AG74" s="30"/>
      <c r="AH74" s="30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zoomScale="120" zoomScaleNormal="12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17" sqref="I17"/>
    </sheetView>
  </sheetViews>
  <sheetFormatPr defaultColWidth="8.77734375" defaultRowHeight="14.4" x14ac:dyDescent="0.3"/>
  <cols>
    <col min="1" max="1" width="8.77734375" style="1"/>
  </cols>
  <sheetData>
    <row r="1" spans="1:8" s="1" customFormat="1" x14ac:dyDescent="0.3">
      <c r="A1" s="1" t="s">
        <v>22</v>
      </c>
      <c r="B1" s="1" t="s">
        <v>19</v>
      </c>
      <c r="C1" s="1" t="s">
        <v>18</v>
      </c>
      <c r="D1" s="1" t="s">
        <v>17</v>
      </c>
      <c r="E1" s="1" t="s">
        <v>21</v>
      </c>
      <c r="F1" s="1" t="s">
        <v>25</v>
      </c>
      <c r="G1" s="1" t="s">
        <v>16</v>
      </c>
      <c r="H1" s="1" t="s">
        <v>75</v>
      </c>
    </row>
    <row r="2" spans="1:8" x14ac:dyDescent="0.3">
      <c r="A2" s="1">
        <v>2013</v>
      </c>
      <c r="B2" s="76">
        <v>331</v>
      </c>
      <c r="C2" s="80">
        <f>234/B2</f>
        <v>0.70694864048338368</v>
      </c>
      <c r="D2" s="76">
        <v>7190</v>
      </c>
      <c r="E2" s="76"/>
      <c r="F2" s="76">
        <v>0.45</v>
      </c>
      <c r="G2" s="78">
        <v>0.34</v>
      </c>
      <c r="H2">
        <v>0.79</v>
      </c>
    </row>
    <row r="3" spans="1:8" x14ac:dyDescent="0.3">
      <c r="A3" s="1">
        <v>2014</v>
      </c>
      <c r="B3" s="94">
        <v>753</v>
      </c>
      <c r="C3" s="95">
        <v>0.77</v>
      </c>
      <c r="D3" s="94"/>
      <c r="E3" s="94"/>
      <c r="F3" s="94">
        <v>0.53</v>
      </c>
      <c r="G3" s="95">
        <v>0.52</v>
      </c>
    </row>
    <row r="4" spans="1:8" x14ac:dyDescent="0.3">
      <c r="A4" s="1">
        <v>2014</v>
      </c>
      <c r="B4" s="73">
        <v>288</v>
      </c>
      <c r="C4" s="77">
        <f>190/288</f>
        <v>0.65972222222222221</v>
      </c>
      <c r="D4" s="73">
        <v>6458</v>
      </c>
      <c r="E4" s="73"/>
      <c r="F4" s="73">
        <v>0.51</v>
      </c>
      <c r="G4" s="98">
        <f>3505/D4</f>
        <v>0.5427376896872097</v>
      </c>
      <c r="H4">
        <v>0.86</v>
      </c>
    </row>
    <row r="5" spans="1:8" x14ac:dyDescent="0.3">
      <c r="A5" s="1">
        <v>2015</v>
      </c>
      <c r="B5" s="93">
        <v>712</v>
      </c>
      <c r="C5" s="97"/>
      <c r="D5" s="93">
        <v>16903</v>
      </c>
      <c r="E5" s="93"/>
      <c r="F5" s="93"/>
      <c r="G5" s="96"/>
    </row>
    <row r="6" spans="1:8" x14ac:dyDescent="0.3">
      <c r="A6" s="1">
        <v>2015</v>
      </c>
      <c r="B6" s="73">
        <v>282</v>
      </c>
      <c r="C6" s="77">
        <f>188/B6</f>
        <v>0.66666666666666663</v>
      </c>
      <c r="D6" s="73">
        <v>6485</v>
      </c>
      <c r="E6" s="73"/>
      <c r="F6" s="77">
        <f>3452/D6</f>
        <v>0.53230531996915964</v>
      </c>
      <c r="G6" s="77">
        <f>3501/D6</f>
        <v>0.53986121819583655</v>
      </c>
      <c r="H6">
        <f>7212/(7212+1174)</f>
        <v>0.86000476985451946</v>
      </c>
    </row>
    <row r="7" spans="1:8" x14ac:dyDescent="0.3">
      <c r="A7" s="1">
        <v>2016</v>
      </c>
      <c r="B7" s="73">
        <v>276</v>
      </c>
      <c r="C7" s="77">
        <f>166/B7</f>
        <v>0.60144927536231885</v>
      </c>
      <c r="D7" s="73">
        <v>6665</v>
      </c>
      <c r="E7" s="73"/>
      <c r="F7" s="77">
        <f>3805/D7</f>
        <v>0.5708927231807952</v>
      </c>
      <c r="G7" s="77">
        <f>3794/D7</f>
        <v>0.56924231057764441</v>
      </c>
      <c r="H7">
        <f>7426/(7426+1110)</f>
        <v>0.86996251171508898</v>
      </c>
    </row>
    <row r="10" spans="1:8" x14ac:dyDescent="0.3">
      <c r="B10" s="51" t="s">
        <v>70</v>
      </c>
      <c r="C10" s="51"/>
    </row>
    <row r="11" spans="1:8" x14ac:dyDescent="0.3">
      <c r="B11" s="74" t="s">
        <v>69</v>
      </c>
      <c r="C11" s="74"/>
      <c r="D11" s="73"/>
      <c r="E11" s="74"/>
    </row>
    <row r="12" spans="1:8" x14ac:dyDescent="0.3">
      <c r="B12" s="94" t="s">
        <v>45</v>
      </c>
    </row>
    <row r="13" spans="1:8" x14ac:dyDescent="0.3">
      <c r="B13" t="s">
        <v>76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topLeftCell="A7" zoomScale="120" zoomScaleNormal="120" workbookViewId="0">
      <selection activeCell="B25" sqref="B25"/>
    </sheetView>
  </sheetViews>
  <sheetFormatPr defaultColWidth="8.77734375" defaultRowHeight="14.4" x14ac:dyDescent="0.3"/>
  <cols>
    <col min="1" max="1" width="25.33203125" customWidth="1"/>
  </cols>
  <sheetData>
    <row r="1" spans="1:12" x14ac:dyDescent="0.3">
      <c r="A1" t="s">
        <v>24</v>
      </c>
    </row>
    <row r="2" spans="1:12" x14ac:dyDescent="0.3">
      <c r="K2" s="16"/>
      <c r="L2" s="16"/>
    </row>
    <row r="3" spans="1:12" x14ac:dyDescent="0.3">
      <c r="A3" t="s">
        <v>44</v>
      </c>
      <c r="B3" t="s">
        <v>45</v>
      </c>
    </row>
    <row r="7" spans="1:12" x14ac:dyDescent="0.3">
      <c r="A7" t="s">
        <v>48</v>
      </c>
    </row>
    <row r="8" spans="1:12" x14ac:dyDescent="0.3">
      <c r="A8" t="s">
        <v>55</v>
      </c>
      <c r="B8" s="11" t="s">
        <v>46</v>
      </c>
      <c r="C8" s="16"/>
      <c r="D8" s="16"/>
      <c r="E8" s="16"/>
      <c r="F8" s="16"/>
      <c r="G8" s="16"/>
    </row>
    <row r="9" spans="1:12" x14ac:dyDescent="0.3">
      <c r="A9" s="26" t="s">
        <v>47</v>
      </c>
      <c r="B9" t="s">
        <v>45</v>
      </c>
    </row>
    <row r="10" spans="1:12" x14ac:dyDescent="0.3">
      <c r="A10" s="49" t="s">
        <v>49</v>
      </c>
      <c r="B10" t="s">
        <v>50</v>
      </c>
    </row>
    <row r="11" spans="1:12" x14ac:dyDescent="0.3">
      <c r="A11" s="49" t="s">
        <v>51</v>
      </c>
      <c r="B11" t="s">
        <v>45</v>
      </c>
    </row>
    <row r="12" spans="1:12" x14ac:dyDescent="0.3">
      <c r="A12" s="49" t="s">
        <v>52</v>
      </c>
      <c r="B12" s="50" t="s">
        <v>46</v>
      </c>
    </row>
    <row r="13" spans="1:12" x14ac:dyDescent="0.3">
      <c r="A13" s="49" t="s">
        <v>53</v>
      </c>
      <c r="B13" s="50" t="s">
        <v>46</v>
      </c>
    </row>
    <row r="14" spans="1:12" x14ac:dyDescent="0.3">
      <c r="A14" s="49" t="s">
        <v>54</v>
      </c>
      <c r="B14" t="s">
        <v>46</v>
      </c>
    </row>
    <row r="16" spans="1:12" x14ac:dyDescent="0.3">
      <c r="A16" t="s">
        <v>73</v>
      </c>
      <c r="B16" s="12" t="s">
        <v>62</v>
      </c>
    </row>
    <row r="17" spans="1:2" x14ac:dyDescent="0.3">
      <c r="A17" t="s">
        <v>58</v>
      </c>
      <c r="B17" s="12" t="s">
        <v>56</v>
      </c>
    </row>
    <row r="18" spans="1:2" x14ac:dyDescent="0.3">
      <c r="A18" t="s">
        <v>61</v>
      </c>
      <c r="B18" s="12" t="s">
        <v>60</v>
      </c>
    </row>
    <row r="19" spans="1:2" x14ac:dyDescent="0.3">
      <c r="A19">
        <v>2017</v>
      </c>
      <c r="B19" s="12" t="s">
        <v>57</v>
      </c>
    </row>
    <row r="20" spans="1:2" x14ac:dyDescent="0.3">
      <c r="A20">
        <v>2018</v>
      </c>
      <c r="B20" s="12" t="s">
        <v>59</v>
      </c>
    </row>
    <row r="21" spans="1:2" x14ac:dyDescent="0.3">
      <c r="A21" t="s">
        <v>74</v>
      </c>
      <c r="B21" s="12" t="s">
        <v>71</v>
      </c>
    </row>
    <row r="23" spans="1:2" x14ac:dyDescent="0.3">
      <c r="A23" t="s">
        <v>64</v>
      </c>
      <c r="B23" s="12" t="s">
        <v>65</v>
      </c>
    </row>
    <row r="24" spans="1:2" x14ac:dyDescent="0.3">
      <c r="B24" s="12" t="s">
        <v>63</v>
      </c>
    </row>
    <row r="25" spans="1:2" x14ac:dyDescent="0.3">
      <c r="A25" t="s">
        <v>67</v>
      </c>
      <c r="B25" s="12" t="s">
        <v>68</v>
      </c>
    </row>
    <row r="26" spans="1:2" x14ac:dyDescent="0.3">
      <c r="B26" s="12" t="s">
        <v>66</v>
      </c>
    </row>
    <row r="29" spans="1:2" x14ac:dyDescent="0.3">
      <c r="A29" t="s">
        <v>72</v>
      </c>
    </row>
  </sheetData>
  <hyperlinks>
    <hyperlink ref="B17" r:id="rId1"/>
    <hyperlink ref="B20" r:id="rId2"/>
    <hyperlink ref="B19" r:id="rId3"/>
    <hyperlink ref="B18" r:id="rId4"/>
    <hyperlink ref="B16" r:id="rId5"/>
    <hyperlink ref="B24" r:id="rId6"/>
    <hyperlink ref="B23" r:id="rId7"/>
    <hyperlink ref="B26" r:id="rId8"/>
    <hyperlink ref="B25" r:id="rId9"/>
    <hyperlink ref="B21" r:id="rId10"/>
  </hyperlinks>
  <pageMargins left="0.7" right="0.7" top="0.75" bottom="0.75" header="0.3" footer="0.3"/>
  <drawing r:id="rId1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workbookViewId="0"/>
  </sheetViews>
  <sheetFormatPr defaultColWidth="11.5546875" defaultRowHeight="14.4" x14ac:dyDescent="0.3"/>
  <cols>
    <col min="1" max="1" width="13" bestFit="1" customWidth="1"/>
    <col min="2" max="2" width="52" customWidth="1"/>
    <col min="3" max="3" width="32" customWidth="1"/>
  </cols>
  <sheetData>
    <row r="1" spans="1:3" x14ac:dyDescent="0.3">
      <c r="A1" s="38" t="s">
        <v>28</v>
      </c>
      <c r="B1" s="39" t="s">
        <v>29</v>
      </c>
      <c r="C1" s="40" t="s">
        <v>35</v>
      </c>
    </row>
    <row r="2" spans="1:3" x14ac:dyDescent="0.3">
      <c r="A2" s="38" t="s">
        <v>31</v>
      </c>
      <c r="B2" s="41" t="s">
        <v>27</v>
      </c>
      <c r="C2" s="42"/>
    </row>
    <row r="3" spans="1:3" ht="43.2" x14ac:dyDescent="0.3">
      <c r="A3" s="43" t="s">
        <v>30</v>
      </c>
      <c r="B3" s="37" t="s">
        <v>36</v>
      </c>
      <c r="C3" s="44" t="s">
        <v>37</v>
      </c>
    </row>
    <row r="4" spans="1:3" x14ac:dyDescent="0.3">
      <c r="A4" s="45" t="s">
        <v>32</v>
      </c>
      <c r="B4" s="41" t="s">
        <v>26</v>
      </c>
      <c r="C4" s="42"/>
    </row>
    <row r="5" spans="1:3" ht="28.8" x14ac:dyDescent="0.3">
      <c r="A5" s="45" t="s">
        <v>33</v>
      </c>
      <c r="B5" s="36" t="s">
        <v>34</v>
      </c>
      <c r="C5" s="46" t="s">
        <v>38</v>
      </c>
    </row>
    <row r="6" spans="1:3" x14ac:dyDescent="0.3">
      <c r="A6" s="45" t="s">
        <v>39</v>
      </c>
      <c r="B6" s="36" t="s">
        <v>40</v>
      </c>
      <c r="C6" s="46" t="s">
        <v>38</v>
      </c>
    </row>
    <row r="7" spans="1:3" x14ac:dyDescent="0.3">
      <c r="A7" s="45" t="s">
        <v>41</v>
      </c>
      <c r="B7" s="37" t="s">
        <v>42</v>
      </c>
      <c r="C7" s="47" t="s">
        <v>38</v>
      </c>
    </row>
    <row r="8" spans="1:3" x14ac:dyDescent="0.3">
      <c r="A8" s="48" t="s">
        <v>43</v>
      </c>
    </row>
    <row r="9" spans="1:3" x14ac:dyDescent="0.3">
      <c r="B9" s="35"/>
    </row>
    <row r="10" spans="1:3" x14ac:dyDescent="0.3">
      <c r="A10" s="1" t="s">
        <v>23</v>
      </c>
      <c r="B10" s="35"/>
    </row>
    <row r="11" spans="1:3" x14ac:dyDescent="0.3">
      <c r="B11" s="35"/>
    </row>
    <row r="12" spans="1:3" x14ac:dyDescent="0.3">
      <c r="B12" s="35"/>
    </row>
    <row r="13" spans="1:3" x14ac:dyDescent="0.3">
      <c r="B13" s="35"/>
    </row>
    <row r="14" spans="1:3" x14ac:dyDescent="0.3">
      <c r="B14" s="35"/>
    </row>
    <row r="15" spans="1:3" x14ac:dyDescent="0.3">
      <c r="B15" s="35"/>
    </row>
    <row r="16" spans="1:3" x14ac:dyDescent="0.3">
      <c r="B16" s="35"/>
    </row>
    <row r="17" spans="2:2" x14ac:dyDescent="0.3">
      <c r="B17" s="35"/>
    </row>
    <row r="18" spans="2:2" x14ac:dyDescent="0.3">
      <c r="B18" s="35"/>
    </row>
    <row r="19" spans="2:2" x14ac:dyDescent="0.3">
      <c r="B19" s="35"/>
    </row>
    <row r="20" spans="2:2" x14ac:dyDescent="0.3">
      <c r="B20" s="35"/>
    </row>
    <row r="21" spans="2:2" x14ac:dyDescent="0.3">
      <c r="B21" s="35"/>
    </row>
    <row r="22" spans="2:2" x14ac:dyDescent="0.3">
      <c r="B22" s="35"/>
    </row>
    <row r="23" spans="2:2" x14ac:dyDescent="0.3">
      <c r="B23" s="35"/>
    </row>
    <row r="24" spans="2:2" x14ac:dyDescent="0.3">
      <c r="B24" s="35"/>
    </row>
    <row r="25" spans="2:2" x14ac:dyDescent="0.3">
      <c r="B25" s="35"/>
    </row>
    <row r="26" spans="2:2" x14ac:dyDescent="0.3">
      <c r="B26" s="35"/>
    </row>
    <row r="27" spans="2:2" x14ac:dyDescent="0.3">
      <c r="B27" s="3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Stratified_Data</vt:lpstr>
      <vt:lpstr>Total_Data</vt:lpstr>
      <vt:lpstr>Comments</vt:lpstr>
      <vt:lpstr>Indicator definitions</vt:lpstr>
    </vt:vector>
  </TitlesOfParts>
  <Company>Johns Hopkins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2020-05-23T13:38:33Z</dcterms:created>
  <dcterms:modified xsi:type="dcterms:W3CDTF">2020-10-05T03:21:58Z</dcterms:modified>
</cp:coreProperties>
</file>