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"/>
    </mc:Choice>
  </mc:AlternateContent>
  <bookViews>
    <workbookView xWindow="36" yWindow="456" windowWidth="28764" windowHeight="15936"/>
  </bookViews>
  <sheets>
    <sheet name="Stratified_Data" sheetId="1" r:id="rId1"/>
    <sheet name="Total_Data" sheetId="4" r:id="rId2"/>
    <sheet name="Comments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E5" i="1"/>
  <c r="E4" i="1"/>
  <c r="E6" i="1"/>
  <c r="F4" i="1"/>
  <c r="F6" i="1"/>
  <c r="F5" i="1"/>
  <c r="E17" i="1"/>
  <c r="E16" i="1"/>
  <c r="E15" i="1"/>
  <c r="E14" i="1"/>
  <c r="E8" i="1"/>
  <c r="D6" i="1"/>
  <c r="C6" i="1"/>
  <c r="D5" i="1"/>
  <c r="C5" i="1"/>
  <c r="D4" i="1"/>
  <c r="C4" i="1"/>
  <c r="B6" i="1"/>
  <c r="B5" i="1"/>
  <c r="B4" i="1"/>
  <c r="F8" i="1"/>
  <c r="F7" i="1"/>
  <c r="F13" i="1"/>
  <c r="F12" i="1"/>
  <c r="F11" i="1"/>
  <c r="F10" i="1"/>
  <c r="F9" i="1"/>
  <c r="B9" i="4"/>
  <c r="Q12" i="1"/>
  <c r="Q11" i="1"/>
  <c r="Q10" i="1"/>
  <c r="I17" i="1"/>
  <c r="H17" i="1"/>
  <c r="H16" i="1"/>
  <c r="H15" i="1"/>
  <c r="H14" i="1"/>
  <c r="I13" i="1"/>
  <c r="H13" i="1"/>
  <c r="H12" i="1"/>
  <c r="H11" i="1"/>
  <c r="H10" i="1"/>
  <c r="H9" i="1"/>
  <c r="H8" i="1"/>
  <c r="H7" i="1"/>
  <c r="I6" i="1"/>
  <c r="H6" i="1"/>
  <c r="H5" i="1"/>
  <c r="H4" i="1"/>
  <c r="J13" i="1"/>
  <c r="N17" i="1"/>
  <c r="N13" i="1"/>
  <c r="N6" i="1"/>
  <c r="K13" i="1"/>
  <c r="K6" i="1"/>
  <c r="P12" i="1"/>
  <c r="P13" i="1"/>
</calcChain>
</file>

<file path=xl/sharedStrings.xml><?xml version="1.0" encoding="utf-8"?>
<sst xmlns="http://schemas.openxmlformats.org/spreadsheetml/2006/main" count="71" uniqueCount="47">
  <si>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</si>
  <si>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</si>
  <si>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</si>
  <si>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</si>
  <si>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</si>
  <si>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</si>
  <si>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</si>
  <si>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</si>
  <si>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</si>
  <si>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</si>
  <si>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</si>
  <si>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</si>
  <si>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</si>
  <si>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</si>
  <si>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</si>
  <si>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</si>
  <si>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</si>
  <si>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</si>
  <si>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</si>
  <si>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</si>
  <si>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</si>
  <si>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</si>
  <si>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</si>
  <si>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</si>
  <si>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 </t>
  </si>
  <si>
    <t>Harris County</t>
  </si>
  <si>
    <t xml:space="preserve">Specific EHE priority county: </t>
  </si>
  <si>
    <t>MSA has 9 counties, but Harris by far the largest (6x larger than next largest county)</t>
  </si>
  <si>
    <t>http://www.houstontx.gov/health/HIV-STD/Documents/2019-Epi-Profile-Final-20191212.pdf</t>
  </si>
  <si>
    <t>http://www.houstontx.gov/health/HIV-STD/index.html</t>
  </si>
  <si>
    <t>Houston Health Department</t>
  </si>
  <si>
    <t>Estimates in green are for Houston EMA (Eligible Metropolitan Area), which includes Houston/Harris County</t>
  </si>
  <si>
    <t xml:space="preserve">Additional figures that could be useful if we eyeball values: </t>
  </si>
  <si>
    <t>2019 Epi Profile</t>
  </si>
  <si>
    <t xml:space="preserve">Page 42: </t>
  </si>
  <si>
    <t xml:space="preserve">Page 46: </t>
  </si>
  <si>
    <t>Estimates in blue are for Houston/Harris County only</t>
  </si>
  <si>
    <t>2018 Report (for 2018 total)</t>
  </si>
  <si>
    <t>http://www.rwpchouston.org/Publications/2020%20Epi%20Supplement%20FINAL-03-12-20.pdf</t>
  </si>
  <si>
    <t>https://silo.tips/download/hiv-aids-in-the-houston-area-5</t>
  </si>
  <si>
    <t>2014 Report (2012 data)</t>
  </si>
  <si>
    <t>2013 report (2011 data)</t>
  </si>
  <si>
    <t>https://www.houstontx.gov/health/HIV-STD/2013_Epi_Profile%20--APPROVED--05-09-13.pdf</t>
  </si>
  <si>
    <t>Gives a fraction aware of .765 that is very different from other years - we are not using</t>
  </si>
  <si>
    <t>Linkage 2016-18</t>
  </si>
  <si>
    <t>Other links:</t>
  </si>
  <si>
    <t>http://rwpchouston.org/Publications/Past_publications.htm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</si>
</sst>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quotePrefix="1"/>
    <xf numFmtId="0" fontId="2" fillId="0" borderId="0" xfId="1"/>
    <xf numFmtId="0" fontId="0" fillId="2" borderId="2" xfId="0" applyFill="1" applyBorder="1"/>
    <xf numFmtId="1" fontId="0" fillId="2" borderId="3" xfId="0" applyNumberFormat="1" applyFill="1" applyBorder="1"/>
    <xf numFmtId="1" fontId="0" fillId="2" borderId="0" xfId="0" applyNumberFormat="1" applyFill="1" applyBorder="1"/>
    <xf numFmtId="1" fontId="0" fillId="2" borderId="1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1" xfId="0" applyFill="1" applyBorder="1"/>
    <xf numFmtId="1" fontId="0" fillId="3" borderId="3" xfId="0" applyNumberFormat="1" applyFill="1" applyBorder="1"/>
    <xf numFmtId="1" fontId="0" fillId="3" borderId="0" xfId="0" applyNumberFormat="1" applyFill="1" applyBorder="1"/>
    <xf numFmtId="1" fontId="0" fillId="3" borderId="1" xfId="0" applyNumberFormat="1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0" xfId="0" applyFill="1" applyBorder="1"/>
    <xf numFmtId="2" fontId="0" fillId="2" borderId="3" xfId="0" applyNumberFormat="1" applyFill="1" applyBorder="1"/>
    <xf numFmtId="0" fontId="0" fillId="2" borderId="0" xfId="0" applyFont="1" applyFill="1"/>
    <xf numFmtId="0" fontId="0" fillId="3" borderId="0" xfId="0" applyFont="1" applyFill="1"/>
    <xf numFmtId="2" fontId="0" fillId="2" borderId="0" xfId="0" applyNumberFormat="1" applyFill="1" applyBorder="1"/>
    <xf numFmtId="2" fontId="0" fillId="2" borderId="1" xfId="0" applyNumberFormat="1" applyFill="1" applyBorder="1"/>
    <xf numFmtId="2" fontId="0" fillId="3" borderId="3" xfId="0" applyNumberFormat="1" applyFill="1" applyBorder="1"/>
    <xf numFmtId="2" fontId="0" fillId="3" borderId="0" xfId="0" applyNumberFormat="1" applyFill="1" applyBorder="1"/>
    <xf numFmtId="2" fontId="0" fillId="3" borderId="1" xfId="0" applyNumberFormat="1" applyFill="1" applyBorder="1"/>
    <xf numFmtId="0" fontId="0" fillId="4" borderId="0" xfId="0" applyFill="1"/>
    <xf numFmtId="0" fontId="2" fillId="4" borderId="0" xfId="1" applyFill="1"/>
    <xf numFmtId="0" fontId="0" fillId="0" borderId="0" xfId="0" applyFill="1"/>
    <xf numFmtId="1" fontId="1" fillId="0" borderId="0" xfId="0" applyNumberFormat="1" applyFont="1"/>
    <xf numFmtId="1" fontId="0" fillId="2" borderId="2" xfId="0" applyNumberFormat="1" applyFill="1" applyBorder="1"/>
    <xf numFmtId="1" fontId="0" fillId="0" borderId="0" xfId="0" applyNumberFormat="1" applyFill="1"/>
    <xf numFmtId="1" fontId="0" fillId="0" borderId="0" xfId="0" applyNumberFormat="1"/>
    <xf numFmtId="1" fontId="0" fillId="2" borderId="0" xfId="0" applyNumberFormat="1" applyFont="1" applyFill="1"/>
    <xf numFmtId="1" fontId="0" fillId="3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666749</xdr:colOff>
      <xdr:row>4</xdr:row>
      <xdr:rowOff>40392</xdr:rowOff>
    </xdr:from>
    <xdr:to>
      <xdr:col>15</xdr:col>
      <xdr:colOff>486833</xdr:colOff>
      <xdr:row>19</xdr:row>
      <xdr:rowOff>42333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88F44D-8534-9643-BCA2-F1A55908C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9582" y="802392"/>
          <a:ext cx="5916084" cy="2859441"/>
        </a:xfrm>
        <a:prstGeom prst="rect">
          <a:avLst/>
        </a:prstGeom>
      </xdr:spPr>
    </xdr:pic>
    <xdr:clientData/>
  </xdr:twoCellAnchor>
  <xdr:twoCellAnchor editAs="oneCell">
    <xdr:from>
      <xdr:col>6</xdr:col>
      <xdr:colOff>613834</xdr:colOff>
      <xdr:row>21</xdr:row>
      <xdr:rowOff>0</xdr:rowOff>
    </xdr:from>
    <xdr:to>
      <xdr:col>15</xdr:col>
      <xdr:colOff>377847</xdr:colOff>
      <xdr:row>36</xdr:row>
      <xdr:rowOff>107950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BD5AB7-04A8-4043-9396-56AAECC93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6667" y="4000500"/>
          <a:ext cx="5860013" cy="2965450"/>
        </a:xfrm>
        <a:prstGeom prst="rect">
          <a:avLst/>
        </a:prstGeom>
      </xdr:spPr>
    </xdr:pic>
    <xdr:clientData/>
  </xdr:twoCellAnchor>
  <xdr:twoCellAnchor editAs="oneCell">
    <xdr:from>
      <xdr:col>6</xdr:col>
      <xdr:colOff>603250</xdr:colOff>
      <xdr:row>36</xdr:row>
      <xdr:rowOff>84666</xdr:rowOff>
    </xdr:from>
    <xdr:to>
      <xdr:col>15</xdr:col>
      <xdr:colOff>393869</xdr:colOff>
      <xdr:row>51</xdr:row>
      <xdr:rowOff>158749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261663-3C21-EE47-9DEE-FA1141A84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16083" y="6942666"/>
          <a:ext cx="5886619" cy="2931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houstontx.gov/health/HIV-STD/index.html" TargetMode="External"/><Relationship Id="rId1" Type="http://schemas.openxmlformats.org/officeDocument/2006/relationships/hyperlink" Target="http://www.houstontx.gov/health/HIV-STD/Documents/2019-Epi-Profile-Final-201912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5" sqref="M5"/>
    </sheetView>
  </sheetViews>
  <sheetFormatPr defaultColWidth="8.77734375" defaultRowHeight="14.4" x14ac:dyDescent="0.3"/>
  <cols>
    <col min="1" max="1" width="13.33203125" style="1" customWidth="1"/>
    <col min="4" max="4" width="8.77734375" style="40"/>
  </cols>
  <sheetData>
    <row r="1" spans="1:25" s="1" customFormat="1" x14ac:dyDescent="0.3">
      <c r="A1" s="1" t="s">
        <v>22</v>
      </c>
      <c r="B1" s="1" t="s">
        <v>16</v>
      </c>
      <c r="C1" s="1" t="s">
        <v>21</v>
      </c>
      <c r="D1" s="37" t="s">
        <v>17</v>
      </c>
      <c r="E1" s="1" t="s">
        <v>18</v>
      </c>
      <c r="F1" s="1" t="s">
        <v>19</v>
      </c>
      <c r="G1" s="1" t="s">
        <v>16</v>
      </c>
      <c r="H1" s="1" t="s">
        <v>21</v>
      </c>
      <c r="I1" s="1" t="s">
        <v>17</v>
      </c>
      <c r="J1" s="1" t="s">
        <v>18</v>
      </c>
      <c r="K1" s="1" t="s">
        <v>19</v>
      </c>
      <c r="L1" s="1" t="s">
        <v>16</v>
      </c>
      <c r="M1" s="1" t="s">
        <v>21</v>
      </c>
      <c r="N1" s="1" t="s">
        <v>17</v>
      </c>
      <c r="O1" s="1" t="s">
        <v>18</v>
      </c>
      <c r="P1" s="1" t="s">
        <v>19</v>
      </c>
      <c r="Q1" s="1" t="s">
        <v>16</v>
      </c>
      <c r="R1" s="1" t="s">
        <v>21</v>
      </c>
      <c r="S1" s="1" t="s">
        <v>17</v>
      </c>
      <c r="T1" s="1" t="s">
        <v>16</v>
      </c>
      <c r="U1" s="1" t="s">
        <v>21</v>
      </c>
      <c r="V1" s="1" t="s">
        <v>17</v>
      </c>
      <c r="W1" s="1" t="s">
        <v>16</v>
      </c>
      <c r="X1" s="1" t="s">
        <v>21</v>
      </c>
      <c r="Y1" s="1" t="s">
        <v>17</v>
      </c>
    </row>
    <row r="2" spans="1:25" s="1" customFormat="1" x14ac:dyDescent="0.3">
      <c r="A2" s="1" t="s">
        <v>15</v>
      </c>
      <c r="B2" s="1">
        <v>2018</v>
      </c>
      <c r="C2" s="1">
        <v>2018</v>
      </c>
      <c r="D2" s="37">
        <v>2018</v>
      </c>
      <c r="E2" s="1">
        <v>2018</v>
      </c>
      <c r="F2" s="1">
        <v>2018</v>
      </c>
      <c r="G2" s="1">
        <v>2017</v>
      </c>
      <c r="H2" s="1">
        <v>2017</v>
      </c>
      <c r="I2" s="1">
        <v>2017</v>
      </c>
      <c r="J2" s="1">
        <v>2017</v>
      </c>
      <c r="K2" s="1">
        <v>2017</v>
      </c>
      <c r="L2" s="1">
        <v>2016</v>
      </c>
      <c r="M2" s="1">
        <v>2016</v>
      </c>
      <c r="N2" s="1">
        <v>2016</v>
      </c>
      <c r="O2" s="1">
        <v>2016</v>
      </c>
      <c r="P2" s="1">
        <v>2016</v>
      </c>
      <c r="Q2" s="1">
        <v>2015</v>
      </c>
      <c r="R2" s="1">
        <v>2015</v>
      </c>
      <c r="S2" s="1">
        <v>2015</v>
      </c>
      <c r="T2" s="1">
        <v>2012</v>
      </c>
      <c r="U2" s="1">
        <v>2012</v>
      </c>
      <c r="V2" s="1">
        <v>2012</v>
      </c>
      <c r="W2" s="1">
        <v>2011</v>
      </c>
      <c r="X2" s="1">
        <v>2011</v>
      </c>
      <c r="Y2" s="1">
        <v>2011</v>
      </c>
    </row>
    <row r="3" spans="1:25" s="5" customFormat="1" x14ac:dyDescent="0.3">
      <c r="A3" s="4" t="s">
        <v>0</v>
      </c>
      <c r="B3" s="12">
        <v>0.59</v>
      </c>
      <c r="C3" s="12">
        <v>0.75</v>
      </c>
      <c r="D3" s="38">
        <v>29078</v>
      </c>
      <c r="E3" s="12">
        <v>0.8</v>
      </c>
      <c r="F3" s="12">
        <v>0.8</v>
      </c>
      <c r="G3" s="12">
        <v>0.56999999999999995</v>
      </c>
      <c r="H3" s="12">
        <v>0.75</v>
      </c>
      <c r="I3" s="12">
        <v>28225</v>
      </c>
      <c r="J3" s="12">
        <v>0.8</v>
      </c>
      <c r="K3" s="16">
        <v>1120</v>
      </c>
      <c r="L3" s="12">
        <v>0.57999999999999996</v>
      </c>
      <c r="M3" s="12">
        <v>0.76</v>
      </c>
      <c r="N3" s="16">
        <v>25132</v>
      </c>
      <c r="O3" s="12">
        <v>0.82</v>
      </c>
      <c r="P3" s="16">
        <v>1014</v>
      </c>
      <c r="Q3" s="12">
        <v>0.56999999999999995</v>
      </c>
      <c r="R3" s="12">
        <v>0.76</v>
      </c>
      <c r="S3" s="12">
        <v>26041</v>
      </c>
      <c r="T3" s="12">
        <v>0.46200000000000002</v>
      </c>
      <c r="U3" s="12">
        <v>0.72499999999999998</v>
      </c>
      <c r="V3" s="12">
        <v>22830</v>
      </c>
      <c r="W3" s="12">
        <v>0.44700000000000001</v>
      </c>
      <c r="X3" s="12">
        <v>0.72899999999999998</v>
      </c>
      <c r="Y3" s="12">
        <v>21567</v>
      </c>
    </row>
    <row r="4" spans="1:25" s="7" customFormat="1" x14ac:dyDescent="0.3">
      <c r="A4" s="6" t="s">
        <v>1</v>
      </c>
      <c r="B4" s="23">
        <f>(4937+2806)/D4</f>
        <v>0.5513386499572771</v>
      </c>
      <c r="C4" s="26">
        <f>(6669+3738)/D4</f>
        <v>0.7410281970948448</v>
      </c>
      <c r="D4" s="13">
        <f>9161+4883</f>
        <v>14044</v>
      </c>
      <c r="E4" s="23">
        <f>(224+91+95+27)/F4</f>
        <v>0.75474956822107087</v>
      </c>
      <c r="F4" s="23">
        <f>83+21+91+224+24+14+27+95</f>
        <v>579</v>
      </c>
      <c r="G4" s="23"/>
      <c r="H4" s="26">
        <f>10278/I4</f>
        <v>0.74316702819956615</v>
      </c>
      <c r="I4" s="13">
        <v>13830</v>
      </c>
      <c r="J4" s="23">
        <v>0.77</v>
      </c>
      <c r="K4" s="20">
        <v>533</v>
      </c>
      <c r="L4" s="23"/>
      <c r="M4" s="23"/>
      <c r="N4" s="17">
        <v>12424</v>
      </c>
      <c r="O4" s="23"/>
      <c r="P4" s="17">
        <v>476</v>
      </c>
      <c r="Q4" s="17">
        <v>0.48099999999999998</v>
      </c>
      <c r="R4" s="23"/>
      <c r="S4" s="23"/>
      <c r="T4" s="23">
        <v>0.4</v>
      </c>
      <c r="U4" s="23">
        <v>0.71</v>
      </c>
      <c r="V4" s="23"/>
      <c r="W4" s="23"/>
    </row>
    <row r="5" spans="1:25" s="9" customFormat="1" x14ac:dyDescent="0.3">
      <c r="A5" s="8" t="s">
        <v>2</v>
      </c>
      <c r="B5" s="25">
        <f>(4220+899)/D5</f>
        <v>0.60273166136818557</v>
      </c>
      <c r="C5" s="29">
        <f>(5180+1135)/D5</f>
        <v>0.743553514659131</v>
      </c>
      <c r="D5" s="14">
        <f>7022+1471</f>
        <v>8493</v>
      </c>
      <c r="E5" s="25">
        <f>(242+85+57+12)/F5</f>
        <v>0.82328482328482333</v>
      </c>
      <c r="F5" s="25">
        <f>48+33+85+242+4+12+57</f>
        <v>481</v>
      </c>
      <c r="G5" s="25"/>
      <c r="H5" s="29">
        <f>5937/I5</f>
        <v>0.74905374716124151</v>
      </c>
      <c r="I5" s="14">
        <v>7926</v>
      </c>
      <c r="J5" s="25">
        <v>0.83</v>
      </c>
      <c r="K5" s="21">
        <v>420</v>
      </c>
      <c r="L5" s="25"/>
      <c r="M5" s="25"/>
      <c r="N5" s="18">
        <v>7132</v>
      </c>
      <c r="O5" s="25"/>
      <c r="P5" s="18">
        <v>338</v>
      </c>
      <c r="Q5" s="18">
        <v>0.59599999999999997</v>
      </c>
      <c r="R5" s="25"/>
      <c r="S5" s="25"/>
      <c r="T5" s="25">
        <v>0.48</v>
      </c>
      <c r="U5" s="25">
        <v>0.7</v>
      </c>
      <c r="V5" s="25"/>
      <c r="W5" s="25"/>
    </row>
    <row r="6" spans="1:25" s="3" customFormat="1" x14ac:dyDescent="0.3">
      <c r="A6" s="2" t="s">
        <v>3</v>
      </c>
      <c r="B6" s="24">
        <f>(3080+322)/D6</f>
        <v>0.66588373458602468</v>
      </c>
      <c r="C6" s="30">
        <f>(3601+430)/D6</f>
        <v>0.7889998042669798</v>
      </c>
      <c r="D6" s="15">
        <f>4546+563</f>
        <v>5109</v>
      </c>
      <c r="E6" s="24">
        <f>(97+23+15+3)/F6</f>
        <v>0.84662576687116564</v>
      </c>
      <c r="F6" s="24">
        <f>21+1+23+97+2+1+3+15</f>
        <v>163</v>
      </c>
      <c r="G6" s="24"/>
      <c r="H6" s="30">
        <f>(4131+280+647)/I6</f>
        <v>0.78188282578451074</v>
      </c>
      <c r="I6" s="15">
        <f>5321+389+759</f>
        <v>6469</v>
      </c>
      <c r="J6" s="24">
        <v>0.84</v>
      </c>
      <c r="K6" s="22">
        <f>125+19+23</f>
        <v>167</v>
      </c>
      <c r="L6" s="24"/>
      <c r="M6" s="24"/>
      <c r="N6" s="19">
        <f>4608+642+326</f>
        <v>5576</v>
      </c>
      <c r="O6" s="24"/>
      <c r="P6" s="19">
        <v>199</v>
      </c>
      <c r="Q6" s="19">
        <v>0.52500000000000002</v>
      </c>
      <c r="R6" s="24"/>
      <c r="S6" s="24"/>
      <c r="T6" s="24">
        <v>0.56000000000000005</v>
      </c>
      <c r="U6" s="24">
        <v>0.77</v>
      </c>
      <c r="V6" s="24"/>
      <c r="W6" s="24"/>
    </row>
    <row r="7" spans="1:25" s="7" customFormat="1" x14ac:dyDescent="0.3">
      <c r="A7" s="6" t="s">
        <v>4</v>
      </c>
      <c r="B7" s="23">
        <v>0.59</v>
      </c>
      <c r="C7" s="26">
        <v>0.75</v>
      </c>
      <c r="D7" s="13">
        <v>21829</v>
      </c>
      <c r="E7" s="23">
        <v>0.79</v>
      </c>
      <c r="F7" s="23">
        <f>157+61+212+602</f>
        <v>1032</v>
      </c>
      <c r="H7" s="26">
        <f>15869/I7</f>
        <v>0.74931532722636696</v>
      </c>
      <c r="I7" s="13">
        <v>21178</v>
      </c>
      <c r="J7" s="23">
        <v>0.8</v>
      </c>
      <c r="K7" s="20">
        <v>916</v>
      </c>
      <c r="L7" s="23"/>
      <c r="M7" s="23"/>
      <c r="N7" s="17">
        <v>18961</v>
      </c>
      <c r="O7" s="23"/>
      <c r="P7" s="17">
        <v>830</v>
      </c>
      <c r="Q7" s="17">
        <v>0.54900000000000004</v>
      </c>
      <c r="R7" s="23"/>
      <c r="S7" s="23"/>
      <c r="T7" s="23"/>
      <c r="U7" s="23"/>
      <c r="V7" s="23"/>
      <c r="W7" s="23"/>
    </row>
    <row r="8" spans="1:25" s="3" customFormat="1" x14ac:dyDescent="0.3">
      <c r="A8" s="2" t="s">
        <v>5</v>
      </c>
      <c r="B8" s="24">
        <v>0.57999999999999996</v>
      </c>
      <c r="C8" s="30">
        <v>0.76</v>
      </c>
      <c r="D8" s="15">
        <v>7249</v>
      </c>
      <c r="E8" s="25">
        <f>0.16+0.66</f>
        <v>0.82000000000000006</v>
      </c>
      <c r="F8" s="24">
        <f>31+17+44+175</f>
        <v>267</v>
      </c>
      <c r="H8" s="30">
        <f>5404/I8</f>
        <v>0.76685114233006957</v>
      </c>
      <c r="I8" s="15">
        <v>7047</v>
      </c>
      <c r="J8" s="25">
        <v>0.81</v>
      </c>
      <c r="K8" s="22">
        <v>204</v>
      </c>
      <c r="L8" s="24"/>
      <c r="M8" s="24"/>
      <c r="N8" s="19">
        <v>6171</v>
      </c>
      <c r="O8" s="25"/>
      <c r="P8" s="19">
        <v>184</v>
      </c>
      <c r="Q8" s="19">
        <v>0.51</v>
      </c>
      <c r="R8" s="24"/>
      <c r="S8" s="24"/>
      <c r="T8" s="24"/>
      <c r="U8" s="24"/>
      <c r="V8" s="24"/>
      <c r="W8" s="24"/>
    </row>
    <row r="9" spans="1:25" s="7" customFormat="1" x14ac:dyDescent="0.3">
      <c r="A9" s="6" t="s">
        <v>6</v>
      </c>
      <c r="B9" s="26">
        <v>0.49</v>
      </c>
      <c r="C9" s="26">
        <v>0.77</v>
      </c>
      <c r="D9" s="13">
        <v>1170</v>
      </c>
      <c r="E9" s="26">
        <v>0.8</v>
      </c>
      <c r="F9" s="25">
        <f>164+59+19+35</f>
        <v>277</v>
      </c>
      <c r="H9" s="26">
        <f>960/I9</f>
        <v>0.78048780487804881</v>
      </c>
      <c r="I9" s="13">
        <v>1230</v>
      </c>
      <c r="J9" s="26">
        <v>0.79</v>
      </c>
      <c r="K9" s="20">
        <v>253</v>
      </c>
      <c r="L9" s="26"/>
      <c r="M9" s="26"/>
      <c r="N9" s="17">
        <v>5660</v>
      </c>
      <c r="O9" s="26"/>
      <c r="P9" s="20">
        <v>307</v>
      </c>
      <c r="Q9" s="31">
        <v>0.28999999999999998</v>
      </c>
      <c r="R9" s="26"/>
      <c r="S9" s="23"/>
      <c r="T9" s="26">
        <v>0.42</v>
      </c>
      <c r="U9" s="23">
        <v>0.78</v>
      </c>
      <c r="V9" s="26"/>
      <c r="W9" s="23"/>
    </row>
    <row r="10" spans="1:25" s="9" customFormat="1" x14ac:dyDescent="0.3">
      <c r="A10" s="8" t="s">
        <v>7</v>
      </c>
      <c r="B10" s="25">
        <v>0.55000000000000004</v>
      </c>
      <c r="C10" s="29">
        <v>0.76</v>
      </c>
      <c r="D10" s="14">
        <v>5986</v>
      </c>
      <c r="E10" s="25">
        <v>0.8</v>
      </c>
      <c r="F10" s="29">
        <f>70+25+109+274</f>
        <v>478</v>
      </c>
      <c r="H10" s="29">
        <f>4339/I10</f>
        <v>0.75618682467758802</v>
      </c>
      <c r="I10" s="14">
        <v>5738</v>
      </c>
      <c r="J10" s="25">
        <v>0.78</v>
      </c>
      <c r="K10" s="21">
        <v>420</v>
      </c>
      <c r="L10" s="25"/>
      <c r="M10" s="25"/>
      <c r="N10" s="18">
        <v>9234</v>
      </c>
      <c r="O10" s="25"/>
      <c r="P10" s="18">
        <v>414</v>
      </c>
      <c r="Q10" s="32">
        <f>AVERAGE(0.29,0.446)</f>
        <v>0.36799999999999999</v>
      </c>
      <c r="R10" s="25"/>
      <c r="S10" s="25"/>
      <c r="T10" s="25">
        <v>0.49</v>
      </c>
      <c r="U10" s="25">
        <v>0.78</v>
      </c>
      <c r="V10" s="25"/>
      <c r="W10" s="25"/>
    </row>
    <row r="11" spans="1:25" s="9" customFormat="1" x14ac:dyDescent="0.3">
      <c r="A11" s="8" t="s">
        <v>8</v>
      </c>
      <c r="B11" s="29">
        <v>0.56000000000000005</v>
      </c>
      <c r="C11" s="29">
        <v>0.74</v>
      </c>
      <c r="D11" s="14">
        <v>6752</v>
      </c>
      <c r="E11" s="25">
        <v>0.79</v>
      </c>
      <c r="F11" s="29">
        <f>40+12+54+144</f>
        <v>250</v>
      </c>
      <c r="H11" s="29">
        <f>4919/I11</f>
        <v>0.74170687575392036</v>
      </c>
      <c r="I11" s="14">
        <v>6632</v>
      </c>
      <c r="J11" s="25">
        <v>0.82</v>
      </c>
      <c r="K11" s="21">
        <v>221</v>
      </c>
      <c r="L11" s="29"/>
      <c r="M11" s="29"/>
      <c r="N11" s="18">
        <v>6242</v>
      </c>
      <c r="O11" s="25"/>
      <c r="P11" s="18">
        <v>159</v>
      </c>
      <c r="Q11" s="32">
        <f>AVERAGE(0.446, 0.542)</f>
        <v>0.49399999999999999</v>
      </c>
      <c r="R11" s="29"/>
      <c r="S11" s="25"/>
      <c r="T11" s="29">
        <v>0.55000000000000004</v>
      </c>
      <c r="U11" s="25">
        <v>0.81</v>
      </c>
      <c r="V11" s="29"/>
      <c r="W11" s="25"/>
    </row>
    <row r="12" spans="1:25" s="9" customFormat="1" x14ac:dyDescent="0.3">
      <c r="A12" s="8" t="s">
        <v>9</v>
      </c>
      <c r="B12" s="25">
        <v>0.62</v>
      </c>
      <c r="C12" s="29">
        <v>0.76</v>
      </c>
      <c r="D12" s="14">
        <v>7594</v>
      </c>
      <c r="E12" s="25">
        <v>0.8</v>
      </c>
      <c r="F12" s="25">
        <f>23+14+20+127</f>
        <v>184</v>
      </c>
      <c r="H12" s="29">
        <f>5844/I12</f>
        <v>0.76402144071120404</v>
      </c>
      <c r="I12" s="14">
        <v>7649</v>
      </c>
      <c r="J12" s="25">
        <v>0.84</v>
      </c>
      <c r="K12" s="21">
        <v>147</v>
      </c>
      <c r="L12" s="25"/>
      <c r="M12" s="25"/>
      <c r="N12" s="21">
        <v>2771</v>
      </c>
      <c r="O12" s="25"/>
      <c r="P12" s="21">
        <f>133/2</f>
        <v>66.5</v>
      </c>
      <c r="Q12" s="32">
        <f>AVERAGE(0.542, 0.688)</f>
        <v>0.61499999999999999</v>
      </c>
      <c r="R12" s="25"/>
      <c r="S12" s="14"/>
      <c r="T12" s="25">
        <v>0.56999999999999995</v>
      </c>
      <c r="U12" s="25">
        <v>0.79</v>
      </c>
      <c r="V12" s="25"/>
      <c r="W12" s="14"/>
    </row>
    <row r="13" spans="1:25" s="3" customFormat="1" x14ac:dyDescent="0.3">
      <c r="A13" s="2" t="s">
        <v>10</v>
      </c>
      <c r="B13" s="30">
        <v>0.65</v>
      </c>
      <c r="C13" s="30">
        <v>0.75</v>
      </c>
      <c r="D13" s="15">
        <v>7522</v>
      </c>
      <c r="E13" s="24">
        <v>0.75</v>
      </c>
      <c r="F13" s="30">
        <f>19+8+14+67</f>
        <v>108</v>
      </c>
      <c r="H13" s="30">
        <f>(3967+1190)/I13</f>
        <v>0.74566223250433772</v>
      </c>
      <c r="I13" s="14">
        <f>5186+1730</f>
        <v>6916</v>
      </c>
      <c r="J13" s="24">
        <f>AVERAGE(0.86,0.76)</f>
        <v>0.81</v>
      </c>
      <c r="K13" s="22">
        <f>65+14</f>
        <v>79</v>
      </c>
      <c r="L13" s="30"/>
      <c r="M13" s="30"/>
      <c r="N13" s="21">
        <f>792+141</f>
        <v>933</v>
      </c>
      <c r="O13" s="24"/>
      <c r="P13" s="21">
        <f>133/2</f>
        <v>66.5</v>
      </c>
      <c r="Q13" s="33">
        <v>0.68799999999999994</v>
      </c>
      <c r="R13" s="30"/>
      <c r="S13" s="14"/>
      <c r="T13" s="30">
        <v>0.55000000000000004</v>
      </c>
      <c r="U13" s="24">
        <v>0.73</v>
      </c>
      <c r="V13" s="30"/>
      <c r="W13" s="14"/>
    </row>
    <row r="14" spans="1:25" s="7" customFormat="1" x14ac:dyDescent="0.3">
      <c r="A14" s="6" t="s">
        <v>11</v>
      </c>
      <c r="B14" s="23">
        <v>0.61</v>
      </c>
      <c r="C14" s="26">
        <v>0.76</v>
      </c>
      <c r="D14" s="13">
        <v>16819</v>
      </c>
      <c r="E14" s="23">
        <f>0.58+0.21</f>
        <v>0.78999999999999992</v>
      </c>
      <c r="F14" s="23">
        <f>0.21+0.58</f>
        <v>0.78999999999999992</v>
      </c>
      <c r="G14" s="23"/>
      <c r="H14" s="26">
        <f>12268/I14</f>
        <v>0.76042893448211735</v>
      </c>
      <c r="I14" s="23">
        <v>16133</v>
      </c>
      <c r="J14" s="23">
        <v>0.79</v>
      </c>
      <c r="K14" s="17">
        <v>803</v>
      </c>
      <c r="L14" s="23"/>
      <c r="M14" s="23"/>
      <c r="N14" s="17">
        <v>14306</v>
      </c>
      <c r="O14" s="23"/>
      <c r="P14" s="17">
        <v>774</v>
      </c>
      <c r="Q14" s="17"/>
      <c r="R14" s="23"/>
      <c r="S14" s="23"/>
      <c r="T14" s="23">
        <v>0.48</v>
      </c>
      <c r="U14" s="23">
        <v>0.73</v>
      </c>
      <c r="V14" s="23"/>
      <c r="W14" s="23"/>
    </row>
    <row r="15" spans="1:25" s="9" customFormat="1" x14ac:dyDescent="0.3">
      <c r="A15" s="8" t="s">
        <v>12</v>
      </c>
      <c r="B15" s="25">
        <v>0.54</v>
      </c>
      <c r="C15" s="29">
        <v>0.72</v>
      </c>
      <c r="D15" s="14">
        <v>2256</v>
      </c>
      <c r="E15" s="25">
        <f>0.62+0.13</f>
        <v>0.75</v>
      </c>
      <c r="F15" s="25">
        <f>0.62+0.13</f>
        <v>0.75</v>
      </c>
      <c r="G15" s="25"/>
      <c r="H15" s="29">
        <f>1714/I15</f>
        <v>0.72381756756756754</v>
      </c>
      <c r="I15" s="14">
        <v>2368</v>
      </c>
      <c r="J15" s="25">
        <v>0.72</v>
      </c>
      <c r="K15" s="21">
        <v>37</v>
      </c>
      <c r="L15" s="25"/>
      <c r="M15" s="25"/>
      <c r="N15" s="18">
        <v>2186</v>
      </c>
      <c r="O15" s="25"/>
      <c r="P15" s="18">
        <v>51</v>
      </c>
      <c r="Q15" s="18"/>
      <c r="R15" s="25"/>
      <c r="S15" s="25"/>
      <c r="T15" s="25">
        <v>0.42</v>
      </c>
      <c r="U15" s="25">
        <v>0.72</v>
      </c>
      <c r="V15" s="25"/>
      <c r="W15" s="25"/>
    </row>
    <row r="16" spans="1:25" s="9" customFormat="1" x14ac:dyDescent="0.3">
      <c r="A16" s="8" t="s">
        <v>13</v>
      </c>
      <c r="B16" s="25">
        <v>0.56999999999999995</v>
      </c>
      <c r="C16" s="29">
        <v>0.76</v>
      </c>
      <c r="D16" s="14">
        <v>1192</v>
      </c>
      <c r="E16" s="25">
        <f>0.6+0.14</f>
        <v>0.74</v>
      </c>
      <c r="F16" s="25">
        <f>0.6+0.14</f>
        <v>0.74</v>
      </c>
      <c r="G16" s="25"/>
      <c r="H16" s="29">
        <f>832/I16</f>
        <v>0.7570518653321201</v>
      </c>
      <c r="I16" s="14">
        <v>1099</v>
      </c>
      <c r="J16" s="25">
        <v>0.83</v>
      </c>
      <c r="K16" s="21">
        <v>18</v>
      </c>
      <c r="L16" s="25"/>
      <c r="M16" s="25"/>
      <c r="N16" s="18">
        <v>1029</v>
      </c>
      <c r="O16" s="25"/>
      <c r="P16" s="18"/>
      <c r="Q16" s="18"/>
      <c r="R16" s="25"/>
      <c r="S16" s="25"/>
      <c r="T16" s="25"/>
      <c r="U16" s="25"/>
      <c r="V16" s="25"/>
      <c r="W16" s="25"/>
    </row>
    <row r="17" spans="1:23" s="3" customFormat="1" x14ac:dyDescent="0.3">
      <c r="A17" s="2" t="s">
        <v>14</v>
      </c>
      <c r="B17" s="24">
        <v>0.57999999999999996</v>
      </c>
      <c r="C17" s="30">
        <v>0.75</v>
      </c>
      <c r="D17" s="15">
        <v>8455</v>
      </c>
      <c r="E17" s="24">
        <f>0.63+0.18</f>
        <v>0.81</v>
      </c>
      <c r="F17" s="24">
        <f>0.63+0.18</f>
        <v>0.81</v>
      </c>
      <c r="G17" s="24"/>
      <c r="H17" s="30">
        <f>(6200+246+13)/I17</f>
        <v>0.74886956521739134</v>
      </c>
      <c r="I17" s="24">
        <f>8264+343+18</f>
        <v>8625</v>
      </c>
      <c r="J17" s="24">
        <v>0.83</v>
      </c>
      <c r="K17" s="19">
        <v>262</v>
      </c>
      <c r="L17" s="24"/>
      <c r="M17" s="24"/>
      <c r="N17" s="19">
        <f>7294+261</f>
        <v>7555</v>
      </c>
      <c r="O17" s="24"/>
      <c r="P17" s="19">
        <v>189</v>
      </c>
      <c r="Q17" s="19"/>
      <c r="R17" s="24"/>
      <c r="S17" s="24"/>
      <c r="T17" s="24">
        <v>0.44</v>
      </c>
      <c r="U17" s="24">
        <v>0.72</v>
      </c>
      <c r="V17" s="24"/>
      <c r="W17" s="24"/>
    </row>
    <row r="18" spans="1:23" x14ac:dyDescent="0.3">
      <c r="A18" s="1" t="s">
        <v>20</v>
      </c>
      <c r="B18" s="36"/>
      <c r="C18" s="36"/>
      <c r="D18" s="39"/>
      <c r="E18" s="36">
        <v>3</v>
      </c>
      <c r="F18" s="36"/>
      <c r="G18" s="36"/>
      <c r="H18" s="36"/>
      <c r="I18" s="36"/>
      <c r="J18" s="36">
        <v>3</v>
      </c>
      <c r="O18" s="36">
        <v>3</v>
      </c>
    </row>
    <row r="20" spans="1:23" x14ac:dyDescent="0.3">
      <c r="I20" t="s">
        <v>24</v>
      </c>
      <c r="N20" t="s">
        <v>24</v>
      </c>
      <c r="S20" t="s">
        <v>24</v>
      </c>
    </row>
    <row r="21" spans="1:23" x14ac:dyDescent="0.3">
      <c r="B21" s="27" t="s">
        <v>31</v>
      </c>
      <c r="C21" s="27"/>
      <c r="D21" s="41"/>
      <c r="E21" s="27"/>
      <c r="F21" s="27"/>
      <c r="G21" s="27" t="s">
        <v>31</v>
      </c>
      <c r="H21" s="27"/>
      <c r="I21" s="27"/>
      <c r="J21" s="27"/>
      <c r="K21" s="27"/>
      <c r="L21" s="27"/>
      <c r="M21" s="27"/>
      <c r="N21" s="27"/>
      <c r="O21" s="27"/>
      <c r="P21" s="27"/>
    </row>
    <row r="22" spans="1:23" x14ac:dyDescent="0.3">
      <c r="B22" s="28" t="s">
        <v>36</v>
      </c>
      <c r="C22" s="28"/>
      <c r="D22" s="42"/>
      <c r="E22" s="28"/>
      <c r="F22" s="28"/>
      <c r="G22" s="28" t="s">
        <v>36</v>
      </c>
      <c r="H22" s="28"/>
      <c r="I22" s="28"/>
      <c r="J22" s="28"/>
      <c r="K22" s="28"/>
      <c r="O22" s="28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3" sqref="F23"/>
    </sheetView>
  </sheetViews>
  <sheetFormatPr defaultColWidth="8.77734375" defaultRowHeight="14.4" x14ac:dyDescent="0.3"/>
  <cols>
    <col min="1" max="1" width="8.77734375" style="1"/>
  </cols>
  <sheetData>
    <row r="1" spans="1:2" s="1" customFormat="1" x14ac:dyDescent="0.3">
      <c r="A1" s="1" t="s">
        <v>22</v>
      </c>
      <c r="B1" s="1" t="s">
        <v>23</v>
      </c>
    </row>
    <row r="2" spans="1:2" x14ac:dyDescent="0.3">
      <c r="A2" s="1">
        <v>2010</v>
      </c>
    </row>
    <row r="3" spans="1:2" x14ac:dyDescent="0.3">
      <c r="A3" s="1">
        <v>2011</v>
      </c>
      <c r="B3">
        <v>0.81599999999999995</v>
      </c>
    </row>
    <row r="4" spans="1:2" x14ac:dyDescent="0.3">
      <c r="A4" s="1">
        <v>2012</v>
      </c>
      <c r="B4">
        <v>0.81899999999999995</v>
      </c>
    </row>
    <row r="5" spans="1:2" x14ac:dyDescent="0.3">
      <c r="A5" s="1">
        <v>2013</v>
      </c>
    </row>
    <row r="6" spans="1:2" x14ac:dyDescent="0.3">
      <c r="A6" s="1">
        <v>2014</v>
      </c>
    </row>
    <row r="7" spans="1:2" x14ac:dyDescent="0.3">
      <c r="A7" s="1">
        <v>2015</v>
      </c>
    </row>
    <row r="8" spans="1:2" x14ac:dyDescent="0.3">
      <c r="A8" s="1">
        <v>2016</v>
      </c>
    </row>
    <row r="9" spans="1:2" x14ac:dyDescent="0.3">
      <c r="A9" s="1">
        <v>2017</v>
      </c>
      <c r="B9">
        <f>28225/(28225+4595)</f>
        <v>0.85999390615478366</v>
      </c>
    </row>
    <row r="10" spans="1:2" x14ac:dyDescent="0.3">
      <c r="A10" s="1">
        <v>2018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20" zoomScaleNormal="120" workbookViewId="0">
      <selection activeCell="A24" sqref="A24"/>
    </sheetView>
  </sheetViews>
  <sheetFormatPr defaultColWidth="8.77734375" defaultRowHeight="14.4" x14ac:dyDescent="0.3"/>
  <cols>
    <col min="1" max="1" width="25.33203125" customWidth="1"/>
  </cols>
  <sheetData>
    <row r="1" spans="1:12" x14ac:dyDescent="0.3">
      <c r="A1" t="s">
        <v>26</v>
      </c>
      <c r="H1" s="1" t="s">
        <v>33</v>
      </c>
    </row>
    <row r="2" spans="1:12" x14ac:dyDescent="0.3">
      <c r="A2" t="s">
        <v>25</v>
      </c>
      <c r="H2" s="34" t="s">
        <v>32</v>
      </c>
      <c r="I2" s="34"/>
      <c r="J2" s="34"/>
      <c r="K2" s="34"/>
      <c r="L2" s="34"/>
    </row>
    <row r="4" spans="1:12" x14ac:dyDescent="0.3">
      <c r="A4" t="s">
        <v>27</v>
      </c>
      <c r="B4" s="10"/>
      <c r="H4" t="s">
        <v>34</v>
      </c>
    </row>
    <row r="6" spans="1:12" x14ac:dyDescent="0.3">
      <c r="A6" t="s">
        <v>30</v>
      </c>
    </row>
    <row r="7" spans="1:12" x14ac:dyDescent="0.3">
      <c r="A7" s="11" t="s">
        <v>29</v>
      </c>
    </row>
    <row r="8" spans="1:12" x14ac:dyDescent="0.3">
      <c r="A8" s="35" t="s">
        <v>28</v>
      </c>
      <c r="B8" s="34"/>
      <c r="C8" s="34"/>
      <c r="D8" s="34"/>
      <c r="E8" s="34"/>
      <c r="F8" s="34"/>
    </row>
    <row r="11" spans="1:12" x14ac:dyDescent="0.3">
      <c r="A11" t="s">
        <v>37</v>
      </c>
    </row>
    <row r="12" spans="1:12" x14ac:dyDescent="0.3">
      <c r="A12" s="11" t="s">
        <v>38</v>
      </c>
    </row>
    <row r="13" spans="1:12" x14ac:dyDescent="0.3">
      <c r="A13" t="s">
        <v>43</v>
      </c>
    </row>
    <row r="15" spans="1:12" x14ac:dyDescent="0.3">
      <c r="A15" s="11" t="s">
        <v>40</v>
      </c>
    </row>
    <row r="16" spans="1:12" x14ac:dyDescent="0.3">
      <c r="A16" t="s">
        <v>39</v>
      </c>
    </row>
    <row r="18" spans="1:8" x14ac:dyDescent="0.3">
      <c r="A18" t="s">
        <v>41</v>
      </c>
    </row>
    <row r="19" spans="1:8" x14ac:dyDescent="0.3">
      <c r="A19" t="s">
        <v>42</v>
      </c>
    </row>
    <row r="21" spans="1:8" x14ac:dyDescent="0.3">
      <c r="A21" t="s">
        <v>44</v>
      </c>
      <c r="H21" t="s">
        <v>35</v>
      </c>
    </row>
    <row r="23" spans="1:8" x14ac:dyDescent="0.3">
      <c r="A23" t="s">
        <v>45</v>
      </c>
    </row>
    <row r="24" spans="1:8" x14ac:dyDescent="0.3">
      <c r="A24" t="s">
        <v>46</v>
      </c>
    </row>
  </sheetData>
  <hyperlinks>
    <hyperlink ref="A8" r:id="rId1"/>
    <hyperlink ref="A7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Stratified_Data</vt:lpstr>
      <vt:lpstr>Total_Data</vt:lpstr>
      <vt:lpstr>Comments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2020-05-23T13:38:33Z</dcterms:created>
  <dcterms:modified xsi:type="dcterms:W3CDTF">2020-06-18T14:37:29Z</dcterms:modified>
</cp:coreProperties>
</file>