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processed\"/>
    </mc:Choice>
  </mc:AlternateContent>
  <bookViews>
    <workbookView xWindow="0" yWindow="0" windowWidth="10116" windowHeight="5136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5" i="1"/>
  <c r="E13" i="1"/>
  <c r="E12" i="1"/>
  <c r="E11" i="1"/>
  <c r="E10" i="1"/>
  <c r="E9" i="1"/>
  <c r="F17" i="1"/>
  <c r="F15" i="1"/>
  <c r="F13" i="1"/>
  <c r="F12" i="1"/>
  <c r="F11" i="1"/>
  <c r="F10" i="1"/>
  <c r="F9" i="1"/>
  <c r="J17" i="1"/>
  <c r="J15" i="1"/>
  <c r="J13" i="1"/>
  <c r="J12" i="1"/>
  <c r="J11" i="1"/>
  <c r="J10" i="1"/>
  <c r="J9" i="1"/>
  <c r="K17" i="1"/>
  <c r="K13" i="1"/>
  <c r="K12" i="1"/>
  <c r="K11" i="1"/>
  <c r="K10" i="1"/>
  <c r="K9" i="1"/>
  <c r="O15" i="1"/>
  <c r="O17" i="1"/>
  <c r="O13" i="1"/>
  <c r="O12" i="1"/>
  <c r="O11" i="1"/>
  <c r="O10" i="1"/>
  <c r="O9" i="1"/>
  <c r="P17" i="1"/>
  <c r="P15" i="1"/>
  <c r="P13" i="1"/>
  <c r="P12" i="1"/>
  <c r="P11" i="1"/>
  <c r="P10" i="1"/>
  <c r="P9" i="1"/>
  <c r="D17" i="1"/>
  <c r="C17" i="1"/>
  <c r="D15" i="1"/>
  <c r="C15" i="1"/>
  <c r="D13" i="1"/>
  <c r="C13" i="1"/>
  <c r="D12" i="1"/>
  <c r="C12" i="1"/>
  <c r="D11" i="1"/>
  <c r="C11" i="1"/>
  <c r="D10" i="1"/>
  <c r="C10" i="1"/>
  <c r="D9" i="1"/>
  <c r="C9" i="1"/>
  <c r="I17" i="1"/>
  <c r="H17" i="1"/>
  <c r="I15" i="1"/>
  <c r="H15" i="1"/>
  <c r="N13" i="1"/>
  <c r="H13" i="1"/>
  <c r="N12" i="1"/>
  <c r="H12" i="1"/>
  <c r="I11" i="1"/>
  <c r="H11" i="1"/>
  <c r="I10" i="1"/>
  <c r="H10" i="1"/>
  <c r="I9" i="1"/>
  <c r="H9" i="1"/>
  <c r="N17" i="1"/>
  <c r="M17" i="1"/>
  <c r="N15" i="1"/>
  <c r="M15" i="1"/>
  <c r="M13" i="1"/>
  <c r="M12" i="1"/>
  <c r="N11" i="1"/>
  <c r="M11" i="1"/>
  <c r="N10" i="1"/>
  <c r="M10" i="1"/>
  <c r="N9" i="1"/>
  <c r="M9" i="1"/>
  <c r="B17" i="1"/>
  <c r="B15" i="1"/>
  <c r="B13" i="1"/>
  <c r="B11" i="1"/>
  <c r="B12" i="1"/>
  <c r="B10" i="1"/>
  <c r="B9" i="1"/>
  <c r="G17" i="1"/>
  <c r="G15" i="1"/>
  <c r="I13" i="1"/>
  <c r="G13" i="1"/>
  <c r="I12" i="1"/>
  <c r="G12" i="1"/>
  <c r="G11" i="1"/>
  <c r="G10" i="1"/>
  <c r="G9" i="1"/>
  <c r="L17" i="1"/>
  <c r="L15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<sst xmlns="http://schemas.openxmlformats.org/spreadsheetml/2006/main" count="43" uniqueCount="29">
  <si>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</si>
  <si>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</si>
  <si>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</si>
  <si>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</si>
  <si>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</si>
  <si>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</si>
  <si>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</si>
  <si>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</si>
  <si>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</si>
  <si>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</si>
  <si>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</si>
  <si>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</si>
  <si>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</si>
  <si>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</si>
  <si>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</si>
  <si>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</si>
  <si>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</si>
  <si>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</si>
  <si>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</si>
  <si>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</si>
  <si>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</si>
  <si>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</si>
  <si>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</si>
  <si>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</si>
  <si>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>http://miamidade.floridahealth.gov/programs-and-services/infectious-disease-services/hiv-aids-services/hiv-surveillance.html</t>
  </si>
  <si>
    <t>https://www.testmiami.org/static/sitefiles/documents/Miami_EMA_-_Integrated_Plan_-_Narrative_9-19-16_final.pdf</t>
  </si>
  <si>
    <t>2016-2018</t>
  </si>
  <si>
    <t>2015 totals from</t>
  </si>
  <si>
    <t>From Miami Dade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</si>
</sst>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4.4" x14ac:dyDescent="0.3"/>
  <cols>
    <col min="1" max="1" width="13.33203125" style="1" customWidth="1"/>
  </cols>
  <sheetData>
    <row r="1" spans="1:41" s="1" customFormat="1" x14ac:dyDescent="0.3">
      <c r="A1" s="1" t="s">
        <v>22</v>
      </c>
      <c r="B1" s="1" t="s">
        <v>16</v>
      </c>
      <c r="C1" s="1" t="s">
        <v>21</v>
      </c>
      <c r="D1" s="1" t="s">
        <v>17</v>
      </c>
      <c r="E1" s="1" t="s">
        <v>18</v>
      </c>
      <c r="F1" s="1" t="s">
        <v>19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21</v>
      </c>
      <c r="N1" s="1" t="s">
        <v>17</v>
      </c>
      <c r="O1" s="1" t="s">
        <v>18</v>
      </c>
      <c r="P1" s="1" t="s">
        <v>19</v>
      </c>
      <c r="Q1" s="1" t="s">
        <v>16</v>
      </c>
      <c r="R1" s="1" t="s">
        <v>21</v>
      </c>
      <c r="S1" s="1" t="s">
        <v>17</v>
      </c>
    </row>
    <row r="2" spans="1:41" s="1" customFormat="1" x14ac:dyDescent="0.3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2017</v>
      </c>
      <c r="H2" s="1">
        <v>2016</v>
      </c>
      <c r="I2" s="1">
        <v>2017</v>
      </c>
      <c r="J2" s="1">
        <v>2017</v>
      </c>
      <c r="K2" s="1">
        <v>2017</v>
      </c>
      <c r="L2" s="1">
        <v>2016</v>
      </c>
      <c r="M2" s="1">
        <v>2016</v>
      </c>
      <c r="N2" s="1">
        <v>2016</v>
      </c>
      <c r="O2" s="1">
        <v>2016</v>
      </c>
      <c r="P2" s="1">
        <v>2016</v>
      </c>
      <c r="Q2" s="1">
        <v>2015</v>
      </c>
      <c r="R2" s="1">
        <v>2015</v>
      </c>
      <c r="S2" s="1">
        <v>2015</v>
      </c>
    </row>
    <row r="3" spans="1:41" s="5" customFormat="1" x14ac:dyDescent="0.3">
      <c r="A3" s="4" t="s">
        <v>0</v>
      </c>
      <c r="B3" s="5">
        <v>0.59899999999999998</v>
      </c>
      <c r="C3" s="5">
        <v>0.69099999999999995</v>
      </c>
      <c r="D3" s="5">
        <v>28345</v>
      </c>
      <c r="E3" s="5">
        <v>0.89900000000000002</v>
      </c>
      <c r="F3" s="5">
        <v>1224</v>
      </c>
      <c r="G3" s="5">
        <v>0.58299999999999996</v>
      </c>
      <c r="H3" s="5">
        <v>0.68799999999999994</v>
      </c>
      <c r="I3" s="5">
        <v>28055</v>
      </c>
      <c r="J3" s="5">
        <v>0.89500000000000002</v>
      </c>
      <c r="K3" s="5">
        <v>1164</v>
      </c>
      <c r="L3" s="5">
        <v>0.56899999999999995</v>
      </c>
      <c r="M3" s="5">
        <v>0.68300000000000005</v>
      </c>
      <c r="N3" s="5">
        <v>27739</v>
      </c>
      <c r="O3" s="5">
        <v>0.85199999999999998</v>
      </c>
      <c r="P3" s="5">
        <v>1260</v>
      </c>
      <c r="Q3" s="5">
        <v>0.55000000000000004</v>
      </c>
      <c r="S3" s="5">
        <v>26341</v>
      </c>
    </row>
    <row r="4" spans="1:41" s="7" customFormat="1" x14ac:dyDescent="0.3">
      <c r="A4" s="6" t="s">
        <v>1</v>
      </c>
      <c r="B4" s="7">
        <v>0.52800000000000002</v>
      </c>
      <c r="C4" s="7">
        <v>0.66</v>
      </c>
      <c r="D4" s="7">
        <v>11894</v>
      </c>
      <c r="E4" s="7">
        <v>0.81299999999999994</v>
      </c>
      <c r="F4" s="7">
        <v>352</v>
      </c>
      <c r="G4" s="7">
        <v>0.51400000000000001</v>
      </c>
      <c r="H4" s="7">
        <v>0.66100000000000003</v>
      </c>
      <c r="I4" s="7">
        <v>11983</v>
      </c>
      <c r="J4" s="7">
        <v>0.84599999999999997</v>
      </c>
      <c r="K4" s="7">
        <v>369</v>
      </c>
      <c r="L4" s="7">
        <v>0.499</v>
      </c>
      <c r="M4" s="7">
        <v>0.65500000000000003</v>
      </c>
      <c r="N4" s="7">
        <v>11982</v>
      </c>
      <c r="O4" s="7">
        <v>0.80800000000000005</v>
      </c>
      <c r="P4" s="7">
        <v>375</v>
      </c>
    </row>
    <row r="5" spans="1:41" s="9" customFormat="1" x14ac:dyDescent="0.3">
      <c r="A5" s="8" t="s">
        <v>2</v>
      </c>
      <c r="B5" s="9">
        <v>0.66500000000000004</v>
      </c>
      <c r="C5" s="9">
        <v>0.73</v>
      </c>
      <c r="D5" s="9">
        <v>13030</v>
      </c>
      <c r="E5" s="10">
        <v>0.93200000000000005</v>
      </c>
      <c r="F5" s="10">
        <v>725</v>
      </c>
      <c r="G5" s="10">
        <v>0.65300000000000002</v>
      </c>
      <c r="H5" s="9">
        <v>0.72799999999999998</v>
      </c>
      <c r="I5" s="9">
        <v>12668</v>
      </c>
      <c r="J5" s="10">
        <v>0.92300000000000004</v>
      </c>
      <c r="K5" s="10">
        <v>692</v>
      </c>
      <c r="L5" s="10">
        <v>0.63900000000000001</v>
      </c>
      <c r="M5" s="10">
        <v>0.72199999999999998</v>
      </c>
      <c r="N5" s="10">
        <v>12308</v>
      </c>
      <c r="O5" s="9">
        <v>0.88</v>
      </c>
      <c r="P5" s="10">
        <v>767</v>
      </c>
      <c r="Q5" s="10"/>
      <c r="R5" s="10"/>
      <c r="S5" s="10"/>
      <c r="T5" s="10"/>
      <c r="U5" s="10"/>
      <c r="V5" s="10"/>
      <c r="X5" s="10"/>
      <c r="AA5" s="10"/>
      <c r="AC5" s="10"/>
      <c r="AF5" s="10"/>
      <c r="AH5" s="10"/>
      <c r="AK5" s="10"/>
      <c r="AM5" s="10"/>
      <c r="AN5" s="10"/>
      <c r="AO5" s="10"/>
    </row>
    <row r="6" spans="1:41" s="3" customFormat="1" x14ac:dyDescent="0.3">
      <c r="A6" s="2" t="s">
        <v>3</v>
      </c>
      <c r="B6" s="3">
        <v>0.59299999999999997</v>
      </c>
      <c r="C6" s="3">
        <v>0.64700000000000002</v>
      </c>
      <c r="D6" s="3">
        <v>3047</v>
      </c>
      <c r="E6" s="3">
        <v>0.94199999999999995</v>
      </c>
      <c r="F6" s="3">
        <v>137</v>
      </c>
      <c r="G6" s="3">
        <v>0.56999999999999995</v>
      </c>
      <c r="H6" s="3">
        <v>0.63400000000000001</v>
      </c>
      <c r="I6" s="3">
        <v>3035</v>
      </c>
      <c r="J6" s="3">
        <v>0.876</v>
      </c>
      <c r="K6" s="3">
        <v>97</v>
      </c>
      <c r="L6" s="3">
        <v>0.56699999999999995</v>
      </c>
      <c r="M6" s="3">
        <v>0.63500000000000001</v>
      </c>
      <c r="N6" s="3">
        <v>3069</v>
      </c>
      <c r="O6" s="3">
        <v>0.80700000000000005</v>
      </c>
      <c r="P6" s="3">
        <v>109</v>
      </c>
    </row>
    <row r="7" spans="1:41" s="7" customFormat="1" x14ac:dyDescent="0.3">
      <c r="A7" s="6" t="s">
        <v>4</v>
      </c>
      <c r="B7" s="7">
        <v>0.60899999999999999</v>
      </c>
      <c r="C7" s="7">
        <v>0.68899999999999995</v>
      </c>
      <c r="D7" s="7">
        <v>21213</v>
      </c>
      <c r="E7" s="7">
        <v>0.91400000000000003</v>
      </c>
      <c r="F7" s="7">
        <v>1017</v>
      </c>
      <c r="G7" s="7">
        <v>0.59299999999999997</v>
      </c>
      <c r="H7" s="7">
        <v>0.68700000000000006</v>
      </c>
      <c r="I7" s="7">
        <v>20901</v>
      </c>
      <c r="J7" s="7">
        <v>0.90300000000000002</v>
      </c>
      <c r="K7" s="7">
        <v>930</v>
      </c>
      <c r="L7" s="7">
        <v>0.57999999999999996</v>
      </c>
      <c r="M7" s="7">
        <v>0.67900000000000005</v>
      </c>
      <c r="N7" s="7">
        <v>20580</v>
      </c>
      <c r="O7" s="7">
        <v>0.86099999999999999</v>
      </c>
      <c r="P7" s="7">
        <v>1028</v>
      </c>
    </row>
    <row r="8" spans="1:41" s="3" customFormat="1" x14ac:dyDescent="0.3">
      <c r="A8" s="2" t="s">
        <v>5</v>
      </c>
      <c r="B8" s="3">
        <v>0.56699999999999995</v>
      </c>
      <c r="C8" s="3">
        <v>0.69799999999999995</v>
      </c>
      <c r="D8" s="3">
        <v>7132</v>
      </c>
      <c r="E8" s="3">
        <v>0.82099999999999995</v>
      </c>
      <c r="F8" s="3">
        <v>207</v>
      </c>
      <c r="G8" s="3">
        <v>0.55600000000000005</v>
      </c>
      <c r="H8" s="3">
        <v>0.69399999999999995</v>
      </c>
      <c r="I8" s="3">
        <v>7154</v>
      </c>
      <c r="J8" s="3">
        <v>0.86299999999999999</v>
      </c>
      <c r="K8" s="3">
        <v>234</v>
      </c>
      <c r="L8" s="3">
        <v>0.53900000000000003</v>
      </c>
      <c r="M8" s="3">
        <v>0.69299999999999995</v>
      </c>
      <c r="N8" s="3">
        <v>7159</v>
      </c>
      <c r="O8" s="3">
        <v>0.81499999999999995</v>
      </c>
      <c r="P8" s="3">
        <v>232</v>
      </c>
    </row>
    <row r="9" spans="1:41" s="7" customFormat="1" x14ac:dyDescent="0.3">
      <c r="A9" s="6" t="s">
        <v>6</v>
      </c>
      <c r="B9" s="7">
        <f>(45+332)/D9</f>
        <v>0.57910906298003073</v>
      </c>
      <c r="C9" s="7">
        <f>(85+436)/D9</f>
        <v>0.80030721966205842</v>
      </c>
      <c r="D9" s="7">
        <f>100+551</f>
        <v>651</v>
      </c>
      <c r="E9" s="7">
        <f>(36+106)/F9</f>
        <v>0.86585365853658536</v>
      </c>
      <c r="F9" s="7">
        <f>41+123</f>
        <v>164</v>
      </c>
      <c r="G9" s="7">
        <f>(62+323)/I9</f>
        <v>0.5515759312320917</v>
      </c>
      <c r="H9" s="7">
        <f>(103+444)/I9</f>
        <v>0.78366762177650429</v>
      </c>
      <c r="I9" s="7">
        <f>117+581</f>
        <v>698</v>
      </c>
      <c r="J9" s="10">
        <f>(36+89)/K9</f>
        <v>0.86206896551724133</v>
      </c>
      <c r="K9" s="7">
        <f>41+104</f>
        <v>145</v>
      </c>
      <c r="L9" s="7">
        <f>(59+358)/N9</f>
        <v>0.53256704980842917</v>
      </c>
      <c r="M9" s="7">
        <f>(106+520)/N9</f>
        <v>0.79948914431673057</v>
      </c>
      <c r="N9" s="7">
        <f>129+654</f>
        <v>783</v>
      </c>
      <c r="O9" s="7">
        <f>(35+122)/P9</f>
        <v>0.81347150259067358</v>
      </c>
      <c r="P9" s="7">
        <f>45+148</f>
        <v>193</v>
      </c>
    </row>
    <row r="10" spans="1:41" s="9" customFormat="1" x14ac:dyDescent="0.3">
      <c r="A10" s="8" t="s">
        <v>7</v>
      </c>
      <c r="B10" s="9">
        <f>(954+1359)/D10</f>
        <v>0.628361858190709</v>
      </c>
      <c r="C10" s="9">
        <f>(1196+1637)/D10</f>
        <v>0.769627818527574</v>
      </c>
      <c r="D10" s="9">
        <f>1522+2159</f>
        <v>3681</v>
      </c>
      <c r="E10" s="10">
        <f>(202+174)/F10</f>
        <v>0.90167865707434047</v>
      </c>
      <c r="F10" s="9">
        <f>225+192</f>
        <v>417</v>
      </c>
      <c r="G10" s="10">
        <f>(940+1250)/I10</f>
        <v>0.59077421095225247</v>
      </c>
      <c r="H10" s="9">
        <f>(1211+1576)/I10</f>
        <v>0.75182087941731857</v>
      </c>
      <c r="I10" s="9">
        <f>1574+2133</f>
        <v>3707</v>
      </c>
      <c r="J10" s="10">
        <f>(182+187)/K10</f>
        <v>0.8848920863309353</v>
      </c>
      <c r="K10" s="9">
        <f>205+212</f>
        <v>417</v>
      </c>
      <c r="L10" s="10">
        <f>(886+1118)/N10</f>
        <v>0.56040268456375841</v>
      </c>
      <c r="M10" s="9">
        <f>(1205+1423)/N10</f>
        <v>0.7348993288590604</v>
      </c>
      <c r="N10" s="10">
        <f>1590+1986</f>
        <v>3576</v>
      </c>
      <c r="O10" s="9">
        <f>(189+173)/P10</f>
        <v>0.87228915662650608</v>
      </c>
      <c r="P10" s="9">
        <f>217+198</f>
        <v>415</v>
      </c>
      <c r="Q10" s="10"/>
      <c r="R10" s="10"/>
      <c r="AF10" s="10"/>
      <c r="AI10" s="10"/>
      <c r="AK10" s="10"/>
      <c r="AN10" s="10"/>
    </row>
    <row r="11" spans="1:41" s="9" customFormat="1" x14ac:dyDescent="0.3">
      <c r="A11" s="8" t="s">
        <v>8</v>
      </c>
      <c r="B11" s="9">
        <f>(1449+1538)/D11</f>
        <v>0.59395506064824022</v>
      </c>
      <c r="C11" s="9">
        <f>(1714+1797)/D11</f>
        <v>0.69815072579041559</v>
      </c>
      <c r="D11" s="9">
        <f>2419+2610</f>
        <v>5029</v>
      </c>
      <c r="E11" s="9">
        <f>(134+107)/F11</f>
        <v>0.94509803921568625</v>
      </c>
      <c r="F11" s="9">
        <f>146+109</f>
        <v>255</v>
      </c>
      <c r="G11" s="10">
        <f>(1307+1546)/I11</f>
        <v>0.56957476542223995</v>
      </c>
      <c r="H11" s="9">
        <f>(1618+1879)/I11</f>
        <v>0.69814334198442807</v>
      </c>
      <c r="I11" s="9">
        <f>2316+2693</f>
        <v>5009</v>
      </c>
      <c r="J11" s="10">
        <f>(136+100)/K11</f>
        <v>0.92549019607843142</v>
      </c>
      <c r="K11" s="9">
        <f>150+105</f>
        <v>255</v>
      </c>
      <c r="L11" s="9">
        <f>(1313+1593)/N11</f>
        <v>0.56067914335327029</v>
      </c>
      <c r="M11" s="9">
        <f>(1632+1922)/N11</f>
        <v>0.68570326065984955</v>
      </c>
      <c r="N11" s="9">
        <f>2373+2810</f>
        <v>5183</v>
      </c>
      <c r="O11" s="10">
        <f>(153+118)/P11</f>
        <v>0.86858974358974361</v>
      </c>
      <c r="P11" s="9">
        <f>172+140</f>
        <v>312</v>
      </c>
      <c r="Q11" s="10"/>
      <c r="R11" s="10"/>
      <c r="T11" s="10"/>
      <c r="V11" s="10"/>
      <c r="AF11" s="10"/>
      <c r="AI11" s="10"/>
      <c r="AK11" s="10"/>
      <c r="AN11" s="10"/>
    </row>
    <row r="12" spans="1:41" s="9" customFormat="1" x14ac:dyDescent="0.3">
      <c r="A12" s="8" t="s">
        <v>9</v>
      </c>
      <c r="B12" s="9">
        <f>(2097+2808)/D12</f>
        <v>0.61022642448370246</v>
      </c>
      <c r="C12" s="9">
        <f>(2399+3161)/D12</f>
        <v>0.69171435680517546</v>
      </c>
      <c r="D12" s="9">
        <f>3477+4561</f>
        <v>8038</v>
      </c>
      <c r="E12" s="9">
        <f>(103+83)/F12</f>
        <v>0.90291262135922334</v>
      </c>
      <c r="F12" s="9">
        <f>116+90</f>
        <v>206</v>
      </c>
      <c r="G12" s="10">
        <f>(2175+2846)/I12</f>
        <v>0.59448259531139003</v>
      </c>
      <c r="H12" s="9">
        <f>(2539+3265)/N12</f>
        <v>0.65544889892715985</v>
      </c>
      <c r="I12" s="9">
        <f>3701+4745</f>
        <v>8446</v>
      </c>
      <c r="J12" s="10">
        <f>(87+83)/K12</f>
        <v>0.91397849462365588</v>
      </c>
      <c r="K12" s="9">
        <f>92+94</f>
        <v>186</v>
      </c>
      <c r="L12" s="10">
        <f>(2217+2943)/N12</f>
        <v>0.5827216261998871</v>
      </c>
      <c r="M12" s="9">
        <f>(2655+3395)/N12</f>
        <v>0.68322981366459623</v>
      </c>
      <c r="N12" s="9">
        <f>3885+4970</f>
        <v>8855</v>
      </c>
      <c r="O12" s="9">
        <f>(96+75)/P12</f>
        <v>0.8423645320197044</v>
      </c>
      <c r="P12" s="9">
        <f>115+88</f>
        <v>203</v>
      </c>
      <c r="R12" s="10"/>
      <c r="AF12" s="10"/>
      <c r="AI12" s="10"/>
      <c r="AK12" s="10"/>
      <c r="AN12" s="10"/>
    </row>
    <row r="13" spans="1:41" s="3" customFormat="1" x14ac:dyDescent="0.3">
      <c r="A13" s="2" t="s">
        <v>10</v>
      </c>
      <c r="B13" s="3">
        <f>(2653+3712)/D13</f>
        <v>0.58292883963732944</v>
      </c>
      <c r="C13" s="3">
        <f>(3017+4123)/D13</f>
        <v>0.6539060353512226</v>
      </c>
      <c r="D13" s="9">
        <f>4454+6465</f>
        <v>10919</v>
      </c>
      <c r="E13" s="3">
        <f>(82+73)/F13</f>
        <v>0.85164835164835162</v>
      </c>
      <c r="F13" s="3">
        <f>94+88</f>
        <v>182</v>
      </c>
      <c r="G13" s="9">
        <f>(2529+3365)/I13</f>
        <v>0.57988980716253447</v>
      </c>
      <c r="H13" s="3">
        <f>(2890+3758)/N13</f>
        <v>0.71391752577319589</v>
      </c>
      <c r="I13" s="9">
        <f>4260+5904</f>
        <v>10164</v>
      </c>
      <c r="J13" s="10">
        <f>(49+91)/K13</f>
        <v>0.88050314465408808</v>
      </c>
      <c r="K13" s="3">
        <f>58+101</f>
        <v>159</v>
      </c>
      <c r="L13" s="3">
        <f>(2359+2927)/N13</f>
        <v>0.56765463917525771</v>
      </c>
      <c r="M13" s="3">
        <f>(2699+3356)/N13</f>
        <v>0.65023625429553267</v>
      </c>
      <c r="N13" s="3">
        <f>4001+5311</f>
        <v>9312</v>
      </c>
      <c r="O13" s="3">
        <f>(53+56)/P13</f>
        <v>0.81954887218045114</v>
      </c>
      <c r="P13" s="3">
        <f>62+71</f>
        <v>133</v>
      </c>
    </row>
    <row r="14" spans="1:41" s="7" customFormat="1" x14ac:dyDescent="0.3">
      <c r="A14" s="6" t="s">
        <v>11</v>
      </c>
      <c r="B14" s="7">
        <v>0.65100000000000002</v>
      </c>
      <c r="C14" s="7">
        <v>0.71899999999999997</v>
      </c>
      <c r="D14" s="7">
        <v>15481</v>
      </c>
      <c r="E14" s="7">
        <v>0.93300000000000005</v>
      </c>
      <c r="F14" s="7">
        <v>842</v>
      </c>
      <c r="G14" s="7">
        <v>0.61899999999999999</v>
      </c>
      <c r="H14" s="7">
        <v>0.71599999999999997</v>
      </c>
      <c r="I14" s="7">
        <v>15173</v>
      </c>
      <c r="J14" s="7">
        <v>0.91500000000000004</v>
      </c>
      <c r="K14" s="7">
        <v>779</v>
      </c>
      <c r="L14" s="7">
        <v>0.61899999999999999</v>
      </c>
      <c r="M14" s="7">
        <v>0.70799999999999996</v>
      </c>
      <c r="N14" s="7">
        <v>14823</v>
      </c>
      <c r="O14" s="7">
        <v>0.875</v>
      </c>
      <c r="P14" s="7">
        <v>875</v>
      </c>
    </row>
    <row r="15" spans="1:41" s="9" customFormat="1" x14ac:dyDescent="0.3">
      <c r="A15" s="8" t="s">
        <v>12</v>
      </c>
      <c r="B15" s="9">
        <f>(393+364)/D15</f>
        <v>0.46873065015479876</v>
      </c>
      <c r="C15" s="9">
        <f>(481+479)/D15</f>
        <v>0.59442724458204332</v>
      </c>
      <c r="D15" s="9">
        <f>946+669</f>
        <v>1615</v>
      </c>
      <c r="E15" s="9">
        <f>18/F15</f>
        <v>0.8571428571428571</v>
      </c>
      <c r="F15" s="10">
        <f>15+6</f>
        <v>21</v>
      </c>
      <c r="G15" s="9">
        <f>(384+360)/I15</f>
        <v>0.45448992058643861</v>
      </c>
      <c r="H15" s="9">
        <f>(483+482)/I15</f>
        <v>0.58949297495418451</v>
      </c>
      <c r="I15" s="9">
        <f>956+681</f>
        <v>1637</v>
      </c>
      <c r="J15" s="9">
        <f>12/K15</f>
        <v>0.70588235294117652</v>
      </c>
      <c r="K15" s="10">
        <v>17</v>
      </c>
      <c r="L15" s="10">
        <f>(412+355)/N15</f>
        <v>0.44932630345635616</v>
      </c>
      <c r="M15" s="9">
        <f>(506+526)/N15</f>
        <v>0.60456942003514935</v>
      </c>
      <c r="N15" s="10">
        <f>980+727</f>
        <v>1707</v>
      </c>
      <c r="O15" s="10">
        <f>12/P15</f>
        <v>0.63157894736842102</v>
      </c>
      <c r="P15" s="9">
        <f>12+7</f>
        <v>19</v>
      </c>
      <c r="Q15" s="10"/>
      <c r="R15" s="10"/>
      <c r="S15" s="10"/>
      <c r="T15" s="10"/>
      <c r="V15" s="10"/>
      <c r="X15" s="10"/>
      <c r="AA15" s="10"/>
      <c r="AC15" s="10"/>
      <c r="AF15" s="10"/>
      <c r="AH15" s="10"/>
      <c r="AI15" s="10"/>
      <c r="AK15" s="10"/>
      <c r="AM15" s="10"/>
      <c r="AN15" s="10"/>
    </row>
    <row r="16" spans="1:41" s="9" customFormat="1" x14ac:dyDescent="0.3">
      <c r="A16" s="8" t="s">
        <v>13</v>
      </c>
      <c r="B16" s="10">
        <v>0.53700000000000003</v>
      </c>
      <c r="C16" s="9">
        <v>0.67600000000000005</v>
      </c>
      <c r="D16" s="9">
        <v>750</v>
      </c>
      <c r="E16" s="10">
        <v>1</v>
      </c>
      <c r="F16" s="10">
        <v>8</v>
      </c>
      <c r="G16" s="9">
        <v>0.52800000000000002</v>
      </c>
      <c r="H16" s="9">
        <v>0.68300000000000005</v>
      </c>
      <c r="I16" s="9">
        <v>776</v>
      </c>
      <c r="J16" s="10">
        <v>0.71399999999999997</v>
      </c>
      <c r="K16" s="10">
        <v>7</v>
      </c>
      <c r="L16" s="10">
        <v>0.52800000000000002</v>
      </c>
      <c r="M16" s="10">
        <v>0.68899999999999995</v>
      </c>
      <c r="N16" s="10">
        <v>792</v>
      </c>
      <c r="O16" s="10">
        <v>0.71399999999999997</v>
      </c>
      <c r="P16" s="10">
        <v>14</v>
      </c>
      <c r="Q16" s="10"/>
      <c r="R16" s="10"/>
      <c r="S16" s="10"/>
      <c r="T16" s="10"/>
      <c r="U16" s="10"/>
      <c r="V16" s="10"/>
      <c r="X16" s="10"/>
      <c r="Y16" s="10"/>
      <c r="AA16" s="10"/>
      <c r="AC16" s="10"/>
      <c r="AF16" s="10"/>
      <c r="AH16" s="10"/>
      <c r="AI16" s="10"/>
      <c r="AK16" s="10"/>
      <c r="AM16" s="10"/>
      <c r="AN16" s="10"/>
    </row>
    <row r="17" spans="1:16" s="3" customFormat="1" x14ac:dyDescent="0.3">
      <c r="A17" s="2" t="s">
        <v>14</v>
      </c>
      <c r="B17" s="3">
        <f>(1986+3593)/D17</f>
        <v>0.55106677202686682</v>
      </c>
      <c r="C17" s="3">
        <f>(2375+4342)/D17</f>
        <v>0.66347293559857767</v>
      </c>
      <c r="D17" s="3">
        <f>3866+6258</f>
        <v>10124</v>
      </c>
      <c r="E17" s="3">
        <f>(122+165)/F17</f>
        <v>1.134387351778656</v>
      </c>
      <c r="F17" s="3">
        <f>152+101</f>
        <v>253</v>
      </c>
      <c r="G17" s="3">
        <f>(1916+3519)/I17</f>
        <v>0.53913302251760742</v>
      </c>
      <c r="H17" s="3">
        <f>(2354+4321)/I17</f>
        <v>0.66213669278841381</v>
      </c>
      <c r="I17" s="3">
        <f>3819+6262</f>
        <v>10081</v>
      </c>
      <c r="J17" s="3">
        <f>(112+197)/K17</f>
        <v>0.85833333333333328</v>
      </c>
      <c r="K17" s="3">
        <f>134+226</f>
        <v>360</v>
      </c>
      <c r="L17" s="3">
        <f>(1865+3410)/N17</f>
        <v>0.52602712405265262</v>
      </c>
      <c r="M17" s="3">
        <f>(2310+4272)/N17</f>
        <v>0.65636218587953732</v>
      </c>
      <c r="N17" s="3">
        <f>3807+6221</f>
        <v>10028</v>
      </c>
      <c r="O17" s="3">
        <f>(101+181)/P17</f>
        <v>0.8080229226361032</v>
      </c>
      <c r="P17" s="3">
        <f>127+222</f>
        <v>349</v>
      </c>
    </row>
    <row r="18" spans="1:16" x14ac:dyDescent="0.3">
      <c r="A18" s="1" t="s">
        <v>20</v>
      </c>
      <c r="E18" s="10">
        <v>3</v>
      </c>
      <c r="J18" s="10">
        <v>3</v>
      </c>
      <c r="O18" s="10">
        <v>3</v>
      </c>
    </row>
    <row r="21" spans="1:16" x14ac:dyDescent="0.3">
      <c r="B21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10"/>
    </sheetView>
  </sheetViews>
  <sheetFormatPr defaultRowHeight="14.4" x14ac:dyDescent="0.3"/>
  <cols>
    <col min="1" max="1" width="8.886718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4.4" x14ac:dyDescent="0.3"/>
  <cols>
    <col min="1" max="1" width="17" customWidth="1"/>
  </cols>
  <sheetData>
    <row r="1" spans="1:2" x14ac:dyDescent="0.3">
      <c r="A1" t="s">
        <v>26</v>
      </c>
      <c r="B1" t="s">
        <v>24</v>
      </c>
    </row>
    <row r="3" spans="1:2" x14ac:dyDescent="0.3">
      <c r="A3" t="s">
        <v>27</v>
      </c>
      <c r="B3" t="s">
        <v>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2022-01-21T20:39:24Z</dcterms:modified>
</cp:coreProperties>
</file>