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tghaddar/GitHub/TarekGhaddarGraduateWork/sweep_optimizer/3d/"/>
    </mc:Choice>
  </mc:AlternateContent>
  <bookViews>
    <workbookView xWindow="29060" yWindow="460" windowWidth="21900" windowHeight="26040" tabRatio="751" activeTab="3"/>
  </bookViews>
  <sheets>
    <sheet name="Summary" sheetId="38" r:id="rId1"/>
    <sheet name="r438" sheetId="42" state="hidden" r:id="rId2"/>
    <sheet name="r701" sheetId="41" state="hidden" r:id="rId3"/>
    <sheet name="2D Cases" sheetId="138" r:id="rId4"/>
    <sheet name="1307 PWLD 1g" sheetId="124" r:id="rId5"/>
    <sheet name="1307 PWLD 1g 4-18" sheetId="128" r:id="rId6"/>
    <sheet name="1307 PWLD 3g" sheetId="127" r:id="rId7"/>
    <sheet name="1432 LD 3g" sheetId="118" r:id="rId8"/>
    <sheet name="1432 LD 27g" sheetId="119" r:id="rId9"/>
    <sheet name="1432 PWLD 3g" sheetId="120" r:id="rId10"/>
    <sheet name="1432 PWLD 27g" sheetId="121" r:id="rId11"/>
    <sheet name="1528 PWLD 1g" sheetId="129" r:id="rId12"/>
    <sheet name="1528 PWLD 3g" sheetId="130" r:id="rId13"/>
    <sheet name="1528 PWLD 27g" sheetId="131" r:id="rId14"/>
    <sheet name="1528 PWLD 27g SA" sheetId="137" r:id="rId15"/>
    <sheet name="1528 PWLD 99g" sheetId="132" r:id="rId16"/>
    <sheet name="1528 LD 1g" sheetId="133" r:id="rId17"/>
    <sheet name="1528 LD 3g" sheetId="134" r:id="rId18"/>
    <sheet name="1528 LD 27g" sheetId="135" r:id="rId19"/>
    <sheet name="1528 LD 99g" sheetId="136" r:id="rId2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38" l="1"/>
  <c r="E10" i="138"/>
  <c r="F10" i="138"/>
  <c r="G10" i="138"/>
  <c r="H10" i="138"/>
  <c r="D21" i="138"/>
  <c r="D22" i="138"/>
  <c r="D24" i="138"/>
  <c r="D27" i="138"/>
  <c r="D47" i="138"/>
  <c r="D28" i="138"/>
  <c r="D16" i="138"/>
  <c r="D52" i="138"/>
  <c r="C21" i="138"/>
  <c r="C22" i="138"/>
  <c r="C20" i="138"/>
  <c r="C10" i="138"/>
  <c r="C24" i="138"/>
  <c r="C27" i="138"/>
  <c r="C47" i="138"/>
  <c r="C52" i="138"/>
  <c r="D51" i="138"/>
  <c r="D55" i="138"/>
  <c r="E21" i="138"/>
  <c r="E22" i="138"/>
  <c r="E24" i="138"/>
  <c r="E27" i="138"/>
  <c r="E47" i="138"/>
  <c r="E28" i="138"/>
  <c r="E16" i="138"/>
  <c r="E51" i="138"/>
  <c r="E55" i="138"/>
  <c r="F21" i="138"/>
  <c r="F22" i="138"/>
  <c r="F24" i="138"/>
  <c r="F27" i="138"/>
  <c r="F47" i="138"/>
  <c r="F28" i="138"/>
  <c r="F16" i="138"/>
  <c r="F51" i="138"/>
  <c r="F55" i="138"/>
  <c r="G21" i="138"/>
  <c r="G22" i="138"/>
  <c r="G24" i="138"/>
  <c r="G27" i="138"/>
  <c r="G47" i="138"/>
  <c r="G28" i="138"/>
  <c r="G16" i="138"/>
  <c r="G51" i="138"/>
  <c r="G55" i="138"/>
  <c r="C51" i="138"/>
  <c r="C55" i="138"/>
  <c r="C11" i="138"/>
  <c r="C13" i="138"/>
  <c r="D64" i="138"/>
  <c r="C26" i="138"/>
  <c r="D21" i="124"/>
  <c r="F21" i="124"/>
  <c r="F22" i="124"/>
  <c r="F24" i="124"/>
  <c r="F27" i="124"/>
  <c r="F47" i="124"/>
  <c r="D22" i="124"/>
  <c r="D24" i="124"/>
  <c r="D27" i="124"/>
  <c r="D47" i="124"/>
  <c r="D28" i="124"/>
  <c r="D16" i="124"/>
  <c r="C44" i="124"/>
  <c r="D57" i="124"/>
  <c r="D33" i="124"/>
  <c r="C33" i="124"/>
  <c r="C21" i="124"/>
  <c r="C22" i="124"/>
  <c r="C20" i="124"/>
  <c r="C24" i="124"/>
  <c r="C27" i="124"/>
  <c r="C47" i="124"/>
  <c r="C57" i="124"/>
  <c r="C69" i="124"/>
  <c r="N21" i="124"/>
  <c r="N20" i="124"/>
  <c r="N27" i="124"/>
  <c r="N47" i="124"/>
  <c r="N16" i="124"/>
  <c r="N28" i="124"/>
  <c r="C66" i="124"/>
  <c r="N56" i="124"/>
  <c r="M21" i="124"/>
  <c r="M22" i="124"/>
  <c r="K4" i="124"/>
  <c r="L4" i="124"/>
  <c r="M4" i="124"/>
  <c r="M20" i="124"/>
  <c r="M24" i="124"/>
  <c r="M27" i="124"/>
  <c r="M47" i="124"/>
  <c r="M16" i="124"/>
  <c r="M28" i="124"/>
  <c r="M56" i="124"/>
  <c r="I6" i="124"/>
  <c r="L6" i="124"/>
  <c r="J18" i="124"/>
  <c r="L18" i="124"/>
  <c r="L21" i="124"/>
  <c r="J19" i="124"/>
  <c r="L19" i="124"/>
  <c r="L22" i="124"/>
  <c r="I8" i="124"/>
  <c r="L8" i="124"/>
  <c r="L24" i="124"/>
  <c r="L27" i="124"/>
  <c r="L47" i="124"/>
  <c r="L16" i="124"/>
  <c r="L28" i="124"/>
  <c r="L56" i="124"/>
  <c r="K6" i="124"/>
  <c r="I18" i="124"/>
  <c r="K18" i="124"/>
  <c r="K21" i="124"/>
  <c r="K7" i="124"/>
  <c r="I19" i="124"/>
  <c r="K19" i="124"/>
  <c r="K22" i="124"/>
  <c r="K8" i="124"/>
  <c r="K24" i="124"/>
  <c r="K27" i="124"/>
  <c r="K47" i="124"/>
  <c r="K16" i="124"/>
  <c r="K28" i="124"/>
  <c r="K56" i="124"/>
  <c r="J6" i="124"/>
  <c r="J21" i="124"/>
  <c r="J7" i="124"/>
  <c r="J22" i="124"/>
  <c r="J8" i="124"/>
  <c r="J24" i="124"/>
  <c r="J27" i="124"/>
  <c r="J47" i="124"/>
  <c r="J16" i="124"/>
  <c r="J28" i="124"/>
  <c r="J56" i="124"/>
  <c r="I21" i="124"/>
  <c r="I7" i="124"/>
  <c r="I22" i="124"/>
  <c r="I24" i="124"/>
  <c r="I27" i="124"/>
  <c r="I47" i="124"/>
  <c r="I16" i="124"/>
  <c r="I28" i="124"/>
  <c r="I56" i="124"/>
  <c r="H21" i="124"/>
  <c r="H22" i="124"/>
  <c r="H24" i="124"/>
  <c r="H27" i="124"/>
  <c r="H47" i="124"/>
  <c r="H16" i="124"/>
  <c r="H28" i="124"/>
  <c r="H56" i="124"/>
  <c r="E21" i="124"/>
  <c r="E22" i="124"/>
  <c r="E27" i="124"/>
  <c r="E47" i="124"/>
  <c r="E28" i="124"/>
  <c r="D51" i="124"/>
  <c r="C51" i="124"/>
  <c r="C48" i="124"/>
  <c r="E16" i="124"/>
  <c r="E50" i="124"/>
  <c r="G21" i="124"/>
  <c r="G22" i="124"/>
  <c r="G24" i="124"/>
  <c r="G27" i="124"/>
  <c r="G47" i="124"/>
  <c r="G16" i="124"/>
  <c r="G28" i="124"/>
  <c r="G56" i="124"/>
  <c r="F28" i="124"/>
  <c r="F16" i="124"/>
  <c r="F56" i="124"/>
  <c r="E56" i="124"/>
  <c r="D56" i="124"/>
  <c r="C56" i="124"/>
  <c r="D50" i="124"/>
  <c r="H21" i="138"/>
  <c r="H22" i="138"/>
  <c r="H24" i="138"/>
  <c r="H27" i="138"/>
  <c r="H47" i="138"/>
  <c r="H28" i="138"/>
  <c r="H16" i="138"/>
  <c r="H51" i="138"/>
  <c r="C14" i="138"/>
  <c r="C34" i="138"/>
  <c r="H59" i="138"/>
  <c r="G59" i="138"/>
  <c r="F59" i="138"/>
  <c r="E59" i="138"/>
  <c r="D59" i="138"/>
  <c r="C59" i="138"/>
  <c r="E4" i="138"/>
  <c r="F4" i="138"/>
  <c r="G4" i="138"/>
  <c r="H4" i="138"/>
  <c r="D4" i="138"/>
  <c r="H77" i="138"/>
  <c r="G77" i="138"/>
  <c r="F77" i="138"/>
  <c r="E77" i="138"/>
  <c r="D77" i="138"/>
  <c r="C77" i="138"/>
  <c r="H76" i="138"/>
  <c r="G76" i="138"/>
  <c r="F76" i="138"/>
  <c r="E76" i="138"/>
  <c r="D76" i="138"/>
  <c r="C76" i="138"/>
  <c r="H75" i="138"/>
  <c r="G75" i="138"/>
  <c r="F75" i="138"/>
  <c r="E75" i="138"/>
  <c r="D75" i="138"/>
  <c r="C75" i="138"/>
  <c r="H11" i="138"/>
  <c r="H74" i="138"/>
  <c r="G11" i="138"/>
  <c r="G74" i="138"/>
  <c r="F11" i="138"/>
  <c r="F74" i="138"/>
  <c r="E11" i="138"/>
  <c r="E74" i="138"/>
  <c r="D11" i="138"/>
  <c r="D74" i="138"/>
  <c r="C74" i="138"/>
  <c r="H73" i="138"/>
  <c r="G73" i="138"/>
  <c r="F73" i="138"/>
  <c r="E73" i="138"/>
  <c r="D73" i="138"/>
  <c r="C73" i="138"/>
  <c r="H13" i="138"/>
  <c r="H14" i="138"/>
  <c r="G13" i="138"/>
  <c r="G14" i="138"/>
  <c r="F13" i="138"/>
  <c r="F14" i="138"/>
  <c r="E13" i="138"/>
  <c r="E14" i="138"/>
  <c r="D13" i="138"/>
  <c r="D14" i="138"/>
  <c r="H54" i="138"/>
  <c r="G54" i="138"/>
  <c r="F54" i="138"/>
  <c r="E54" i="138"/>
  <c r="D54" i="138"/>
  <c r="C54" i="138"/>
  <c r="H53" i="138"/>
  <c r="G53" i="138"/>
  <c r="F53" i="138"/>
  <c r="E53" i="138"/>
  <c r="D53" i="138"/>
  <c r="C53" i="138"/>
  <c r="G40" i="138"/>
  <c r="F40" i="138"/>
  <c r="E40" i="138"/>
  <c r="D40" i="138"/>
  <c r="C40" i="138"/>
  <c r="G34" i="138"/>
  <c r="F34" i="138"/>
  <c r="E34" i="138"/>
  <c r="D34" i="138"/>
  <c r="H26" i="138"/>
  <c r="G26" i="138"/>
  <c r="F26" i="138"/>
  <c r="E26" i="138"/>
  <c r="D26" i="138"/>
  <c r="N50" i="124"/>
  <c r="M50" i="124"/>
  <c r="L50" i="124"/>
  <c r="K50" i="124"/>
  <c r="C50" i="124"/>
  <c r="J50" i="124"/>
  <c r="I50" i="124"/>
  <c r="H50" i="124"/>
  <c r="G50" i="124"/>
  <c r="F50" i="124"/>
  <c r="P22" i="137"/>
  <c r="P75" i="137"/>
  <c r="O22" i="137"/>
  <c r="O75" i="137"/>
  <c r="H22" i="137"/>
  <c r="H75" i="137"/>
  <c r="G22" i="137"/>
  <c r="G75" i="137"/>
  <c r="O21" i="137"/>
  <c r="O74" i="137"/>
  <c r="N21" i="137"/>
  <c r="N74" i="137"/>
  <c r="M21" i="137"/>
  <c r="M74" i="137"/>
  <c r="G21" i="137"/>
  <c r="G74" i="137"/>
  <c r="F21" i="137"/>
  <c r="F74" i="137"/>
  <c r="E21" i="137"/>
  <c r="E74" i="137"/>
  <c r="C11" i="137"/>
  <c r="C73" i="137"/>
  <c r="P72" i="137"/>
  <c r="H72" i="137"/>
  <c r="G72" i="137"/>
  <c r="F72" i="137"/>
  <c r="E72" i="137"/>
  <c r="D72" i="137"/>
  <c r="P33" i="137"/>
  <c r="O33" i="137"/>
  <c r="N33" i="137"/>
  <c r="M33" i="137"/>
  <c r="L33" i="137"/>
  <c r="K33" i="137"/>
  <c r="J33" i="137"/>
  <c r="I33" i="137"/>
  <c r="H33" i="137"/>
  <c r="G33" i="137"/>
  <c r="G11" i="137"/>
  <c r="G13" i="137"/>
  <c r="G14" i="137"/>
  <c r="G34" i="137"/>
  <c r="F33" i="137"/>
  <c r="E33" i="137"/>
  <c r="D33" i="137"/>
  <c r="M40" i="137"/>
  <c r="C33" i="137"/>
  <c r="O28" i="137"/>
  <c r="G24" i="137"/>
  <c r="G28" i="137"/>
  <c r="O27" i="137"/>
  <c r="O47" i="137"/>
  <c r="L24" i="137"/>
  <c r="K24" i="137"/>
  <c r="J24" i="137"/>
  <c r="I24" i="137"/>
  <c r="H24" i="137"/>
  <c r="F24" i="137"/>
  <c r="F22" i="137"/>
  <c r="F27" i="137"/>
  <c r="F47" i="137"/>
  <c r="E24" i="137"/>
  <c r="E22" i="137"/>
  <c r="E27" i="137"/>
  <c r="E47" i="137"/>
  <c r="D24" i="137"/>
  <c r="D21" i="137"/>
  <c r="D22" i="137"/>
  <c r="D27" i="137"/>
  <c r="D47" i="137"/>
  <c r="C24" i="137"/>
  <c r="N22" i="137"/>
  <c r="N75" i="137"/>
  <c r="M22" i="137"/>
  <c r="M75" i="137"/>
  <c r="K7" i="137"/>
  <c r="I19" i="137"/>
  <c r="K19" i="137"/>
  <c r="K22" i="137"/>
  <c r="J7" i="137"/>
  <c r="J19" i="137"/>
  <c r="J22" i="137"/>
  <c r="J75" i="137"/>
  <c r="F75" i="137"/>
  <c r="E75" i="137"/>
  <c r="D75" i="137"/>
  <c r="C22" i="137"/>
  <c r="P21" i="137"/>
  <c r="O76" i="137"/>
  <c r="N28" i="137"/>
  <c r="H21" i="137"/>
  <c r="G26" i="137"/>
  <c r="F28" i="137"/>
  <c r="D74" i="137"/>
  <c r="C21" i="137"/>
  <c r="C20" i="137"/>
  <c r="C72" i="137"/>
  <c r="K75" i="137"/>
  <c r="L19" i="137"/>
  <c r="J18" i="137"/>
  <c r="I18" i="137"/>
  <c r="P16" i="137"/>
  <c r="O16" i="137"/>
  <c r="N16" i="137"/>
  <c r="M16" i="137"/>
  <c r="L16" i="137"/>
  <c r="K16" i="137"/>
  <c r="J16" i="137"/>
  <c r="I16" i="137"/>
  <c r="H16" i="137"/>
  <c r="G16" i="137"/>
  <c r="F16" i="137"/>
  <c r="E16" i="137"/>
  <c r="D16" i="137"/>
  <c r="F11" i="137"/>
  <c r="F13" i="137"/>
  <c r="F14" i="137"/>
  <c r="F34" i="137"/>
  <c r="O11" i="137"/>
  <c r="O13" i="137"/>
  <c r="N11" i="137"/>
  <c r="N13" i="137"/>
  <c r="M11" i="137"/>
  <c r="M13" i="137"/>
  <c r="K4" i="137"/>
  <c r="L4" i="137"/>
  <c r="M4" i="137"/>
  <c r="M14" i="137"/>
  <c r="M34" i="137"/>
  <c r="E11" i="137"/>
  <c r="E13" i="137"/>
  <c r="E14" i="137"/>
  <c r="D11" i="137"/>
  <c r="D13" i="137"/>
  <c r="D14" i="137"/>
  <c r="D34" i="137"/>
  <c r="P11" i="137"/>
  <c r="P73" i="137"/>
  <c r="J6" i="137"/>
  <c r="J8" i="137"/>
  <c r="J11" i="137"/>
  <c r="H11" i="137"/>
  <c r="H73" i="137"/>
  <c r="G73" i="137"/>
  <c r="C13" i="137"/>
  <c r="C14" i="137"/>
  <c r="I8" i="137"/>
  <c r="L8" i="137"/>
  <c r="K8" i="137"/>
  <c r="I7" i="137"/>
  <c r="I22" i="137"/>
  <c r="I75" i="137"/>
  <c r="I6" i="137"/>
  <c r="L6" i="137"/>
  <c r="K6" i="137"/>
  <c r="E21" i="129"/>
  <c r="E22" i="129"/>
  <c r="E34" i="137"/>
  <c r="F40" i="137"/>
  <c r="O40" i="137"/>
  <c r="C34" i="137"/>
  <c r="G40" i="137"/>
  <c r="H40" i="137"/>
  <c r="N40" i="137"/>
  <c r="P26" i="137"/>
  <c r="P27" i="137"/>
  <c r="P47" i="137"/>
  <c r="P74" i="137"/>
  <c r="P28" i="137"/>
  <c r="K18" i="137"/>
  <c r="K21" i="137"/>
  <c r="K28" i="137"/>
  <c r="K11" i="137"/>
  <c r="C27" i="137"/>
  <c r="C47" i="137"/>
  <c r="E76" i="137"/>
  <c r="C26" i="137"/>
  <c r="M73" i="137"/>
  <c r="M20" i="137"/>
  <c r="N4" i="137"/>
  <c r="I21" i="137"/>
  <c r="I26" i="137"/>
  <c r="I72" i="137"/>
  <c r="J73" i="137"/>
  <c r="J13" i="137"/>
  <c r="J14" i="137"/>
  <c r="L22" i="137"/>
  <c r="L75" i="137"/>
  <c r="H26" i="137"/>
  <c r="H74" i="137"/>
  <c r="H27" i="137"/>
  <c r="H47" i="137"/>
  <c r="H28" i="137"/>
  <c r="J34" i="137"/>
  <c r="J72" i="137"/>
  <c r="L11" i="137"/>
  <c r="D26" i="137"/>
  <c r="L18" i="137"/>
  <c r="E26" i="137"/>
  <c r="G27" i="137"/>
  <c r="G47" i="137"/>
  <c r="D76" i="137"/>
  <c r="H13" i="137"/>
  <c r="H14" i="137"/>
  <c r="H34" i="137"/>
  <c r="F26" i="137"/>
  <c r="J40" i="137"/>
  <c r="C75" i="137"/>
  <c r="E73" i="137"/>
  <c r="I40" i="137"/>
  <c r="F73" i="137"/>
  <c r="P13" i="137"/>
  <c r="P14" i="137"/>
  <c r="O26" i="137"/>
  <c r="I27" i="137"/>
  <c r="I47" i="137"/>
  <c r="D28" i="137"/>
  <c r="D57" i="137"/>
  <c r="C40" i="137"/>
  <c r="K40" i="137"/>
  <c r="F76" i="137"/>
  <c r="D73" i="137"/>
  <c r="J21" i="137"/>
  <c r="E28" i="137"/>
  <c r="M28" i="137"/>
  <c r="D40" i="137"/>
  <c r="L40" i="137"/>
  <c r="C74" i="137"/>
  <c r="I11" i="137"/>
  <c r="E40" i="137"/>
  <c r="E11" i="136"/>
  <c r="C11" i="136"/>
  <c r="E73" i="136"/>
  <c r="D11" i="136"/>
  <c r="D73" i="136"/>
  <c r="C73" i="136"/>
  <c r="P72" i="136"/>
  <c r="I18" i="136"/>
  <c r="I19" i="136"/>
  <c r="I72" i="136"/>
  <c r="H72" i="136"/>
  <c r="G72" i="136"/>
  <c r="F72" i="136"/>
  <c r="E72" i="136"/>
  <c r="D72" i="136"/>
  <c r="C20" i="136"/>
  <c r="C72" i="136"/>
  <c r="P33" i="136"/>
  <c r="O33" i="136"/>
  <c r="N33" i="136"/>
  <c r="M33" i="136"/>
  <c r="L33" i="136"/>
  <c r="K33" i="136"/>
  <c r="J33" i="136"/>
  <c r="I33" i="136"/>
  <c r="H33" i="136"/>
  <c r="G33" i="136"/>
  <c r="F33" i="136"/>
  <c r="E33" i="136"/>
  <c r="D33" i="136"/>
  <c r="N40" i="136"/>
  <c r="C33" i="136"/>
  <c r="P21" i="136"/>
  <c r="P22" i="136"/>
  <c r="P24" i="136"/>
  <c r="P28" i="136"/>
  <c r="H21" i="136"/>
  <c r="H22" i="136"/>
  <c r="H24" i="136"/>
  <c r="H28" i="136"/>
  <c r="O24" i="136"/>
  <c r="N24" i="136"/>
  <c r="M24" i="136"/>
  <c r="L24" i="136"/>
  <c r="K24" i="136"/>
  <c r="J24" i="136"/>
  <c r="I24" i="136"/>
  <c r="G24" i="136"/>
  <c r="F24" i="136"/>
  <c r="E24" i="136"/>
  <c r="D24" i="136"/>
  <c r="D21" i="136"/>
  <c r="D22" i="136"/>
  <c r="D26" i="136"/>
  <c r="C24" i="136"/>
  <c r="C21" i="136"/>
  <c r="C22" i="136"/>
  <c r="C26" i="136"/>
  <c r="P75" i="136"/>
  <c r="O22" i="136"/>
  <c r="O75" i="136"/>
  <c r="N22" i="136"/>
  <c r="N75" i="136"/>
  <c r="M22" i="136"/>
  <c r="M75" i="136"/>
  <c r="I7" i="136"/>
  <c r="I22" i="136"/>
  <c r="I75" i="136"/>
  <c r="H75" i="136"/>
  <c r="G22" i="136"/>
  <c r="G75" i="136"/>
  <c r="F22" i="136"/>
  <c r="F75" i="136"/>
  <c r="E22" i="136"/>
  <c r="E75" i="136"/>
  <c r="D75" i="136"/>
  <c r="C75" i="136"/>
  <c r="O21" i="136"/>
  <c r="O28" i="136"/>
  <c r="N21" i="136"/>
  <c r="N28" i="136"/>
  <c r="M21" i="136"/>
  <c r="G21" i="136"/>
  <c r="G28" i="136"/>
  <c r="F21" i="136"/>
  <c r="F74" i="136"/>
  <c r="E21" i="136"/>
  <c r="D74" i="136"/>
  <c r="C74" i="136"/>
  <c r="K19" i="136"/>
  <c r="K7" i="136"/>
  <c r="K22" i="136"/>
  <c r="K75" i="136"/>
  <c r="J19" i="136"/>
  <c r="L19" i="136"/>
  <c r="J18" i="136"/>
  <c r="L18" i="136"/>
  <c r="K18" i="136"/>
  <c r="P16" i="136"/>
  <c r="O16" i="136"/>
  <c r="N16" i="136"/>
  <c r="M16" i="136"/>
  <c r="L16" i="136"/>
  <c r="K16" i="136"/>
  <c r="J16" i="136"/>
  <c r="I16" i="136"/>
  <c r="H16" i="136"/>
  <c r="G16" i="136"/>
  <c r="F16" i="136"/>
  <c r="E16" i="136"/>
  <c r="D16" i="136"/>
  <c r="D13" i="136"/>
  <c r="D14" i="136"/>
  <c r="C13" i="136"/>
  <c r="C14" i="136"/>
  <c r="P11" i="136"/>
  <c r="P13" i="136"/>
  <c r="P14" i="136"/>
  <c r="O11" i="136"/>
  <c r="O13" i="136"/>
  <c r="N11" i="136"/>
  <c r="N13" i="136"/>
  <c r="M11" i="136"/>
  <c r="M13" i="136"/>
  <c r="H11" i="136"/>
  <c r="H13" i="136"/>
  <c r="H14" i="136"/>
  <c r="G11" i="136"/>
  <c r="G13" i="136"/>
  <c r="G14" i="136"/>
  <c r="F11" i="136"/>
  <c r="F13" i="136"/>
  <c r="F14" i="136"/>
  <c r="E13" i="136"/>
  <c r="E14" i="136"/>
  <c r="K8" i="136"/>
  <c r="J8" i="136"/>
  <c r="I8" i="136"/>
  <c r="J7" i="136"/>
  <c r="K6" i="136"/>
  <c r="J6" i="136"/>
  <c r="I6" i="136"/>
  <c r="I11" i="136"/>
  <c r="K4" i="136"/>
  <c r="L4" i="136"/>
  <c r="M4" i="136"/>
  <c r="F11" i="135"/>
  <c r="C11" i="135"/>
  <c r="F73" i="135"/>
  <c r="E11" i="135"/>
  <c r="E73" i="135"/>
  <c r="D11" i="135"/>
  <c r="D73" i="135"/>
  <c r="C73" i="135"/>
  <c r="P72" i="135"/>
  <c r="I18" i="135"/>
  <c r="I19" i="135"/>
  <c r="I72" i="135"/>
  <c r="H72" i="135"/>
  <c r="G72" i="135"/>
  <c r="F72" i="135"/>
  <c r="E72" i="135"/>
  <c r="D72" i="135"/>
  <c r="C20" i="135"/>
  <c r="C72" i="135"/>
  <c r="P33" i="135"/>
  <c r="O33" i="135"/>
  <c r="N33" i="135"/>
  <c r="M33" i="135"/>
  <c r="L33" i="135"/>
  <c r="K33" i="135"/>
  <c r="J33" i="135"/>
  <c r="I33" i="135"/>
  <c r="H33" i="135"/>
  <c r="D33" i="135"/>
  <c r="H40" i="135"/>
  <c r="G33" i="135"/>
  <c r="G40" i="135"/>
  <c r="F33" i="135"/>
  <c r="E33" i="135"/>
  <c r="C33" i="135"/>
  <c r="D21" i="135"/>
  <c r="D22" i="135"/>
  <c r="D24" i="135"/>
  <c r="D26" i="135"/>
  <c r="C21" i="135"/>
  <c r="C22" i="135"/>
  <c r="C24" i="135"/>
  <c r="C26" i="135"/>
  <c r="P24" i="135"/>
  <c r="P21" i="135"/>
  <c r="P22" i="135"/>
  <c r="P28" i="135"/>
  <c r="O24" i="135"/>
  <c r="N24" i="135"/>
  <c r="M24" i="135"/>
  <c r="L24" i="135"/>
  <c r="K24" i="135"/>
  <c r="J24" i="135"/>
  <c r="I24" i="135"/>
  <c r="H24" i="135"/>
  <c r="H21" i="135"/>
  <c r="H22" i="135"/>
  <c r="H28" i="135"/>
  <c r="G24" i="135"/>
  <c r="F24" i="135"/>
  <c r="E24" i="135"/>
  <c r="P75" i="135"/>
  <c r="O22" i="135"/>
  <c r="O75" i="135"/>
  <c r="N22" i="135"/>
  <c r="N75" i="135"/>
  <c r="M22" i="135"/>
  <c r="M75" i="135"/>
  <c r="I7" i="135"/>
  <c r="I22" i="135"/>
  <c r="I75" i="135"/>
  <c r="H75" i="135"/>
  <c r="G22" i="135"/>
  <c r="G75" i="135"/>
  <c r="F22" i="135"/>
  <c r="F75" i="135"/>
  <c r="E22" i="135"/>
  <c r="E75" i="135"/>
  <c r="D75" i="135"/>
  <c r="C75" i="135"/>
  <c r="O21" i="135"/>
  <c r="N21" i="135"/>
  <c r="N28" i="135"/>
  <c r="M21" i="135"/>
  <c r="G21" i="135"/>
  <c r="F21" i="135"/>
  <c r="F27" i="135"/>
  <c r="F47" i="135"/>
  <c r="E21" i="135"/>
  <c r="E27" i="135"/>
  <c r="E47" i="135"/>
  <c r="D74" i="135"/>
  <c r="C74" i="135"/>
  <c r="K19" i="135"/>
  <c r="K7" i="135"/>
  <c r="K22" i="135"/>
  <c r="K75" i="135"/>
  <c r="J19" i="135"/>
  <c r="L19" i="135"/>
  <c r="J18" i="135"/>
  <c r="L18" i="135"/>
  <c r="K18" i="135"/>
  <c r="P16" i="135"/>
  <c r="O16" i="135"/>
  <c r="N16" i="135"/>
  <c r="M16" i="135"/>
  <c r="L16" i="135"/>
  <c r="K16" i="135"/>
  <c r="J16" i="135"/>
  <c r="I16" i="135"/>
  <c r="H16" i="135"/>
  <c r="G16" i="135"/>
  <c r="F16" i="135"/>
  <c r="E16" i="135"/>
  <c r="D16" i="135"/>
  <c r="C13" i="135"/>
  <c r="C14" i="135"/>
  <c r="D13" i="135"/>
  <c r="D14" i="135"/>
  <c r="P11" i="135"/>
  <c r="P13" i="135"/>
  <c r="P14" i="135"/>
  <c r="O11" i="135"/>
  <c r="O13" i="135"/>
  <c r="N11" i="135"/>
  <c r="N13" i="135"/>
  <c r="M11" i="135"/>
  <c r="M13" i="135"/>
  <c r="H11" i="135"/>
  <c r="H13" i="135"/>
  <c r="H14" i="135"/>
  <c r="G11" i="135"/>
  <c r="G13" i="135"/>
  <c r="G14" i="135"/>
  <c r="F13" i="135"/>
  <c r="F14" i="135"/>
  <c r="E13" i="135"/>
  <c r="E14" i="135"/>
  <c r="K8" i="135"/>
  <c r="J8" i="135"/>
  <c r="I8" i="135"/>
  <c r="L8" i="135"/>
  <c r="J7" i="135"/>
  <c r="K6" i="135"/>
  <c r="J6" i="135"/>
  <c r="I6" i="135"/>
  <c r="I11" i="135"/>
  <c r="K4" i="135"/>
  <c r="L4" i="135"/>
  <c r="M4" i="135"/>
  <c r="P22" i="134"/>
  <c r="P75" i="134"/>
  <c r="E11" i="134"/>
  <c r="C11" i="134"/>
  <c r="E73" i="134"/>
  <c r="D11" i="134"/>
  <c r="D73" i="134"/>
  <c r="C73" i="134"/>
  <c r="P72" i="134"/>
  <c r="I18" i="134"/>
  <c r="I19" i="134"/>
  <c r="I72" i="134"/>
  <c r="H72" i="134"/>
  <c r="G72" i="134"/>
  <c r="F72" i="134"/>
  <c r="E72" i="134"/>
  <c r="D72" i="134"/>
  <c r="C20" i="134"/>
  <c r="C72" i="134"/>
  <c r="P33" i="134"/>
  <c r="O33" i="134"/>
  <c r="N33" i="134"/>
  <c r="M33" i="134"/>
  <c r="L33" i="134"/>
  <c r="K33" i="134"/>
  <c r="J33" i="134"/>
  <c r="I33" i="134"/>
  <c r="H33" i="134"/>
  <c r="D33" i="134"/>
  <c r="H40" i="134"/>
  <c r="G33" i="134"/>
  <c r="F33" i="134"/>
  <c r="E33" i="134"/>
  <c r="N40" i="134"/>
  <c r="C33" i="134"/>
  <c r="P21" i="134"/>
  <c r="P24" i="134"/>
  <c r="P28" i="134"/>
  <c r="C21" i="134"/>
  <c r="C22" i="134"/>
  <c r="C24" i="134"/>
  <c r="C26" i="134"/>
  <c r="O24" i="134"/>
  <c r="N24" i="134"/>
  <c r="M24" i="134"/>
  <c r="L24" i="134"/>
  <c r="K24" i="134"/>
  <c r="J24" i="134"/>
  <c r="I24" i="134"/>
  <c r="H24" i="134"/>
  <c r="H21" i="134"/>
  <c r="H22" i="134"/>
  <c r="H28" i="134"/>
  <c r="G24" i="134"/>
  <c r="F24" i="134"/>
  <c r="E24" i="134"/>
  <c r="D24" i="134"/>
  <c r="D21" i="134"/>
  <c r="D22" i="134"/>
  <c r="D26" i="134"/>
  <c r="O22" i="134"/>
  <c r="O75" i="134"/>
  <c r="N22" i="134"/>
  <c r="N75" i="134"/>
  <c r="M22" i="134"/>
  <c r="M75" i="134"/>
  <c r="I7" i="134"/>
  <c r="I22" i="134"/>
  <c r="I75" i="134"/>
  <c r="H75" i="134"/>
  <c r="G22" i="134"/>
  <c r="G75" i="134"/>
  <c r="F22" i="134"/>
  <c r="F75" i="134"/>
  <c r="E22" i="134"/>
  <c r="E75" i="134"/>
  <c r="D75" i="134"/>
  <c r="C75" i="134"/>
  <c r="O21" i="134"/>
  <c r="O28" i="134"/>
  <c r="N21" i="134"/>
  <c r="M21" i="134"/>
  <c r="M74" i="134"/>
  <c r="G21" i="134"/>
  <c r="F21" i="134"/>
  <c r="E21" i="134"/>
  <c r="E74" i="134"/>
  <c r="D74" i="134"/>
  <c r="C74" i="134"/>
  <c r="K19" i="134"/>
  <c r="J19" i="134"/>
  <c r="J18" i="134"/>
  <c r="J72" i="134"/>
  <c r="L18" i="134"/>
  <c r="K18" i="134"/>
  <c r="P16" i="134"/>
  <c r="O16" i="134"/>
  <c r="N16" i="134"/>
  <c r="M16" i="134"/>
  <c r="L16" i="134"/>
  <c r="K16" i="134"/>
  <c r="J16" i="134"/>
  <c r="I16" i="134"/>
  <c r="H16" i="134"/>
  <c r="G16" i="134"/>
  <c r="F16" i="134"/>
  <c r="E16" i="134"/>
  <c r="D16" i="134"/>
  <c r="D13" i="134"/>
  <c r="D14" i="134"/>
  <c r="C13" i="134"/>
  <c r="C14" i="134"/>
  <c r="N11" i="134"/>
  <c r="N13" i="134"/>
  <c r="M11" i="134"/>
  <c r="M13" i="134"/>
  <c r="F11" i="134"/>
  <c r="F13" i="134"/>
  <c r="F14" i="134"/>
  <c r="E13" i="134"/>
  <c r="E14" i="134"/>
  <c r="P11" i="134"/>
  <c r="P13" i="134"/>
  <c r="P14" i="134"/>
  <c r="O11" i="134"/>
  <c r="O13" i="134"/>
  <c r="H11" i="134"/>
  <c r="H13" i="134"/>
  <c r="H14" i="134"/>
  <c r="H34" i="134"/>
  <c r="G11" i="134"/>
  <c r="G13" i="134"/>
  <c r="G14" i="134"/>
  <c r="F73" i="134"/>
  <c r="K8" i="134"/>
  <c r="J8" i="134"/>
  <c r="I8" i="134"/>
  <c r="K7" i="134"/>
  <c r="J7" i="134"/>
  <c r="K6" i="134"/>
  <c r="J6" i="134"/>
  <c r="I6" i="134"/>
  <c r="K4" i="134"/>
  <c r="L4" i="134"/>
  <c r="M4" i="134"/>
  <c r="D33" i="133"/>
  <c r="D11" i="133"/>
  <c r="D13" i="133"/>
  <c r="D14" i="133"/>
  <c r="D34" i="133"/>
  <c r="E33" i="133"/>
  <c r="E11" i="133"/>
  <c r="E13" i="133"/>
  <c r="E14" i="133"/>
  <c r="E34" i="133"/>
  <c r="F33" i="133"/>
  <c r="F11" i="133"/>
  <c r="F13" i="133"/>
  <c r="F14" i="133"/>
  <c r="F34" i="133"/>
  <c r="G33" i="133"/>
  <c r="G11" i="133"/>
  <c r="G13" i="133"/>
  <c r="G14" i="133"/>
  <c r="G34" i="133"/>
  <c r="H33" i="133"/>
  <c r="H11" i="133"/>
  <c r="H13" i="133"/>
  <c r="H14" i="133"/>
  <c r="H34" i="133"/>
  <c r="I33" i="133"/>
  <c r="I6" i="133"/>
  <c r="I7" i="133"/>
  <c r="I8" i="133"/>
  <c r="I11" i="133"/>
  <c r="I13" i="133"/>
  <c r="I14" i="133"/>
  <c r="I34" i="133"/>
  <c r="J33" i="133"/>
  <c r="J6" i="133"/>
  <c r="J7" i="133"/>
  <c r="J8" i="133"/>
  <c r="J11" i="133"/>
  <c r="J13" i="133"/>
  <c r="J14" i="133"/>
  <c r="J34" i="133"/>
  <c r="K33" i="133"/>
  <c r="K6" i="133"/>
  <c r="K7" i="133"/>
  <c r="K8" i="133"/>
  <c r="K11" i="133"/>
  <c r="K13" i="133"/>
  <c r="K4" i="133"/>
  <c r="K14" i="133"/>
  <c r="K34" i="133"/>
  <c r="L33" i="133"/>
  <c r="L6" i="133"/>
  <c r="L8" i="133"/>
  <c r="L11" i="133"/>
  <c r="L13" i="133"/>
  <c r="L4" i="133"/>
  <c r="L14" i="133"/>
  <c r="L34" i="133"/>
  <c r="C33" i="133"/>
  <c r="C11" i="133"/>
  <c r="C13" i="133"/>
  <c r="C14" i="133"/>
  <c r="C34" i="133"/>
  <c r="E73" i="133"/>
  <c r="D73" i="133"/>
  <c r="C73" i="133"/>
  <c r="P72" i="133"/>
  <c r="I18" i="133"/>
  <c r="I19" i="133"/>
  <c r="I72" i="133"/>
  <c r="H72" i="133"/>
  <c r="G72" i="133"/>
  <c r="F72" i="133"/>
  <c r="E72" i="133"/>
  <c r="D72" i="133"/>
  <c r="C20" i="133"/>
  <c r="C72" i="133"/>
  <c r="O33" i="133"/>
  <c r="O40" i="133"/>
  <c r="P33" i="133"/>
  <c r="N33" i="133"/>
  <c r="M33" i="133"/>
  <c r="H40" i="133"/>
  <c r="G40" i="133"/>
  <c r="N40" i="133"/>
  <c r="P21" i="133"/>
  <c r="P22" i="133"/>
  <c r="P24" i="133"/>
  <c r="P28" i="133"/>
  <c r="H21" i="133"/>
  <c r="H22" i="133"/>
  <c r="H24" i="133"/>
  <c r="H28" i="133"/>
  <c r="O24" i="133"/>
  <c r="N24" i="133"/>
  <c r="M24" i="133"/>
  <c r="L24" i="133"/>
  <c r="K24" i="133"/>
  <c r="J24" i="133"/>
  <c r="I24" i="133"/>
  <c r="G24" i="133"/>
  <c r="F24" i="133"/>
  <c r="E24" i="133"/>
  <c r="D24" i="133"/>
  <c r="D21" i="133"/>
  <c r="D22" i="133"/>
  <c r="D26" i="133"/>
  <c r="C24" i="133"/>
  <c r="C21" i="133"/>
  <c r="C22" i="133"/>
  <c r="C26" i="133"/>
  <c r="P75" i="133"/>
  <c r="O22" i="133"/>
  <c r="O75" i="133"/>
  <c r="N22" i="133"/>
  <c r="N75" i="133"/>
  <c r="M22" i="133"/>
  <c r="M75" i="133"/>
  <c r="I22" i="133"/>
  <c r="I75" i="133"/>
  <c r="H75" i="133"/>
  <c r="G22" i="133"/>
  <c r="G75" i="133"/>
  <c r="F22" i="133"/>
  <c r="F75" i="133"/>
  <c r="E22" i="133"/>
  <c r="E75" i="133"/>
  <c r="D75" i="133"/>
  <c r="C75" i="133"/>
  <c r="O21" i="133"/>
  <c r="O28" i="133"/>
  <c r="N21" i="133"/>
  <c r="N28" i="133"/>
  <c r="M21" i="133"/>
  <c r="M74" i="133"/>
  <c r="G21" i="133"/>
  <c r="G28" i="133"/>
  <c r="F21" i="133"/>
  <c r="F28" i="133"/>
  <c r="E21" i="133"/>
  <c r="D74" i="133"/>
  <c r="C74" i="133"/>
  <c r="K19" i="133"/>
  <c r="K22" i="133"/>
  <c r="K75" i="133"/>
  <c r="J19" i="133"/>
  <c r="L19" i="133"/>
  <c r="J18" i="133"/>
  <c r="L18" i="133"/>
  <c r="K18" i="133"/>
  <c r="P16" i="133"/>
  <c r="O16" i="133"/>
  <c r="N16" i="133"/>
  <c r="M16" i="133"/>
  <c r="L16" i="133"/>
  <c r="K16" i="133"/>
  <c r="J16" i="133"/>
  <c r="I16" i="133"/>
  <c r="H16" i="133"/>
  <c r="G16" i="133"/>
  <c r="F16" i="133"/>
  <c r="E16" i="133"/>
  <c r="D16" i="133"/>
  <c r="P11" i="133"/>
  <c r="P13" i="133"/>
  <c r="P14" i="133"/>
  <c r="O11" i="133"/>
  <c r="O13" i="133"/>
  <c r="N11" i="133"/>
  <c r="N13" i="133"/>
  <c r="M11" i="133"/>
  <c r="M13" i="133"/>
  <c r="M4" i="133"/>
  <c r="M14" i="133"/>
  <c r="M34" i="133"/>
  <c r="J22" i="133"/>
  <c r="G76" i="137"/>
  <c r="I73" i="137"/>
  <c r="I13" i="137"/>
  <c r="I14" i="137"/>
  <c r="I34" i="137"/>
  <c r="L21" i="137"/>
  <c r="M27" i="137"/>
  <c r="M47" i="137"/>
  <c r="M72" i="137"/>
  <c r="C51" i="137"/>
  <c r="C56" i="137"/>
  <c r="C58" i="137"/>
  <c r="C57" i="137"/>
  <c r="C69" i="137"/>
  <c r="C50" i="137"/>
  <c r="C52" i="137"/>
  <c r="J28" i="137"/>
  <c r="J26" i="137"/>
  <c r="L74" i="137"/>
  <c r="L72" i="137"/>
  <c r="J27" i="137"/>
  <c r="J47" i="137"/>
  <c r="H76" i="137"/>
  <c r="I76" i="137"/>
  <c r="I28" i="137"/>
  <c r="P76" i="137"/>
  <c r="O4" i="137"/>
  <c r="N73" i="137"/>
  <c r="N20" i="137"/>
  <c r="N14" i="137"/>
  <c r="N34" i="137"/>
  <c r="J74" i="137"/>
  <c r="L73" i="137"/>
  <c r="L13" i="137"/>
  <c r="L14" i="137"/>
  <c r="L34" i="137"/>
  <c r="I74" i="137"/>
  <c r="K26" i="137"/>
  <c r="K13" i="137"/>
  <c r="K14" i="137"/>
  <c r="K34" i="137"/>
  <c r="K73" i="137"/>
  <c r="K74" i="137"/>
  <c r="K72" i="137"/>
  <c r="K27" i="137"/>
  <c r="D51" i="137"/>
  <c r="C76" i="137"/>
  <c r="M26" i="137"/>
  <c r="M76" i="137"/>
  <c r="E34" i="136"/>
  <c r="G40" i="136"/>
  <c r="H40" i="136"/>
  <c r="D34" i="136"/>
  <c r="G34" i="136"/>
  <c r="F34" i="136"/>
  <c r="O40" i="136"/>
  <c r="P40" i="136"/>
  <c r="E28" i="136"/>
  <c r="C34" i="136"/>
  <c r="N4" i="136"/>
  <c r="M73" i="136"/>
  <c r="M20" i="136"/>
  <c r="M72" i="136"/>
  <c r="L22" i="136"/>
  <c r="L75" i="136"/>
  <c r="I73" i="136"/>
  <c r="I13" i="136"/>
  <c r="I14" i="136"/>
  <c r="N14" i="136"/>
  <c r="N34" i="136"/>
  <c r="M26" i="136"/>
  <c r="M14" i="136"/>
  <c r="M34" i="136"/>
  <c r="J21" i="136"/>
  <c r="J22" i="136"/>
  <c r="J26" i="136"/>
  <c r="K72" i="136"/>
  <c r="I34" i="136"/>
  <c r="L72" i="136"/>
  <c r="H34" i="136"/>
  <c r="M27" i="136"/>
  <c r="M47" i="136"/>
  <c r="M74" i="136"/>
  <c r="E26" i="136"/>
  <c r="O27" i="136"/>
  <c r="O47" i="136"/>
  <c r="L8" i="136"/>
  <c r="J11" i="136"/>
  <c r="F26" i="136"/>
  <c r="H27" i="136"/>
  <c r="H47" i="136"/>
  <c r="P27" i="136"/>
  <c r="P47" i="136"/>
  <c r="J40" i="136"/>
  <c r="F73" i="136"/>
  <c r="N73" i="136"/>
  <c r="H74" i="136"/>
  <c r="P74" i="136"/>
  <c r="J75" i="136"/>
  <c r="E27" i="136"/>
  <c r="E47" i="136"/>
  <c r="G27" i="136"/>
  <c r="G47" i="136"/>
  <c r="I40" i="136"/>
  <c r="L6" i="136"/>
  <c r="K11" i="136"/>
  <c r="I21" i="136"/>
  <c r="I28" i="136"/>
  <c r="G26" i="136"/>
  <c r="O26" i="136"/>
  <c r="I27" i="136"/>
  <c r="I47" i="136"/>
  <c r="D28" i="136"/>
  <c r="C40" i="136"/>
  <c r="K40" i="136"/>
  <c r="G73" i="136"/>
  <c r="M76" i="136"/>
  <c r="E74" i="136"/>
  <c r="N74" i="136"/>
  <c r="J28" i="136"/>
  <c r="H26" i="136"/>
  <c r="P26" i="136"/>
  <c r="J27" i="136"/>
  <c r="J47" i="136"/>
  <c r="M28" i="136"/>
  <c r="D40" i="136"/>
  <c r="L40" i="136"/>
  <c r="H73" i="136"/>
  <c r="P73" i="136"/>
  <c r="J74" i="136"/>
  <c r="G74" i="136"/>
  <c r="K21" i="136"/>
  <c r="K28" i="136"/>
  <c r="C27" i="136"/>
  <c r="C47" i="136"/>
  <c r="F28" i="136"/>
  <c r="E40" i="136"/>
  <c r="M40" i="136"/>
  <c r="G76" i="136"/>
  <c r="F27" i="136"/>
  <c r="F47" i="136"/>
  <c r="J72" i="136"/>
  <c r="O74" i="136"/>
  <c r="D27" i="136"/>
  <c r="D47" i="136"/>
  <c r="F40" i="136"/>
  <c r="N40" i="135"/>
  <c r="H34" i="135"/>
  <c r="G34" i="135"/>
  <c r="G28" i="135"/>
  <c r="O28" i="135"/>
  <c r="C34" i="135"/>
  <c r="F34" i="135"/>
  <c r="E34" i="135"/>
  <c r="O40" i="135"/>
  <c r="P40" i="135"/>
  <c r="D34" i="135"/>
  <c r="M20" i="135"/>
  <c r="M26" i="135"/>
  <c r="N4" i="135"/>
  <c r="N14" i="135"/>
  <c r="N34" i="135"/>
  <c r="M73" i="135"/>
  <c r="M72" i="135"/>
  <c r="M14" i="135"/>
  <c r="M34" i="135"/>
  <c r="K72" i="135"/>
  <c r="K21" i="135"/>
  <c r="K26" i="135"/>
  <c r="I73" i="135"/>
  <c r="I13" i="135"/>
  <c r="I14" i="135"/>
  <c r="L22" i="135"/>
  <c r="L75" i="135"/>
  <c r="L72" i="135"/>
  <c r="I34" i="135"/>
  <c r="M27" i="135"/>
  <c r="M47" i="135"/>
  <c r="M74" i="135"/>
  <c r="F74" i="135"/>
  <c r="J22" i="135"/>
  <c r="J75" i="135"/>
  <c r="E26" i="135"/>
  <c r="F26" i="135"/>
  <c r="P27" i="135"/>
  <c r="P47" i="135"/>
  <c r="J40" i="135"/>
  <c r="L6" i="135"/>
  <c r="K11" i="135"/>
  <c r="I21" i="135"/>
  <c r="I28" i="135"/>
  <c r="G26" i="135"/>
  <c r="O26" i="135"/>
  <c r="D28" i="135"/>
  <c r="C40" i="135"/>
  <c r="K40" i="135"/>
  <c r="G73" i="135"/>
  <c r="E76" i="135"/>
  <c r="E74" i="135"/>
  <c r="J72" i="135"/>
  <c r="G27" i="135"/>
  <c r="G47" i="135"/>
  <c r="I40" i="135"/>
  <c r="G74" i="135"/>
  <c r="J11" i="135"/>
  <c r="H74" i="135"/>
  <c r="P74" i="135"/>
  <c r="J21" i="135"/>
  <c r="J28" i="135"/>
  <c r="H26" i="135"/>
  <c r="P26" i="135"/>
  <c r="E28" i="135"/>
  <c r="M28" i="135"/>
  <c r="D40" i="135"/>
  <c r="L40" i="135"/>
  <c r="H73" i="135"/>
  <c r="P73" i="135"/>
  <c r="F76" i="135"/>
  <c r="N74" i="135"/>
  <c r="O27" i="135"/>
  <c r="O47" i="135"/>
  <c r="O74" i="135"/>
  <c r="K28" i="135"/>
  <c r="I26" i="135"/>
  <c r="C27" i="135"/>
  <c r="C47" i="135"/>
  <c r="F28" i="135"/>
  <c r="E40" i="135"/>
  <c r="M40" i="135"/>
  <c r="O76" i="135"/>
  <c r="H27" i="135"/>
  <c r="H47" i="135"/>
  <c r="D27" i="135"/>
  <c r="D47" i="135"/>
  <c r="F40" i="135"/>
  <c r="E34" i="134"/>
  <c r="G34" i="134"/>
  <c r="F34" i="134"/>
  <c r="G40" i="134"/>
  <c r="D34" i="134"/>
  <c r="O40" i="134"/>
  <c r="P40" i="134"/>
  <c r="F28" i="134"/>
  <c r="G28" i="134"/>
  <c r="C34" i="134"/>
  <c r="K72" i="134"/>
  <c r="L19" i="134"/>
  <c r="L72" i="134"/>
  <c r="K22" i="134"/>
  <c r="K75" i="134"/>
  <c r="N4" i="134"/>
  <c r="M73" i="134"/>
  <c r="M14" i="134"/>
  <c r="M34" i="134"/>
  <c r="M20" i="134"/>
  <c r="M72" i="134"/>
  <c r="F74" i="134"/>
  <c r="G74" i="134"/>
  <c r="J22" i="134"/>
  <c r="F26" i="134"/>
  <c r="H27" i="134"/>
  <c r="H47" i="134"/>
  <c r="P27" i="134"/>
  <c r="P47" i="134"/>
  <c r="J40" i="134"/>
  <c r="H74" i="134"/>
  <c r="P74" i="134"/>
  <c r="J75" i="134"/>
  <c r="E27" i="134"/>
  <c r="E47" i="134"/>
  <c r="G27" i="134"/>
  <c r="G47" i="134"/>
  <c r="I40" i="134"/>
  <c r="L8" i="134"/>
  <c r="L6" i="134"/>
  <c r="K11" i="134"/>
  <c r="I21" i="134"/>
  <c r="I28" i="134"/>
  <c r="G26" i="134"/>
  <c r="O26" i="134"/>
  <c r="I27" i="134"/>
  <c r="I47" i="134"/>
  <c r="D28" i="134"/>
  <c r="C40" i="134"/>
  <c r="K40" i="134"/>
  <c r="G73" i="134"/>
  <c r="I74" i="134"/>
  <c r="E76" i="134"/>
  <c r="F27" i="134"/>
  <c r="F47" i="134"/>
  <c r="I11" i="134"/>
  <c r="E26" i="134"/>
  <c r="J21" i="134"/>
  <c r="H26" i="134"/>
  <c r="P26" i="134"/>
  <c r="J27" i="134"/>
  <c r="J47" i="134"/>
  <c r="E28" i="134"/>
  <c r="M28" i="134"/>
  <c r="D40" i="134"/>
  <c r="L40" i="134"/>
  <c r="H73" i="134"/>
  <c r="P73" i="134"/>
  <c r="J74" i="134"/>
  <c r="N74" i="134"/>
  <c r="O74" i="134"/>
  <c r="K21" i="134"/>
  <c r="K28" i="134"/>
  <c r="C27" i="134"/>
  <c r="C47" i="134"/>
  <c r="N28" i="134"/>
  <c r="E40" i="134"/>
  <c r="M40" i="134"/>
  <c r="O27" i="134"/>
  <c r="O47" i="134"/>
  <c r="J11" i="134"/>
  <c r="D27" i="134"/>
  <c r="D47" i="134"/>
  <c r="F40" i="134"/>
  <c r="P40" i="133"/>
  <c r="E26" i="133"/>
  <c r="N4" i="133"/>
  <c r="M73" i="133"/>
  <c r="M20" i="133"/>
  <c r="M72" i="133"/>
  <c r="N14" i="133"/>
  <c r="N34" i="133"/>
  <c r="J21" i="133"/>
  <c r="J27" i="133"/>
  <c r="J76" i="133"/>
  <c r="L22" i="133"/>
  <c r="L75" i="133"/>
  <c r="K72" i="133"/>
  <c r="K21" i="133"/>
  <c r="K74" i="133"/>
  <c r="K26" i="133"/>
  <c r="L72" i="133"/>
  <c r="I73" i="133"/>
  <c r="J26" i="133"/>
  <c r="F27" i="133"/>
  <c r="F47" i="133"/>
  <c r="J72" i="133"/>
  <c r="F26" i="133"/>
  <c r="H27" i="133"/>
  <c r="H47" i="133"/>
  <c r="P27" i="133"/>
  <c r="P47" i="133"/>
  <c r="J40" i="133"/>
  <c r="F73" i="133"/>
  <c r="N73" i="133"/>
  <c r="H74" i="133"/>
  <c r="P74" i="133"/>
  <c r="J75" i="133"/>
  <c r="E27" i="133"/>
  <c r="E47" i="133"/>
  <c r="E74" i="133"/>
  <c r="F74" i="133"/>
  <c r="G27" i="133"/>
  <c r="G47" i="133"/>
  <c r="I21" i="133"/>
  <c r="I28" i="133"/>
  <c r="G26" i="133"/>
  <c r="O26" i="133"/>
  <c r="I27" i="133"/>
  <c r="I47" i="133"/>
  <c r="D28" i="133"/>
  <c r="C40" i="133"/>
  <c r="K40" i="133"/>
  <c r="G73" i="133"/>
  <c r="I74" i="133"/>
  <c r="N74" i="133"/>
  <c r="M26" i="133"/>
  <c r="I40" i="133"/>
  <c r="J28" i="133"/>
  <c r="H26" i="133"/>
  <c r="P26" i="133"/>
  <c r="J47" i="133"/>
  <c r="E28" i="133"/>
  <c r="M28" i="133"/>
  <c r="D40" i="133"/>
  <c r="L40" i="133"/>
  <c r="H73" i="133"/>
  <c r="P73" i="133"/>
  <c r="J74" i="133"/>
  <c r="M27" i="133"/>
  <c r="M47" i="133"/>
  <c r="O74" i="133"/>
  <c r="K28" i="133"/>
  <c r="I26" i="133"/>
  <c r="C27" i="133"/>
  <c r="C47" i="133"/>
  <c r="E40" i="133"/>
  <c r="M40" i="133"/>
  <c r="O27" i="133"/>
  <c r="O47" i="133"/>
  <c r="G74" i="133"/>
  <c r="D27" i="133"/>
  <c r="D47" i="133"/>
  <c r="F40" i="133"/>
  <c r="P22" i="132"/>
  <c r="P75" i="132"/>
  <c r="O22" i="132"/>
  <c r="O75" i="132"/>
  <c r="H22" i="132"/>
  <c r="H75" i="132"/>
  <c r="G22" i="132"/>
  <c r="G75" i="132"/>
  <c r="O21" i="132"/>
  <c r="O74" i="132"/>
  <c r="N21" i="132"/>
  <c r="N74" i="132"/>
  <c r="M21" i="132"/>
  <c r="M74" i="132"/>
  <c r="G21" i="132"/>
  <c r="G74" i="132"/>
  <c r="F21" i="132"/>
  <c r="F74" i="132"/>
  <c r="E21" i="132"/>
  <c r="E74" i="132"/>
  <c r="C11" i="132"/>
  <c r="C73" i="132"/>
  <c r="P72" i="132"/>
  <c r="H72" i="132"/>
  <c r="G72" i="132"/>
  <c r="F72" i="132"/>
  <c r="E72" i="132"/>
  <c r="D72" i="132"/>
  <c r="P33" i="132"/>
  <c r="O33" i="132"/>
  <c r="N33" i="132"/>
  <c r="M33" i="132"/>
  <c r="L33" i="132"/>
  <c r="K33" i="132"/>
  <c r="J33" i="132"/>
  <c r="I33" i="132"/>
  <c r="H33" i="132"/>
  <c r="H11" i="132"/>
  <c r="H13" i="132"/>
  <c r="H14" i="132"/>
  <c r="H34" i="132"/>
  <c r="G33" i="132"/>
  <c r="F33" i="132"/>
  <c r="E33" i="132"/>
  <c r="D33" i="132"/>
  <c r="M40" i="132"/>
  <c r="C33" i="132"/>
  <c r="O28" i="132"/>
  <c r="O27" i="132"/>
  <c r="O47" i="132"/>
  <c r="G24" i="132"/>
  <c r="G27" i="132"/>
  <c r="G47" i="132"/>
  <c r="E22" i="132"/>
  <c r="E24" i="132"/>
  <c r="E27" i="132"/>
  <c r="E47" i="132"/>
  <c r="L24" i="132"/>
  <c r="K24" i="132"/>
  <c r="J24" i="132"/>
  <c r="I24" i="132"/>
  <c r="H24" i="132"/>
  <c r="G28" i="132"/>
  <c r="F24" i="132"/>
  <c r="F22" i="132"/>
  <c r="F27" i="132"/>
  <c r="F47" i="132"/>
  <c r="D24" i="132"/>
  <c r="D21" i="132"/>
  <c r="D22" i="132"/>
  <c r="D27" i="132"/>
  <c r="D47" i="132"/>
  <c r="C24" i="132"/>
  <c r="N22" i="132"/>
  <c r="N75" i="132"/>
  <c r="M22" i="132"/>
  <c r="M75" i="132"/>
  <c r="J7" i="132"/>
  <c r="J19" i="132"/>
  <c r="J22" i="132"/>
  <c r="J75" i="132"/>
  <c r="F75" i="132"/>
  <c r="D75" i="132"/>
  <c r="C22" i="132"/>
  <c r="C21" i="132"/>
  <c r="C20" i="132"/>
  <c r="C26" i="132"/>
  <c r="P21" i="132"/>
  <c r="O76" i="132"/>
  <c r="N28" i="132"/>
  <c r="M28" i="132"/>
  <c r="H21" i="132"/>
  <c r="D74" i="132"/>
  <c r="C27" i="132"/>
  <c r="C47" i="132"/>
  <c r="C72" i="132"/>
  <c r="L19" i="132"/>
  <c r="I19" i="132"/>
  <c r="K19" i="132"/>
  <c r="J18" i="132"/>
  <c r="L18" i="132"/>
  <c r="I18" i="132"/>
  <c r="I72" i="132"/>
  <c r="P16" i="132"/>
  <c r="O16" i="132"/>
  <c r="N16" i="132"/>
  <c r="M16" i="132"/>
  <c r="L16" i="132"/>
  <c r="K16" i="132"/>
  <c r="J16" i="132"/>
  <c r="I16" i="132"/>
  <c r="H16" i="132"/>
  <c r="G16" i="132"/>
  <c r="F16" i="132"/>
  <c r="E16" i="132"/>
  <c r="D16" i="132"/>
  <c r="G11" i="132"/>
  <c r="G13" i="132"/>
  <c r="G14" i="132"/>
  <c r="G34" i="132"/>
  <c r="P11" i="132"/>
  <c r="P13" i="132"/>
  <c r="P14" i="132"/>
  <c r="O11" i="132"/>
  <c r="O13" i="132"/>
  <c r="N11" i="132"/>
  <c r="N13" i="132"/>
  <c r="M11" i="132"/>
  <c r="M13" i="132"/>
  <c r="K4" i="132"/>
  <c r="L4" i="132"/>
  <c r="M4" i="132"/>
  <c r="M14" i="132"/>
  <c r="M34" i="132"/>
  <c r="F11" i="132"/>
  <c r="F13" i="132"/>
  <c r="F14" i="132"/>
  <c r="F34" i="132"/>
  <c r="E11" i="132"/>
  <c r="E13" i="132"/>
  <c r="E14" i="132"/>
  <c r="D11" i="132"/>
  <c r="D13" i="132"/>
  <c r="D14" i="132"/>
  <c r="P73" i="132"/>
  <c r="J6" i="132"/>
  <c r="J8" i="132"/>
  <c r="J11" i="132"/>
  <c r="J73" i="132"/>
  <c r="H73" i="132"/>
  <c r="G73" i="132"/>
  <c r="E73" i="132"/>
  <c r="C13" i="132"/>
  <c r="C14" i="132"/>
  <c r="I8" i="132"/>
  <c r="L8" i="132"/>
  <c r="K8" i="132"/>
  <c r="K7" i="132"/>
  <c r="I7" i="132"/>
  <c r="I22" i="132"/>
  <c r="I6" i="132"/>
  <c r="L6" i="132"/>
  <c r="L21" i="132"/>
  <c r="K6" i="132"/>
  <c r="P22" i="131"/>
  <c r="P75" i="131"/>
  <c r="O22" i="131"/>
  <c r="O75" i="131"/>
  <c r="H22" i="131"/>
  <c r="H75" i="131"/>
  <c r="G22" i="131"/>
  <c r="G75" i="131"/>
  <c r="O21" i="131"/>
  <c r="O74" i="131"/>
  <c r="N21" i="131"/>
  <c r="N74" i="131"/>
  <c r="M21" i="131"/>
  <c r="M74" i="131"/>
  <c r="G21" i="131"/>
  <c r="G74" i="131"/>
  <c r="F21" i="131"/>
  <c r="F74" i="131"/>
  <c r="E21" i="131"/>
  <c r="E74" i="131"/>
  <c r="C11" i="131"/>
  <c r="C73" i="131"/>
  <c r="P72" i="131"/>
  <c r="H72" i="131"/>
  <c r="G72" i="131"/>
  <c r="F72" i="131"/>
  <c r="E72" i="131"/>
  <c r="D72" i="131"/>
  <c r="P33" i="131"/>
  <c r="O33" i="131"/>
  <c r="N33" i="131"/>
  <c r="M33" i="131"/>
  <c r="L33" i="131"/>
  <c r="K33" i="131"/>
  <c r="J33" i="131"/>
  <c r="I33" i="131"/>
  <c r="H33" i="131"/>
  <c r="G33" i="131"/>
  <c r="F33" i="131"/>
  <c r="E33" i="131"/>
  <c r="D33" i="131"/>
  <c r="M40" i="131"/>
  <c r="C33" i="131"/>
  <c r="O28" i="131"/>
  <c r="G24" i="131"/>
  <c r="G28" i="131"/>
  <c r="O27" i="131"/>
  <c r="O47" i="131"/>
  <c r="L24" i="131"/>
  <c r="K24" i="131"/>
  <c r="J24" i="131"/>
  <c r="I24" i="131"/>
  <c r="H24" i="131"/>
  <c r="G27" i="131"/>
  <c r="G47" i="131"/>
  <c r="F24" i="131"/>
  <c r="F22" i="131"/>
  <c r="F27" i="131"/>
  <c r="F47" i="131"/>
  <c r="E24" i="131"/>
  <c r="E22" i="131"/>
  <c r="E26" i="131"/>
  <c r="D24" i="131"/>
  <c r="D21" i="131"/>
  <c r="D22" i="131"/>
  <c r="D27" i="131"/>
  <c r="D47" i="131"/>
  <c r="C24" i="131"/>
  <c r="O26" i="131"/>
  <c r="N22" i="131"/>
  <c r="N75" i="131"/>
  <c r="M22" i="131"/>
  <c r="M75" i="131"/>
  <c r="J7" i="131"/>
  <c r="J19" i="131"/>
  <c r="J22" i="131"/>
  <c r="G26" i="131"/>
  <c r="F75" i="131"/>
  <c r="E75" i="131"/>
  <c r="D75" i="131"/>
  <c r="C22" i="131"/>
  <c r="C75" i="131"/>
  <c r="P21" i="131"/>
  <c r="N28" i="131"/>
  <c r="M28" i="131"/>
  <c r="H21" i="131"/>
  <c r="F28" i="131"/>
  <c r="D74" i="131"/>
  <c r="C21" i="131"/>
  <c r="C20" i="131"/>
  <c r="C27" i="131"/>
  <c r="C47" i="131"/>
  <c r="L19" i="131"/>
  <c r="I19" i="131"/>
  <c r="K19" i="131"/>
  <c r="J18" i="131"/>
  <c r="L18" i="131"/>
  <c r="I18" i="131"/>
  <c r="I72" i="131"/>
  <c r="P16" i="131"/>
  <c r="O16" i="131"/>
  <c r="N16" i="131"/>
  <c r="M16" i="131"/>
  <c r="L16" i="131"/>
  <c r="K16" i="131"/>
  <c r="J16" i="131"/>
  <c r="I16" i="131"/>
  <c r="H16" i="131"/>
  <c r="G16" i="131"/>
  <c r="F16" i="131"/>
  <c r="E16" i="131"/>
  <c r="D16" i="131"/>
  <c r="P11" i="131"/>
  <c r="P13" i="131"/>
  <c r="P14" i="131"/>
  <c r="H11" i="131"/>
  <c r="H13" i="131"/>
  <c r="H14" i="131"/>
  <c r="G11" i="131"/>
  <c r="G13" i="131"/>
  <c r="G14" i="131"/>
  <c r="O11" i="131"/>
  <c r="O13" i="131"/>
  <c r="N11" i="131"/>
  <c r="N13" i="131"/>
  <c r="M11" i="131"/>
  <c r="M13" i="131"/>
  <c r="K4" i="131"/>
  <c r="L4" i="131"/>
  <c r="M4" i="131"/>
  <c r="M14" i="131"/>
  <c r="M34" i="131"/>
  <c r="F11" i="131"/>
  <c r="F13" i="131"/>
  <c r="F14" i="131"/>
  <c r="E11" i="131"/>
  <c r="E13" i="131"/>
  <c r="E14" i="131"/>
  <c r="D11" i="131"/>
  <c r="D13" i="131"/>
  <c r="D14" i="131"/>
  <c r="P73" i="131"/>
  <c r="J6" i="131"/>
  <c r="J8" i="131"/>
  <c r="J11" i="131"/>
  <c r="J73" i="131"/>
  <c r="H73" i="131"/>
  <c r="G73" i="131"/>
  <c r="F73" i="131"/>
  <c r="E73" i="131"/>
  <c r="C13" i="131"/>
  <c r="C14" i="131"/>
  <c r="C34" i="131"/>
  <c r="I8" i="131"/>
  <c r="L8" i="131"/>
  <c r="K8" i="131"/>
  <c r="K7" i="131"/>
  <c r="I7" i="131"/>
  <c r="I22" i="131"/>
  <c r="I75" i="131"/>
  <c r="I6" i="131"/>
  <c r="L6" i="131"/>
  <c r="K6" i="131"/>
  <c r="P22" i="130"/>
  <c r="P75" i="130"/>
  <c r="O22" i="130"/>
  <c r="O75" i="130"/>
  <c r="N22" i="130"/>
  <c r="N75" i="130"/>
  <c r="H22" i="130"/>
  <c r="H75" i="130"/>
  <c r="G22" i="130"/>
  <c r="G75" i="130"/>
  <c r="F22" i="130"/>
  <c r="F75" i="130"/>
  <c r="N21" i="130"/>
  <c r="N74" i="130"/>
  <c r="M21" i="130"/>
  <c r="M74" i="130"/>
  <c r="F21" i="130"/>
  <c r="F74" i="130"/>
  <c r="E21" i="130"/>
  <c r="E74" i="130"/>
  <c r="D21" i="130"/>
  <c r="D74" i="130"/>
  <c r="C11" i="130"/>
  <c r="C73" i="130"/>
  <c r="P72" i="130"/>
  <c r="H72" i="130"/>
  <c r="G72" i="130"/>
  <c r="F72" i="130"/>
  <c r="E72" i="130"/>
  <c r="D72" i="130"/>
  <c r="P33" i="130"/>
  <c r="O33" i="130"/>
  <c r="N33" i="130"/>
  <c r="M33" i="130"/>
  <c r="L33" i="130"/>
  <c r="K33" i="130"/>
  <c r="J33" i="130"/>
  <c r="I33" i="130"/>
  <c r="H33" i="130"/>
  <c r="G33" i="130"/>
  <c r="F33" i="130"/>
  <c r="D33" i="130"/>
  <c r="F40" i="130"/>
  <c r="E33" i="130"/>
  <c r="E11" i="130"/>
  <c r="E13" i="130"/>
  <c r="E14" i="130"/>
  <c r="E34" i="130"/>
  <c r="C33" i="130"/>
  <c r="O21" i="130"/>
  <c r="O28" i="130"/>
  <c r="N28" i="130"/>
  <c r="G21" i="130"/>
  <c r="G24" i="130"/>
  <c r="G28" i="130"/>
  <c r="F24" i="130"/>
  <c r="F28" i="130"/>
  <c r="E22" i="130"/>
  <c r="E24" i="130"/>
  <c r="E27" i="130"/>
  <c r="E47" i="130"/>
  <c r="D22" i="130"/>
  <c r="D24" i="130"/>
  <c r="D27" i="130"/>
  <c r="D47" i="130"/>
  <c r="L24" i="130"/>
  <c r="K24" i="130"/>
  <c r="J24" i="130"/>
  <c r="I24" i="130"/>
  <c r="H24" i="130"/>
  <c r="D28" i="130"/>
  <c r="C24" i="130"/>
  <c r="M22" i="130"/>
  <c r="M75" i="130"/>
  <c r="J7" i="130"/>
  <c r="J19" i="130"/>
  <c r="J22" i="130"/>
  <c r="I7" i="130"/>
  <c r="I19" i="130"/>
  <c r="I22" i="130"/>
  <c r="E75" i="130"/>
  <c r="D75" i="130"/>
  <c r="C22" i="130"/>
  <c r="C21" i="130"/>
  <c r="C20" i="130"/>
  <c r="C26" i="130"/>
  <c r="P21" i="130"/>
  <c r="M28" i="130"/>
  <c r="H21" i="130"/>
  <c r="E28" i="130"/>
  <c r="D76" i="130"/>
  <c r="C74" i="130"/>
  <c r="C27" i="130"/>
  <c r="C47" i="130"/>
  <c r="L19" i="130"/>
  <c r="J75" i="130"/>
  <c r="K19" i="130"/>
  <c r="J18" i="130"/>
  <c r="I18" i="130"/>
  <c r="P16" i="130"/>
  <c r="O16" i="130"/>
  <c r="N16" i="130"/>
  <c r="M16" i="130"/>
  <c r="L16" i="130"/>
  <c r="K16" i="130"/>
  <c r="J16" i="130"/>
  <c r="I16" i="130"/>
  <c r="H16" i="130"/>
  <c r="G16" i="130"/>
  <c r="F16" i="130"/>
  <c r="E16" i="130"/>
  <c r="D16" i="130"/>
  <c r="M11" i="130"/>
  <c r="M13" i="130"/>
  <c r="D11" i="130"/>
  <c r="D13" i="130"/>
  <c r="D14" i="130"/>
  <c r="C13" i="130"/>
  <c r="C14" i="130"/>
  <c r="P11" i="130"/>
  <c r="P73" i="130"/>
  <c r="O11" i="130"/>
  <c r="N11" i="130"/>
  <c r="J6" i="130"/>
  <c r="J8" i="130"/>
  <c r="J11" i="130"/>
  <c r="J73" i="130"/>
  <c r="I6" i="130"/>
  <c r="I8" i="130"/>
  <c r="I11" i="130"/>
  <c r="I73" i="130"/>
  <c r="H11" i="130"/>
  <c r="H73" i="130"/>
  <c r="G11" i="130"/>
  <c r="G73" i="130"/>
  <c r="F11" i="130"/>
  <c r="F73" i="130"/>
  <c r="E73" i="130"/>
  <c r="D73" i="130"/>
  <c r="L8" i="130"/>
  <c r="K8" i="130"/>
  <c r="K7" i="130"/>
  <c r="L6" i="130"/>
  <c r="K6" i="130"/>
  <c r="K4" i="130"/>
  <c r="L4" i="130"/>
  <c r="M4" i="130"/>
  <c r="P22" i="129"/>
  <c r="P75" i="129"/>
  <c r="N22" i="129"/>
  <c r="N75" i="129"/>
  <c r="H22" i="129"/>
  <c r="H75" i="129"/>
  <c r="F22" i="129"/>
  <c r="F75" i="129"/>
  <c r="N21" i="129"/>
  <c r="N74" i="129"/>
  <c r="F21" i="129"/>
  <c r="F74" i="129"/>
  <c r="D21" i="129"/>
  <c r="D74" i="129"/>
  <c r="P72" i="129"/>
  <c r="H72" i="129"/>
  <c r="G72" i="129"/>
  <c r="F72" i="129"/>
  <c r="E72" i="129"/>
  <c r="D72" i="129"/>
  <c r="C20" i="129"/>
  <c r="C72" i="129"/>
  <c r="D33" i="129"/>
  <c r="M33" i="129"/>
  <c r="M40" i="129"/>
  <c r="P33" i="129"/>
  <c r="O33" i="129"/>
  <c r="N33" i="129"/>
  <c r="L33" i="129"/>
  <c r="K33" i="129"/>
  <c r="J33" i="129"/>
  <c r="I33" i="129"/>
  <c r="H33" i="129"/>
  <c r="G33" i="129"/>
  <c r="G40" i="129"/>
  <c r="F33" i="129"/>
  <c r="E33" i="129"/>
  <c r="E40" i="129"/>
  <c r="C33" i="129"/>
  <c r="P21" i="129"/>
  <c r="P28" i="129"/>
  <c r="N28" i="129"/>
  <c r="H21" i="129"/>
  <c r="H24" i="129"/>
  <c r="H28" i="129"/>
  <c r="L24" i="129"/>
  <c r="J24" i="129"/>
  <c r="I24" i="129"/>
  <c r="G24" i="129"/>
  <c r="F24" i="129"/>
  <c r="F27" i="129"/>
  <c r="F47" i="129"/>
  <c r="E24" i="129"/>
  <c r="D24" i="129"/>
  <c r="C24" i="129"/>
  <c r="O22" i="129"/>
  <c r="O75" i="129"/>
  <c r="M22" i="129"/>
  <c r="M75" i="129"/>
  <c r="K7" i="129"/>
  <c r="I19" i="129"/>
  <c r="K19" i="129"/>
  <c r="K22" i="129"/>
  <c r="I7" i="129"/>
  <c r="I22" i="129"/>
  <c r="I75" i="129"/>
  <c r="G22" i="129"/>
  <c r="G75" i="129"/>
  <c r="E75" i="129"/>
  <c r="D22" i="129"/>
  <c r="D75" i="129"/>
  <c r="C22" i="129"/>
  <c r="C75" i="129"/>
  <c r="O21" i="129"/>
  <c r="M21" i="129"/>
  <c r="M28" i="129"/>
  <c r="I6" i="129"/>
  <c r="I18" i="129"/>
  <c r="I21" i="129"/>
  <c r="I28" i="129"/>
  <c r="H26" i="129"/>
  <c r="G21" i="129"/>
  <c r="E27" i="129"/>
  <c r="E47" i="129"/>
  <c r="C21" i="129"/>
  <c r="C74" i="129"/>
  <c r="J19" i="129"/>
  <c r="L19" i="129"/>
  <c r="K75" i="129"/>
  <c r="K18" i="129"/>
  <c r="J18" i="129"/>
  <c r="I74" i="129"/>
  <c r="P16" i="129"/>
  <c r="O16" i="129"/>
  <c r="N16" i="129"/>
  <c r="M16" i="129"/>
  <c r="L16" i="129"/>
  <c r="K16" i="129"/>
  <c r="J16" i="129"/>
  <c r="I16" i="129"/>
  <c r="H16" i="129"/>
  <c r="G16" i="129"/>
  <c r="F16" i="129"/>
  <c r="E16" i="129"/>
  <c r="D16" i="129"/>
  <c r="O11" i="129"/>
  <c r="O13" i="129"/>
  <c r="N11" i="129"/>
  <c r="N13" i="129"/>
  <c r="M11" i="129"/>
  <c r="M13" i="129"/>
  <c r="G11" i="129"/>
  <c r="G13" i="129"/>
  <c r="G14" i="129"/>
  <c r="F11" i="129"/>
  <c r="F13" i="129"/>
  <c r="F14" i="129"/>
  <c r="E11" i="129"/>
  <c r="E13" i="129"/>
  <c r="E14" i="129"/>
  <c r="E34" i="129"/>
  <c r="P11" i="129"/>
  <c r="C11" i="129"/>
  <c r="P73" i="129"/>
  <c r="I8" i="129"/>
  <c r="I11" i="129"/>
  <c r="I73" i="129"/>
  <c r="H11" i="129"/>
  <c r="H73" i="129"/>
  <c r="G73" i="129"/>
  <c r="F73" i="129"/>
  <c r="E73" i="129"/>
  <c r="D11" i="129"/>
  <c r="D13" i="129"/>
  <c r="D14" i="129"/>
  <c r="D34" i="129"/>
  <c r="D73" i="129"/>
  <c r="K8" i="129"/>
  <c r="K6" i="129"/>
  <c r="K11" i="129"/>
  <c r="J8" i="129"/>
  <c r="L8" i="129"/>
  <c r="J7" i="129"/>
  <c r="J22" i="129"/>
  <c r="L6" i="129"/>
  <c r="J6" i="129"/>
  <c r="I27" i="129"/>
  <c r="I47" i="129"/>
  <c r="K4" i="129"/>
  <c r="L4" i="129"/>
  <c r="M4" i="129"/>
  <c r="J76" i="137"/>
  <c r="M56" i="137"/>
  <c r="M58" i="137"/>
  <c r="E56" i="137"/>
  <c r="E58" i="137"/>
  <c r="D56" i="137"/>
  <c r="P56" i="137"/>
  <c r="P58" i="137"/>
  <c r="G56" i="137"/>
  <c r="G58" i="137"/>
  <c r="O56" i="137"/>
  <c r="O14" i="137"/>
  <c r="O58" i="137"/>
  <c r="J56" i="137"/>
  <c r="J58" i="137"/>
  <c r="I56" i="137"/>
  <c r="I58" i="137"/>
  <c r="H56" i="137"/>
  <c r="H58" i="137"/>
  <c r="F56" i="137"/>
  <c r="F58" i="137"/>
  <c r="L28" i="137"/>
  <c r="K47" i="137"/>
  <c r="K56" i="137"/>
  <c r="K58" i="137"/>
  <c r="K76" i="137"/>
  <c r="C48" i="137"/>
  <c r="L26" i="137"/>
  <c r="O72" i="137"/>
  <c r="O34" i="137"/>
  <c r="O73" i="137"/>
  <c r="N27" i="137"/>
  <c r="N47" i="137"/>
  <c r="N56" i="137"/>
  <c r="N58" i="137"/>
  <c r="N72" i="137"/>
  <c r="N26" i="137"/>
  <c r="L27" i="137"/>
  <c r="L47" i="137"/>
  <c r="L56" i="137"/>
  <c r="L58" i="137"/>
  <c r="D76" i="136"/>
  <c r="C76" i="136"/>
  <c r="O76" i="136"/>
  <c r="E76" i="136"/>
  <c r="I74" i="136"/>
  <c r="K26" i="136"/>
  <c r="K27" i="136"/>
  <c r="K76" i="136"/>
  <c r="F76" i="136"/>
  <c r="K74" i="136"/>
  <c r="K13" i="136"/>
  <c r="K14" i="136"/>
  <c r="K34" i="136"/>
  <c r="K73" i="136"/>
  <c r="K47" i="136"/>
  <c r="D51" i="136"/>
  <c r="D57" i="136"/>
  <c r="L21" i="136"/>
  <c r="L26" i="136"/>
  <c r="L11" i="136"/>
  <c r="I76" i="136"/>
  <c r="H76" i="136"/>
  <c r="C51" i="136"/>
  <c r="C50" i="136"/>
  <c r="C52" i="136"/>
  <c r="C56" i="136"/>
  <c r="C58" i="136"/>
  <c r="C57" i="136"/>
  <c r="J73" i="136"/>
  <c r="J13" i="136"/>
  <c r="J14" i="136"/>
  <c r="J34" i="136"/>
  <c r="P76" i="136"/>
  <c r="I26" i="136"/>
  <c r="J76" i="136"/>
  <c r="O4" i="136"/>
  <c r="N20" i="136"/>
  <c r="C76" i="135"/>
  <c r="D57" i="135"/>
  <c r="D51" i="135"/>
  <c r="K73" i="135"/>
  <c r="K13" i="135"/>
  <c r="K14" i="135"/>
  <c r="K34" i="135"/>
  <c r="L21" i="135"/>
  <c r="L26" i="135"/>
  <c r="L11" i="135"/>
  <c r="G76" i="135"/>
  <c r="J26" i="135"/>
  <c r="J27" i="135"/>
  <c r="J47" i="135"/>
  <c r="J73" i="135"/>
  <c r="J13" i="135"/>
  <c r="J14" i="135"/>
  <c r="J34" i="135"/>
  <c r="M76" i="135"/>
  <c r="I27" i="135"/>
  <c r="I47" i="135"/>
  <c r="J74" i="135"/>
  <c r="H76" i="135"/>
  <c r="P76" i="135"/>
  <c r="K27" i="135"/>
  <c r="K47" i="135"/>
  <c r="N20" i="135"/>
  <c r="N73" i="135"/>
  <c r="O4" i="135"/>
  <c r="C51" i="135"/>
  <c r="C56" i="135"/>
  <c r="C58" i="135"/>
  <c r="C57" i="135"/>
  <c r="C50" i="135"/>
  <c r="C52" i="135"/>
  <c r="I74" i="135"/>
  <c r="K74" i="135"/>
  <c r="D76" i="135"/>
  <c r="F76" i="134"/>
  <c r="J73" i="134"/>
  <c r="J13" i="134"/>
  <c r="J14" i="134"/>
  <c r="J34" i="134"/>
  <c r="C51" i="134"/>
  <c r="C50" i="134"/>
  <c r="C52" i="134"/>
  <c r="C56" i="134"/>
  <c r="C58" i="134"/>
  <c r="C57" i="134"/>
  <c r="J28" i="134"/>
  <c r="D76" i="134"/>
  <c r="J76" i="134"/>
  <c r="J26" i="134"/>
  <c r="D57" i="134"/>
  <c r="D51" i="134"/>
  <c r="C48" i="134"/>
  <c r="I26" i="134"/>
  <c r="I73" i="134"/>
  <c r="I13" i="134"/>
  <c r="I14" i="134"/>
  <c r="I34" i="134"/>
  <c r="K73" i="134"/>
  <c r="K13" i="134"/>
  <c r="K14" i="134"/>
  <c r="K34" i="134"/>
  <c r="C76" i="134"/>
  <c r="O76" i="134"/>
  <c r="L21" i="134"/>
  <c r="L11" i="134"/>
  <c r="L22" i="134"/>
  <c r="L26" i="134"/>
  <c r="M26" i="134"/>
  <c r="H76" i="134"/>
  <c r="K26" i="134"/>
  <c r="G76" i="134"/>
  <c r="M27" i="134"/>
  <c r="L75" i="134"/>
  <c r="N20" i="134"/>
  <c r="O4" i="134"/>
  <c r="N14" i="134"/>
  <c r="N34" i="134"/>
  <c r="P76" i="134"/>
  <c r="K74" i="134"/>
  <c r="I76" i="134"/>
  <c r="N73" i="134"/>
  <c r="K27" i="134"/>
  <c r="F76" i="133"/>
  <c r="E76" i="133"/>
  <c r="D76" i="133"/>
  <c r="G76" i="133"/>
  <c r="J73" i="133"/>
  <c r="M76" i="133"/>
  <c r="O76" i="133"/>
  <c r="I76" i="133"/>
  <c r="C76" i="133"/>
  <c r="L21" i="133"/>
  <c r="L27" i="133"/>
  <c r="L47" i="133"/>
  <c r="L26" i="133"/>
  <c r="C51" i="133"/>
  <c r="C56" i="133"/>
  <c r="C58" i="133"/>
  <c r="C50" i="133"/>
  <c r="C52" i="133"/>
  <c r="C57" i="133"/>
  <c r="H76" i="133"/>
  <c r="D51" i="133"/>
  <c r="D57" i="133"/>
  <c r="P76" i="133"/>
  <c r="K73" i="133"/>
  <c r="K27" i="133"/>
  <c r="N20" i="133"/>
  <c r="O4" i="133"/>
  <c r="C34" i="132"/>
  <c r="E34" i="132"/>
  <c r="I40" i="132"/>
  <c r="F40" i="132"/>
  <c r="G40" i="132"/>
  <c r="D34" i="132"/>
  <c r="N40" i="132"/>
  <c r="O40" i="132"/>
  <c r="E28" i="132"/>
  <c r="F28" i="132"/>
  <c r="G76" i="132"/>
  <c r="E26" i="132"/>
  <c r="H34" i="131"/>
  <c r="G34" i="131"/>
  <c r="F34" i="131"/>
  <c r="E34" i="131"/>
  <c r="N40" i="131"/>
  <c r="F40" i="131"/>
  <c r="G40" i="131"/>
  <c r="O40" i="131"/>
  <c r="D34" i="131"/>
  <c r="H40" i="131"/>
  <c r="O76" i="131"/>
  <c r="E28" i="131"/>
  <c r="C26" i="131"/>
  <c r="L40" i="130"/>
  <c r="K40" i="130"/>
  <c r="C34" i="130"/>
  <c r="M40" i="130"/>
  <c r="N40" i="130"/>
  <c r="O40" i="130"/>
  <c r="D34" i="130"/>
  <c r="G40" i="130"/>
  <c r="C40" i="130"/>
  <c r="E40" i="130"/>
  <c r="L40" i="129"/>
  <c r="F34" i="129"/>
  <c r="O40" i="129"/>
  <c r="G34" i="129"/>
  <c r="F28" i="129"/>
  <c r="E28" i="129"/>
  <c r="N4" i="132"/>
  <c r="M20" i="132"/>
  <c r="C51" i="132"/>
  <c r="C56" i="132"/>
  <c r="C58" i="132"/>
  <c r="C50" i="132"/>
  <c r="C52" i="132"/>
  <c r="C57" i="132"/>
  <c r="I21" i="132"/>
  <c r="I26" i="132"/>
  <c r="L74" i="132"/>
  <c r="L72" i="132"/>
  <c r="M73" i="132"/>
  <c r="K22" i="132"/>
  <c r="K75" i="132"/>
  <c r="L22" i="132"/>
  <c r="L27" i="132"/>
  <c r="D28" i="132"/>
  <c r="D51" i="132"/>
  <c r="D57" i="132"/>
  <c r="C69" i="132"/>
  <c r="L11" i="132"/>
  <c r="K18" i="132"/>
  <c r="J21" i="132"/>
  <c r="D26" i="132"/>
  <c r="H40" i="132"/>
  <c r="I75" i="132"/>
  <c r="C76" i="132"/>
  <c r="D73" i="132"/>
  <c r="F73" i="132"/>
  <c r="H74" i="132"/>
  <c r="P74" i="132"/>
  <c r="D76" i="132"/>
  <c r="K11" i="132"/>
  <c r="P28" i="132"/>
  <c r="M26" i="132"/>
  <c r="F26" i="132"/>
  <c r="H27" i="132"/>
  <c r="H47" i="132"/>
  <c r="P27" i="132"/>
  <c r="P47" i="132"/>
  <c r="J40" i="132"/>
  <c r="I74" i="132"/>
  <c r="C75" i="132"/>
  <c r="E76" i="132"/>
  <c r="H28" i="132"/>
  <c r="G26" i="132"/>
  <c r="O26" i="132"/>
  <c r="I27" i="132"/>
  <c r="I47" i="132"/>
  <c r="C40" i="132"/>
  <c r="K40" i="132"/>
  <c r="J74" i="132"/>
  <c r="F76" i="132"/>
  <c r="J13" i="132"/>
  <c r="J14" i="132"/>
  <c r="J34" i="132"/>
  <c r="H26" i="132"/>
  <c r="P26" i="132"/>
  <c r="D40" i="132"/>
  <c r="L40" i="132"/>
  <c r="C74" i="132"/>
  <c r="E75" i="132"/>
  <c r="J72" i="132"/>
  <c r="K21" i="132"/>
  <c r="I11" i="132"/>
  <c r="E40" i="132"/>
  <c r="L22" i="131"/>
  <c r="L75" i="131"/>
  <c r="J13" i="131"/>
  <c r="J14" i="131"/>
  <c r="J34" i="131"/>
  <c r="D28" i="131"/>
  <c r="D57" i="131"/>
  <c r="C57" i="131"/>
  <c r="C69" i="131"/>
  <c r="D51" i="131"/>
  <c r="N4" i="131"/>
  <c r="M20" i="131"/>
  <c r="I21" i="131"/>
  <c r="I26" i="131"/>
  <c r="J21" i="131"/>
  <c r="J27" i="131"/>
  <c r="J47" i="131"/>
  <c r="L21" i="131"/>
  <c r="L74" i="131"/>
  <c r="L27" i="131"/>
  <c r="L47" i="131"/>
  <c r="L72" i="131"/>
  <c r="G76" i="131"/>
  <c r="C51" i="131"/>
  <c r="C56" i="131"/>
  <c r="C58" i="131"/>
  <c r="C50" i="131"/>
  <c r="C52" i="131"/>
  <c r="K18" i="131"/>
  <c r="K21" i="131"/>
  <c r="K22" i="131"/>
  <c r="K27" i="131"/>
  <c r="K47" i="131"/>
  <c r="M73" i="131"/>
  <c r="K75" i="131"/>
  <c r="H27" i="131"/>
  <c r="H76" i="131"/>
  <c r="D73" i="131"/>
  <c r="C72" i="131"/>
  <c r="C76" i="131"/>
  <c r="K76" i="131"/>
  <c r="E27" i="131"/>
  <c r="E47" i="131"/>
  <c r="H28" i="131"/>
  <c r="J72" i="131"/>
  <c r="L11" i="131"/>
  <c r="I40" i="131"/>
  <c r="H74" i="131"/>
  <c r="P74" i="131"/>
  <c r="J75" i="131"/>
  <c r="D76" i="131"/>
  <c r="D26" i="131"/>
  <c r="K28" i="131"/>
  <c r="L28" i="131"/>
  <c r="F26" i="131"/>
  <c r="H47" i="131"/>
  <c r="P27" i="131"/>
  <c r="P47" i="131"/>
  <c r="J40" i="131"/>
  <c r="I74" i="131"/>
  <c r="E76" i="131"/>
  <c r="P28" i="131"/>
  <c r="I27" i="131"/>
  <c r="I47" i="131"/>
  <c r="C40" i="131"/>
  <c r="K40" i="131"/>
  <c r="J74" i="131"/>
  <c r="F76" i="131"/>
  <c r="K11" i="131"/>
  <c r="K26" i="131"/>
  <c r="M26" i="131"/>
  <c r="H26" i="131"/>
  <c r="P26" i="131"/>
  <c r="D40" i="131"/>
  <c r="L40" i="131"/>
  <c r="C74" i="131"/>
  <c r="I11" i="131"/>
  <c r="E40" i="131"/>
  <c r="M14" i="130"/>
  <c r="M20" i="130"/>
  <c r="N4" i="130"/>
  <c r="D57" i="130"/>
  <c r="D51" i="130"/>
  <c r="C51" i="130"/>
  <c r="C48" i="130"/>
  <c r="M34" i="130"/>
  <c r="F13" i="130"/>
  <c r="F14" i="130"/>
  <c r="F34" i="130"/>
  <c r="N13" i="130"/>
  <c r="N14" i="130"/>
  <c r="N34" i="130"/>
  <c r="I21" i="130"/>
  <c r="I27" i="130"/>
  <c r="I47" i="130"/>
  <c r="P27" i="130"/>
  <c r="P76" i="130"/>
  <c r="F27" i="130"/>
  <c r="F76" i="130"/>
  <c r="L18" i="130"/>
  <c r="L21" i="130"/>
  <c r="L22" i="130"/>
  <c r="L28" i="130"/>
  <c r="M73" i="130"/>
  <c r="K22" i="130"/>
  <c r="K75" i="130"/>
  <c r="C56" i="130"/>
  <c r="C58" i="130"/>
  <c r="C57" i="130"/>
  <c r="C50" i="130"/>
  <c r="C52" i="130"/>
  <c r="K11" i="130"/>
  <c r="L11" i="130"/>
  <c r="K18" i="130"/>
  <c r="J21" i="130"/>
  <c r="J28" i="130"/>
  <c r="L75" i="130"/>
  <c r="D26" i="130"/>
  <c r="F47" i="130"/>
  <c r="H40" i="130"/>
  <c r="C72" i="130"/>
  <c r="G74" i="130"/>
  <c r="O74" i="130"/>
  <c r="I75" i="130"/>
  <c r="C76" i="130"/>
  <c r="J72" i="130"/>
  <c r="G13" i="130"/>
  <c r="G14" i="130"/>
  <c r="G34" i="130"/>
  <c r="O13" i="130"/>
  <c r="E26" i="130"/>
  <c r="M26" i="130"/>
  <c r="G27" i="130"/>
  <c r="G47" i="130"/>
  <c r="O27" i="130"/>
  <c r="O47" i="130"/>
  <c r="I40" i="130"/>
  <c r="H74" i="130"/>
  <c r="P74" i="130"/>
  <c r="I72" i="130"/>
  <c r="H13" i="130"/>
  <c r="H14" i="130"/>
  <c r="H34" i="130"/>
  <c r="P13" i="130"/>
  <c r="P14" i="130"/>
  <c r="F26" i="130"/>
  <c r="H27" i="130"/>
  <c r="H47" i="130"/>
  <c r="P47" i="130"/>
  <c r="J40" i="130"/>
  <c r="I74" i="130"/>
  <c r="C75" i="130"/>
  <c r="E76" i="130"/>
  <c r="H28" i="130"/>
  <c r="I13" i="130"/>
  <c r="I14" i="130"/>
  <c r="I34" i="130"/>
  <c r="G26" i="130"/>
  <c r="O26" i="130"/>
  <c r="P28" i="130"/>
  <c r="J13" i="130"/>
  <c r="J14" i="130"/>
  <c r="J34" i="130"/>
  <c r="H26" i="130"/>
  <c r="P26" i="130"/>
  <c r="D40" i="130"/>
  <c r="K73" i="129"/>
  <c r="K13" i="129"/>
  <c r="K14" i="129"/>
  <c r="M14" i="129"/>
  <c r="M34" i="129"/>
  <c r="M73" i="129"/>
  <c r="J21" i="129"/>
  <c r="J74" i="129"/>
  <c r="D27" i="129"/>
  <c r="D76" i="129"/>
  <c r="L11" i="129"/>
  <c r="F76" i="129"/>
  <c r="H13" i="129"/>
  <c r="H14" i="129"/>
  <c r="H34" i="129"/>
  <c r="N4" i="129"/>
  <c r="M20" i="129"/>
  <c r="K34" i="129"/>
  <c r="J27" i="129"/>
  <c r="J47" i="129"/>
  <c r="J75" i="129"/>
  <c r="C13" i="129"/>
  <c r="C14" i="129"/>
  <c r="C34" i="129"/>
  <c r="I26" i="129"/>
  <c r="C27" i="129"/>
  <c r="C47" i="129"/>
  <c r="J11" i="129"/>
  <c r="D47" i="129"/>
  <c r="G28" i="129"/>
  <c r="O28" i="129"/>
  <c r="F40" i="129"/>
  <c r="N40" i="129"/>
  <c r="I72" i="129"/>
  <c r="C73" i="129"/>
  <c r="E74" i="129"/>
  <c r="M74" i="129"/>
  <c r="I76" i="129"/>
  <c r="L22" i="129"/>
  <c r="L75" i="129"/>
  <c r="L18" i="129"/>
  <c r="L21" i="129"/>
  <c r="L26" i="129"/>
  <c r="H40" i="129"/>
  <c r="K72" i="129"/>
  <c r="G74" i="129"/>
  <c r="O74" i="129"/>
  <c r="H74" i="129"/>
  <c r="P74" i="129"/>
  <c r="C26" i="129"/>
  <c r="J72" i="129"/>
  <c r="K21" i="129"/>
  <c r="E26" i="129"/>
  <c r="G27" i="129"/>
  <c r="G47" i="129"/>
  <c r="O27" i="129"/>
  <c r="O47" i="129"/>
  <c r="I40" i="129"/>
  <c r="P13" i="129"/>
  <c r="P14" i="129"/>
  <c r="F26" i="129"/>
  <c r="H27" i="129"/>
  <c r="P27" i="129"/>
  <c r="P47" i="129"/>
  <c r="J40" i="129"/>
  <c r="E76" i="129"/>
  <c r="D26" i="129"/>
  <c r="I13" i="129"/>
  <c r="I14" i="129"/>
  <c r="I34" i="129"/>
  <c r="G26" i="129"/>
  <c r="O26" i="129"/>
  <c r="D28" i="129"/>
  <c r="C40" i="129"/>
  <c r="K40" i="129"/>
  <c r="J28" i="129"/>
  <c r="P26" i="129"/>
  <c r="D40" i="129"/>
  <c r="N75" i="128"/>
  <c r="M22" i="128"/>
  <c r="M75" i="128"/>
  <c r="E22" i="128"/>
  <c r="E75" i="128"/>
  <c r="D22" i="128"/>
  <c r="D75" i="128"/>
  <c r="C22" i="128"/>
  <c r="C75" i="128"/>
  <c r="H21" i="128"/>
  <c r="H74" i="128"/>
  <c r="G21" i="128"/>
  <c r="G74" i="128"/>
  <c r="C11" i="128"/>
  <c r="C73" i="128"/>
  <c r="H72" i="128"/>
  <c r="G72" i="128"/>
  <c r="F72" i="128"/>
  <c r="E72" i="128"/>
  <c r="D72" i="128"/>
  <c r="C20" i="128"/>
  <c r="C72" i="128"/>
  <c r="N33" i="128"/>
  <c r="M33" i="128"/>
  <c r="L33" i="128"/>
  <c r="K33" i="128"/>
  <c r="D33" i="128"/>
  <c r="K40" i="128"/>
  <c r="J33" i="128"/>
  <c r="J40" i="128"/>
  <c r="I33" i="128"/>
  <c r="I40" i="128"/>
  <c r="H33" i="128"/>
  <c r="H11" i="128"/>
  <c r="H13" i="128"/>
  <c r="H14" i="128"/>
  <c r="H34" i="128"/>
  <c r="G33" i="128"/>
  <c r="G11" i="128"/>
  <c r="G13" i="128"/>
  <c r="G14" i="128"/>
  <c r="G34" i="128"/>
  <c r="F33" i="128"/>
  <c r="F11" i="128"/>
  <c r="F13" i="128"/>
  <c r="F14" i="128"/>
  <c r="F34" i="128"/>
  <c r="E33" i="128"/>
  <c r="E11" i="128"/>
  <c r="E13" i="128"/>
  <c r="E14" i="128"/>
  <c r="E34" i="128"/>
  <c r="C33" i="128"/>
  <c r="E21" i="128"/>
  <c r="E24" i="128"/>
  <c r="E27" i="128"/>
  <c r="E47" i="128"/>
  <c r="D21" i="128"/>
  <c r="D24" i="128"/>
  <c r="D27" i="128"/>
  <c r="D47" i="128"/>
  <c r="H22" i="128"/>
  <c r="H24" i="128"/>
  <c r="H26" i="128"/>
  <c r="M24" i="128"/>
  <c r="L24" i="128"/>
  <c r="K24" i="128"/>
  <c r="J24" i="128"/>
  <c r="I24" i="128"/>
  <c r="G24" i="128"/>
  <c r="F24" i="128"/>
  <c r="C24" i="128"/>
  <c r="H75" i="128"/>
  <c r="G22" i="128"/>
  <c r="G75" i="128"/>
  <c r="F22" i="128"/>
  <c r="F75" i="128"/>
  <c r="N21" i="128"/>
  <c r="M21" i="128"/>
  <c r="J6" i="128"/>
  <c r="J18" i="128"/>
  <c r="J21" i="128"/>
  <c r="H28" i="128"/>
  <c r="G26" i="128"/>
  <c r="F21" i="128"/>
  <c r="E28" i="128"/>
  <c r="D26" i="128"/>
  <c r="C21" i="128"/>
  <c r="C27" i="128"/>
  <c r="C47" i="128"/>
  <c r="N20" i="128"/>
  <c r="N72" i="128"/>
  <c r="J19" i="128"/>
  <c r="I19" i="128"/>
  <c r="K19" i="128"/>
  <c r="L18" i="128"/>
  <c r="I18" i="128"/>
  <c r="K18" i="128"/>
  <c r="N16" i="128"/>
  <c r="M16" i="128"/>
  <c r="L16" i="128"/>
  <c r="K16" i="128"/>
  <c r="J16" i="128"/>
  <c r="I16" i="128"/>
  <c r="H16" i="128"/>
  <c r="G16" i="128"/>
  <c r="F16" i="128"/>
  <c r="E16" i="128"/>
  <c r="D16" i="128"/>
  <c r="C13" i="128"/>
  <c r="C14" i="128"/>
  <c r="C34" i="128"/>
  <c r="N11" i="128"/>
  <c r="N73" i="128"/>
  <c r="M11" i="128"/>
  <c r="M13" i="128"/>
  <c r="H73" i="128"/>
  <c r="D11" i="128"/>
  <c r="D13" i="128"/>
  <c r="D14" i="128"/>
  <c r="D34" i="128"/>
  <c r="K8" i="128"/>
  <c r="J8" i="128"/>
  <c r="I8" i="128"/>
  <c r="L8" i="128"/>
  <c r="K7" i="128"/>
  <c r="J7" i="128"/>
  <c r="I7" i="128"/>
  <c r="K6" i="128"/>
  <c r="J11" i="128"/>
  <c r="I6" i="128"/>
  <c r="I21" i="128"/>
  <c r="K4" i="128"/>
  <c r="L4" i="128"/>
  <c r="M4" i="128"/>
  <c r="M20" i="128"/>
  <c r="P22" i="127"/>
  <c r="P75" i="127"/>
  <c r="O22" i="127"/>
  <c r="O75" i="127"/>
  <c r="I19" i="127"/>
  <c r="I7" i="127"/>
  <c r="I22" i="127"/>
  <c r="I75" i="127"/>
  <c r="H22" i="127"/>
  <c r="H75" i="127"/>
  <c r="G22" i="127"/>
  <c r="G75" i="127"/>
  <c r="O21" i="127"/>
  <c r="O74" i="127"/>
  <c r="N21" i="127"/>
  <c r="N74" i="127"/>
  <c r="M21" i="127"/>
  <c r="M74" i="127"/>
  <c r="G21" i="127"/>
  <c r="G74" i="127"/>
  <c r="F21" i="127"/>
  <c r="F74" i="127"/>
  <c r="E21" i="127"/>
  <c r="E74" i="127"/>
  <c r="P72" i="127"/>
  <c r="J18" i="127"/>
  <c r="J19" i="127"/>
  <c r="J72" i="127"/>
  <c r="H72" i="127"/>
  <c r="G72" i="127"/>
  <c r="F72" i="127"/>
  <c r="E72" i="127"/>
  <c r="D72" i="127"/>
  <c r="C20" i="127"/>
  <c r="C72" i="127"/>
  <c r="D33" i="127"/>
  <c r="F33" i="127"/>
  <c r="F40" i="127"/>
  <c r="P33" i="127"/>
  <c r="O33" i="127"/>
  <c r="N33" i="127"/>
  <c r="M33" i="127"/>
  <c r="L33" i="127"/>
  <c r="K33" i="127"/>
  <c r="J33" i="127"/>
  <c r="I33" i="127"/>
  <c r="H33" i="127"/>
  <c r="H40" i="127"/>
  <c r="G33" i="127"/>
  <c r="G40" i="127"/>
  <c r="E33" i="127"/>
  <c r="M40" i="127"/>
  <c r="C33" i="127"/>
  <c r="O28" i="127"/>
  <c r="G24" i="127"/>
  <c r="G28" i="127"/>
  <c r="O27" i="127"/>
  <c r="O47" i="127"/>
  <c r="D21" i="127"/>
  <c r="D22" i="127"/>
  <c r="D24" i="127"/>
  <c r="D26" i="127"/>
  <c r="C21" i="127"/>
  <c r="C22" i="127"/>
  <c r="C24" i="127"/>
  <c r="C26" i="127"/>
  <c r="L24" i="127"/>
  <c r="K24" i="127"/>
  <c r="J24" i="127"/>
  <c r="I24" i="127"/>
  <c r="H24" i="127"/>
  <c r="G27" i="127"/>
  <c r="G47" i="127"/>
  <c r="F24" i="127"/>
  <c r="F22" i="127"/>
  <c r="F27" i="127"/>
  <c r="F47" i="127"/>
  <c r="E24" i="127"/>
  <c r="E22" i="127"/>
  <c r="E27" i="127"/>
  <c r="E47" i="127"/>
  <c r="O26" i="127"/>
  <c r="N22" i="127"/>
  <c r="N75" i="127"/>
  <c r="M22" i="127"/>
  <c r="M75" i="127"/>
  <c r="G26" i="127"/>
  <c r="F75" i="127"/>
  <c r="C75" i="127"/>
  <c r="P21" i="127"/>
  <c r="P28" i="127"/>
  <c r="O76" i="127"/>
  <c r="N28" i="127"/>
  <c r="M28" i="127"/>
  <c r="J6" i="127"/>
  <c r="J21" i="127"/>
  <c r="I6" i="127"/>
  <c r="I18" i="127"/>
  <c r="I21" i="127"/>
  <c r="I28" i="127"/>
  <c r="H21" i="127"/>
  <c r="G76" i="127"/>
  <c r="F28" i="127"/>
  <c r="D74" i="127"/>
  <c r="L19" i="127"/>
  <c r="K19" i="127"/>
  <c r="K7" i="127"/>
  <c r="K22" i="127"/>
  <c r="P16" i="127"/>
  <c r="O16" i="127"/>
  <c r="N16" i="127"/>
  <c r="M16" i="127"/>
  <c r="L16" i="127"/>
  <c r="K16" i="127"/>
  <c r="J16" i="127"/>
  <c r="I16" i="127"/>
  <c r="H16" i="127"/>
  <c r="G16" i="127"/>
  <c r="F16" i="127"/>
  <c r="E16" i="127"/>
  <c r="D16" i="127"/>
  <c r="P11" i="127"/>
  <c r="P13" i="127"/>
  <c r="P14" i="127"/>
  <c r="H11" i="127"/>
  <c r="H13" i="127"/>
  <c r="H14" i="127"/>
  <c r="O11" i="127"/>
  <c r="O13" i="127"/>
  <c r="N11" i="127"/>
  <c r="N13" i="127"/>
  <c r="G11" i="127"/>
  <c r="G13" i="127"/>
  <c r="G14" i="127"/>
  <c r="F11" i="127"/>
  <c r="F13" i="127"/>
  <c r="F14" i="127"/>
  <c r="E11" i="127"/>
  <c r="E13" i="127"/>
  <c r="E14" i="127"/>
  <c r="E34" i="127"/>
  <c r="D11" i="127"/>
  <c r="D13" i="127"/>
  <c r="D14" i="127"/>
  <c r="D34" i="127"/>
  <c r="M11" i="127"/>
  <c r="M13" i="127"/>
  <c r="J7" i="127"/>
  <c r="J8" i="127"/>
  <c r="J11" i="127"/>
  <c r="C11" i="127"/>
  <c r="E73" i="127"/>
  <c r="D73" i="127"/>
  <c r="I8" i="127"/>
  <c r="L8" i="127"/>
  <c r="K8" i="127"/>
  <c r="J22" i="127"/>
  <c r="L6" i="127"/>
  <c r="L11" i="127"/>
  <c r="K6" i="127"/>
  <c r="K11" i="127"/>
  <c r="I26" i="127"/>
  <c r="K4" i="127"/>
  <c r="L4" i="127"/>
  <c r="M4" i="127"/>
  <c r="L76" i="137"/>
  <c r="O59" i="137"/>
  <c r="G59" i="137"/>
  <c r="N59" i="137"/>
  <c r="F59" i="137"/>
  <c r="D58" i="137"/>
  <c r="P59" i="137"/>
  <c r="M59" i="137"/>
  <c r="E59" i="137"/>
  <c r="C59" i="137"/>
  <c r="L59" i="137"/>
  <c r="D59" i="137"/>
  <c r="K59" i="137"/>
  <c r="J59" i="137"/>
  <c r="I59" i="137"/>
  <c r="H59" i="137"/>
  <c r="N76" i="137"/>
  <c r="I50" i="137"/>
  <c r="I52" i="137"/>
  <c r="P50" i="137"/>
  <c r="P52" i="137"/>
  <c r="H50" i="137"/>
  <c r="H52" i="137"/>
  <c r="K50" i="137"/>
  <c r="K52" i="137"/>
  <c r="O50" i="137"/>
  <c r="O52" i="137"/>
  <c r="G50" i="137"/>
  <c r="G52" i="137"/>
  <c r="E50" i="137"/>
  <c r="E52" i="137"/>
  <c r="L50" i="137"/>
  <c r="L52" i="137"/>
  <c r="N50" i="137"/>
  <c r="N52" i="137"/>
  <c r="F50" i="137"/>
  <c r="F52" i="137"/>
  <c r="M50" i="137"/>
  <c r="M52" i="137"/>
  <c r="D50" i="137"/>
  <c r="J50" i="137"/>
  <c r="J52" i="137"/>
  <c r="C48" i="136"/>
  <c r="H50" i="136"/>
  <c r="H52" i="136"/>
  <c r="N72" i="136"/>
  <c r="N27" i="136"/>
  <c r="N47" i="136"/>
  <c r="N26" i="136"/>
  <c r="N76" i="136"/>
  <c r="L28" i="136"/>
  <c r="L74" i="136"/>
  <c r="L27" i="136"/>
  <c r="L47" i="136"/>
  <c r="L50" i="136"/>
  <c r="L13" i="136"/>
  <c r="L14" i="136"/>
  <c r="L52" i="136"/>
  <c r="O72" i="136"/>
  <c r="O73" i="136"/>
  <c r="O14" i="136"/>
  <c r="O34" i="136"/>
  <c r="C69" i="136"/>
  <c r="L73" i="136"/>
  <c r="L34" i="136"/>
  <c r="I50" i="136"/>
  <c r="I52" i="136"/>
  <c r="K50" i="136"/>
  <c r="K52" i="136"/>
  <c r="P50" i="136"/>
  <c r="P52" i="136"/>
  <c r="M50" i="136"/>
  <c r="M52" i="136"/>
  <c r="E50" i="136"/>
  <c r="E52" i="136"/>
  <c r="D50" i="136"/>
  <c r="I76" i="135"/>
  <c r="L28" i="135"/>
  <c r="L74" i="135"/>
  <c r="K76" i="135"/>
  <c r="L27" i="135"/>
  <c r="L47" i="135"/>
  <c r="J76" i="135"/>
  <c r="N72" i="135"/>
  <c r="N27" i="135"/>
  <c r="N47" i="135"/>
  <c r="N26" i="135"/>
  <c r="O72" i="135"/>
  <c r="O73" i="135"/>
  <c r="O14" i="135"/>
  <c r="O34" i="135"/>
  <c r="C48" i="135"/>
  <c r="L73" i="135"/>
  <c r="L13" i="135"/>
  <c r="L14" i="135"/>
  <c r="L34" i="135"/>
  <c r="C69" i="135"/>
  <c r="K47" i="134"/>
  <c r="K76" i="134"/>
  <c r="L73" i="134"/>
  <c r="L13" i="134"/>
  <c r="L14" i="134"/>
  <c r="L34" i="134"/>
  <c r="M47" i="134"/>
  <c r="M76" i="134"/>
  <c r="L28" i="134"/>
  <c r="L74" i="134"/>
  <c r="L27" i="134"/>
  <c r="L47" i="134"/>
  <c r="I50" i="134"/>
  <c r="I52" i="134"/>
  <c r="K50" i="134"/>
  <c r="K52" i="134"/>
  <c r="P50" i="134"/>
  <c r="P52" i="134"/>
  <c r="H50" i="134"/>
  <c r="H52" i="134"/>
  <c r="O50" i="134"/>
  <c r="O14" i="134"/>
  <c r="O52" i="134"/>
  <c r="G50" i="134"/>
  <c r="G52" i="134"/>
  <c r="D50" i="134"/>
  <c r="F50" i="134"/>
  <c r="F52" i="134"/>
  <c r="M50" i="134"/>
  <c r="M52" i="134"/>
  <c r="E50" i="134"/>
  <c r="E52" i="134"/>
  <c r="J50" i="134"/>
  <c r="J52" i="134"/>
  <c r="C69" i="134"/>
  <c r="N72" i="134"/>
  <c r="N27" i="134"/>
  <c r="N76" i="134"/>
  <c r="N47" i="134"/>
  <c r="N50" i="134"/>
  <c r="N52" i="134"/>
  <c r="N26" i="134"/>
  <c r="O72" i="134"/>
  <c r="O34" i="134"/>
  <c r="O73" i="134"/>
  <c r="C48" i="133"/>
  <c r="D50" i="133"/>
  <c r="N72" i="133"/>
  <c r="N26" i="133"/>
  <c r="N27" i="133"/>
  <c r="N47" i="133"/>
  <c r="K47" i="133"/>
  <c r="K50" i="133"/>
  <c r="K52" i="133"/>
  <c r="K76" i="133"/>
  <c r="L76" i="133"/>
  <c r="C69" i="133"/>
  <c r="L73" i="133"/>
  <c r="P50" i="133"/>
  <c r="P52" i="133"/>
  <c r="H50" i="133"/>
  <c r="H52" i="133"/>
  <c r="O50" i="133"/>
  <c r="O14" i="133"/>
  <c r="O52" i="133"/>
  <c r="G50" i="133"/>
  <c r="G52" i="133"/>
  <c r="F50" i="133"/>
  <c r="F52" i="133"/>
  <c r="J50" i="133"/>
  <c r="J52" i="133"/>
  <c r="O72" i="133"/>
  <c r="O73" i="133"/>
  <c r="O34" i="133"/>
  <c r="L28" i="133"/>
  <c r="L74" i="133"/>
  <c r="C48" i="132"/>
  <c r="D50" i="132"/>
  <c r="C48" i="131"/>
  <c r="O50" i="131"/>
  <c r="C76" i="129"/>
  <c r="L47" i="132"/>
  <c r="L76" i="132"/>
  <c r="K27" i="132"/>
  <c r="K47" i="132"/>
  <c r="L26" i="132"/>
  <c r="L75" i="132"/>
  <c r="P76" i="132"/>
  <c r="L28" i="132"/>
  <c r="H50" i="132"/>
  <c r="H52" i="132"/>
  <c r="O50" i="132"/>
  <c r="G50" i="132"/>
  <c r="G52" i="132"/>
  <c r="F50" i="132"/>
  <c r="F52" i="132"/>
  <c r="E50" i="132"/>
  <c r="E52" i="132"/>
  <c r="J26" i="132"/>
  <c r="J28" i="132"/>
  <c r="E56" i="132"/>
  <c r="E58" i="132"/>
  <c r="D56" i="132"/>
  <c r="F56" i="132"/>
  <c r="F58" i="132"/>
  <c r="O56" i="132"/>
  <c r="P56" i="132"/>
  <c r="P58" i="132"/>
  <c r="H56" i="132"/>
  <c r="H58" i="132"/>
  <c r="G56" i="132"/>
  <c r="G58" i="132"/>
  <c r="I73" i="132"/>
  <c r="I13" i="132"/>
  <c r="I14" i="132"/>
  <c r="I34" i="132"/>
  <c r="K74" i="132"/>
  <c r="K72" i="132"/>
  <c r="H76" i="132"/>
  <c r="M27" i="132"/>
  <c r="M72" i="132"/>
  <c r="K13" i="132"/>
  <c r="K14" i="132"/>
  <c r="K34" i="132"/>
  <c r="K73" i="132"/>
  <c r="K26" i="132"/>
  <c r="K28" i="132"/>
  <c r="K56" i="132"/>
  <c r="K58" i="132"/>
  <c r="I76" i="132"/>
  <c r="I28" i="132"/>
  <c r="I56" i="132"/>
  <c r="L73" i="132"/>
  <c r="L13" i="132"/>
  <c r="L14" i="132"/>
  <c r="L34" i="132"/>
  <c r="J27" i="132"/>
  <c r="J47" i="132"/>
  <c r="N14" i="132"/>
  <c r="N34" i="132"/>
  <c r="O4" i="132"/>
  <c r="N73" i="132"/>
  <c r="N20" i="132"/>
  <c r="P50" i="131"/>
  <c r="P52" i="131"/>
  <c r="H50" i="131"/>
  <c r="H52" i="131"/>
  <c r="G50" i="131"/>
  <c r="G52" i="131"/>
  <c r="F50" i="131"/>
  <c r="F52" i="131"/>
  <c r="K50" i="131"/>
  <c r="E50" i="131"/>
  <c r="E52" i="131"/>
  <c r="L50" i="131"/>
  <c r="L13" i="131"/>
  <c r="L14" i="131"/>
  <c r="L52" i="131"/>
  <c r="D50" i="131"/>
  <c r="L34" i="131"/>
  <c r="L73" i="131"/>
  <c r="K74" i="131"/>
  <c r="K72" i="131"/>
  <c r="M27" i="131"/>
  <c r="M72" i="131"/>
  <c r="K13" i="131"/>
  <c r="K14" i="131"/>
  <c r="K34" i="131"/>
  <c r="K73" i="131"/>
  <c r="L76" i="131"/>
  <c r="N20" i="131"/>
  <c r="N14" i="131"/>
  <c r="N34" i="131"/>
  <c r="O4" i="131"/>
  <c r="N73" i="131"/>
  <c r="E56" i="131"/>
  <c r="E58" i="131"/>
  <c r="L56" i="131"/>
  <c r="L58" i="131"/>
  <c r="D56" i="131"/>
  <c r="O56" i="131"/>
  <c r="K56" i="131"/>
  <c r="G56" i="131"/>
  <c r="G58" i="131"/>
  <c r="F56" i="131"/>
  <c r="F58" i="131"/>
  <c r="P56" i="131"/>
  <c r="P58" i="131"/>
  <c r="H56" i="131"/>
  <c r="H58" i="131"/>
  <c r="P76" i="131"/>
  <c r="L26" i="131"/>
  <c r="I73" i="131"/>
  <c r="I13" i="131"/>
  <c r="I14" i="131"/>
  <c r="I34" i="131"/>
  <c r="J26" i="131"/>
  <c r="J76" i="131"/>
  <c r="J28" i="131"/>
  <c r="J56" i="131"/>
  <c r="J58" i="131"/>
  <c r="I76" i="131"/>
  <c r="I28" i="131"/>
  <c r="I50" i="131"/>
  <c r="I52" i="131"/>
  <c r="O76" i="130"/>
  <c r="I28" i="130"/>
  <c r="I50" i="130"/>
  <c r="I52" i="130"/>
  <c r="P50" i="130"/>
  <c r="P52" i="130"/>
  <c r="H50" i="130"/>
  <c r="H52" i="130"/>
  <c r="O50" i="130"/>
  <c r="O4" i="130"/>
  <c r="O14" i="130"/>
  <c r="O52" i="130"/>
  <c r="G50" i="130"/>
  <c r="G52" i="130"/>
  <c r="F50" i="130"/>
  <c r="F52" i="130"/>
  <c r="E50" i="130"/>
  <c r="E52" i="130"/>
  <c r="L27" i="130"/>
  <c r="L47" i="130"/>
  <c r="L50" i="130"/>
  <c r="L13" i="130"/>
  <c r="L14" i="130"/>
  <c r="L52" i="130"/>
  <c r="D50" i="130"/>
  <c r="I76" i="130"/>
  <c r="J74" i="130"/>
  <c r="L76" i="130"/>
  <c r="K21" i="130"/>
  <c r="L34" i="130"/>
  <c r="L73" i="130"/>
  <c r="C69" i="130"/>
  <c r="L74" i="130"/>
  <c r="L72" i="130"/>
  <c r="L26" i="130"/>
  <c r="K13" i="130"/>
  <c r="K14" i="130"/>
  <c r="K34" i="130"/>
  <c r="K73" i="130"/>
  <c r="G76" i="130"/>
  <c r="J27" i="130"/>
  <c r="N20" i="130"/>
  <c r="O34" i="130"/>
  <c r="H76" i="130"/>
  <c r="I26" i="130"/>
  <c r="M27" i="130"/>
  <c r="M72" i="130"/>
  <c r="K74" i="130"/>
  <c r="K72" i="130"/>
  <c r="J26" i="130"/>
  <c r="N73" i="130"/>
  <c r="C50" i="129"/>
  <c r="C52" i="129"/>
  <c r="C56" i="129"/>
  <c r="C58" i="129"/>
  <c r="C57" i="129"/>
  <c r="C51" i="129"/>
  <c r="L73" i="129"/>
  <c r="L13" i="129"/>
  <c r="L14" i="129"/>
  <c r="L34" i="129"/>
  <c r="J13" i="129"/>
  <c r="J14" i="129"/>
  <c r="J34" i="129"/>
  <c r="J73" i="129"/>
  <c r="H76" i="129"/>
  <c r="H47" i="129"/>
  <c r="J76" i="129"/>
  <c r="M26" i="129"/>
  <c r="M72" i="129"/>
  <c r="M27" i="129"/>
  <c r="M47" i="129"/>
  <c r="O76" i="129"/>
  <c r="O4" i="129"/>
  <c r="N20" i="129"/>
  <c r="L28" i="129"/>
  <c r="L72" i="129"/>
  <c r="L74" i="129"/>
  <c r="L27" i="129"/>
  <c r="N73" i="129"/>
  <c r="K28" i="129"/>
  <c r="K26" i="129"/>
  <c r="K27" i="129"/>
  <c r="K47" i="129"/>
  <c r="D57" i="129"/>
  <c r="D51" i="129"/>
  <c r="G76" i="129"/>
  <c r="P76" i="129"/>
  <c r="J26" i="129"/>
  <c r="K74" i="129"/>
  <c r="N14" i="129"/>
  <c r="N34" i="129"/>
  <c r="L40" i="128"/>
  <c r="J73" i="128"/>
  <c r="J13" i="128"/>
  <c r="J14" i="128"/>
  <c r="J34" i="128"/>
  <c r="F27" i="128"/>
  <c r="F76" i="128"/>
  <c r="C50" i="128"/>
  <c r="C52" i="128"/>
  <c r="C51" i="128"/>
  <c r="C56" i="128"/>
  <c r="C58" i="128"/>
  <c r="C57" i="128"/>
  <c r="M72" i="128"/>
  <c r="M27" i="128"/>
  <c r="M47" i="128"/>
  <c r="M14" i="128"/>
  <c r="M34" i="128"/>
  <c r="I74" i="128"/>
  <c r="K22" i="128"/>
  <c r="K75" i="128"/>
  <c r="M40" i="128"/>
  <c r="F40" i="128"/>
  <c r="D73" i="128"/>
  <c r="N27" i="128"/>
  <c r="N47" i="128"/>
  <c r="E73" i="128"/>
  <c r="M73" i="128"/>
  <c r="I22" i="128"/>
  <c r="I26" i="128"/>
  <c r="G27" i="128"/>
  <c r="J74" i="128"/>
  <c r="J22" i="128"/>
  <c r="N40" i="128"/>
  <c r="F47" i="128"/>
  <c r="I72" i="128"/>
  <c r="C26" i="128"/>
  <c r="H40" i="128"/>
  <c r="F73" i="128"/>
  <c r="H27" i="128"/>
  <c r="K72" i="128"/>
  <c r="I11" i="128"/>
  <c r="L19" i="128"/>
  <c r="E26" i="128"/>
  <c r="M26" i="128"/>
  <c r="I27" i="128"/>
  <c r="I47" i="128"/>
  <c r="F28" i="128"/>
  <c r="N28" i="128"/>
  <c r="D74" i="128"/>
  <c r="D76" i="128"/>
  <c r="E40" i="128"/>
  <c r="K21" i="128"/>
  <c r="K28" i="128"/>
  <c r="G40" i="128"/>
  <c r="D28" i="128"/>
  <c r="D57" i="128"/>
  <c r="C69" i="128"/>
  <c r="M28" i="128"/>
  <c r="G73" i="128"/>
  <c r="C76" i="128"/>
  <c r="N13" i="128"/>
  <c r="N14" i="128"/>
  <c r="N34" i="128"/>
  <c r="N26" i="128"/>
  <c r="G28" i="128"/>
  <c r="C40" i="128"/>
  <c r="E74" i="128"/>
  <c r="M74" i="128"/>
  <c r="E76" i="128"/>
  <c r="J72" i="128"/>
  <c r="C74" i="128"/>
  <c r="F26" i="128"/>
  <c r="L6" i="128"/>
  <c r="K11" i="128"/>
  <c r="D40" i="128"/>
  <c r="F74" i="128"/>
  <c r="N74" i="128"/>
  <c r="H34" i="127"/>
  <c r="G34" i="127"/>
  <c r="F34" i="127"/>
  <c r="N40" i="127"/>
  <c r="O40" i="127"/>
  <c r="N4" i="127"/>
  <c r="M20" i="127"/>
  <c r="M73" i="127"/>
  <c r="M14" i="127"/>
  <c r="M34" i="127"/>
  <c r="J75" i="127"/>
  <c r="J26" i="127"/>
  <c r="K13" i="127"/>
  <c r="K14" i="127"/>
  <c r="K34" i="127"/>
  <c r="K73" i="127"/>
  <c r="L73" i="127"/>
  <c r="L13" i="127"/>
  <c r="L14" i="127"/>
  <c r="L34" i="127"/>
  <c r="H26" i="127"/>
  <c r="H74" i="127"/>
  <c r="H27" i="127"/>
  <c r="H47" i="127"/>
  <c r="K75" i="127"/>
  <c r="P26" i="127"/>
  <c r="P27" i="127"/>
  <c r="P47" i="127"/>
  <c r="P74" i="127"/>
  <c r="J13" i="127"/>
  <c r="J14" i="127"/>
  <c r="J34" i="127"/>
  <c r="J27" i="127"/>
  <c r="J47" i="127"/>
  <c r="J73" i="127"/>
  <c r="L22" i="127"/>
  <c r="L75" i="127"/>
  <c r="D75" i="127"/>
  <c r="D27" i="127"/>
  <c r="D76" i="127"/>
  <c r="C13" i="127"/>
  <c r="C14" i="127"/>
  <c r="C34" i="127"/>
  <c r="P73" i="127"/>
  <c r="H73" i="127"/>
  <c r="G73" i="127"/>
  <c r="F73" i="127"/>
  <c r="H28" i="127"/>
  <c r="L18" i="127"/>
  <c r="L21" i="127"/>
  <c r="L28" i="127"/>
  <c r="E76" i="127"/>
  <c r="C73" i="127"/>
  <c r="J28" i="127"/>
  <c r="I27" i="127"/>
  <c r="I47" i="127"/>
  <c r="I74" i="127"/>
  <c r="J74" i="127"/>
  <c r="C27" i="127"/>
  <c r="C47" i="127"/>
  <c r="D47" i="127"/>
  <c r="K18" i="127"/>
  <c r="E28" i="127"/>
  <c r="I72" i="127"/>
  <c r="E26" i="127"/>
  <c r="M26" i="127"/>
  <c r="F26" i="127"/>
  <c r="J40" i="127"/>
  <c r="D28" i="127"/>
  <c r="K40" i="127"/>
  <c r="F76" i="127"/>
  <c r="D40" i="127"/>
  <c r="L40" i="127"/>
  <c r="C74" i="127"/>
  <c r="E75" i="127"/>
  <c r="I40" i="127"/>
  <c r="C40" i="127"/>
  <c r="I11" i="127"/>
  <c r="E40" i="127"/>
  <c r="N11" i="124"/>
  <c r="N13" i="124"/>
  <c r="N14" i="124"/>
  <c r="N72" i="124"/>
  <c r="N74" i="124"/>
  <c r="N75" i="124"/>
  <c r="N33" i="124"/>
  <c r="M74" i="124"/>
  <c r="E74" i="124"/>
  <c r="M11" i="124"/>
  <c r="C11" i="124"/>
  <c r="M73" i="124"/>
  <c r="C73" i="124"/>
  <c r="H72" i="124"/>
  <c r="G72" i="124"/>
  <c r="F72" i="124"/>
  <c r="E72" i="124"/>
  <c r="D72" i="124"/>
  <c r="M33" i="124"/>
  <c r="L33" i="124"/>
  <c r="K33" i="124"/>
  <c r="J33" i="124"/>
  <c r="I33" i="124"/>
  <c r="H33" i="124"/>
  <c r="G33" i="124"/>
  <c r="F33" i="124"/>
  <c r="E33" i="124"/>
  <c r="M75" i="124"/>
  <c r="G75" i="124"/>
  <c r="F75" i="124"/>
  <c r="E75" i="124"/>
  <c r="D75" i="124"/>
  <c r="C75" i="124"/>
  <c r="G74" i="124"/>
  <c r="F74" i="124"/>
  <c r="D74" i="124"/>
  <c r="C74" i="124"/>
  <c r="M13" i="124"/>
  <c r="F11" i="124"/>
  <c r="F13" i="124"/>
  <c r="F14" i="124"/>
  <c r="E11" i="124"/>
  <c r="E13" i="124"/>
  <c r="E14" i="124"/>
  <c r="H11" i="124"/>
  <c r="G11" i="124"/>
  <c r="F73" i="124"/>
  <c r="E73" i="124"/>
  <c r="D11" i="124"/>
  <c r="D13" i="124"/>
  <c r="D14" i="124"/>
  <c r="N73" i="124"/>
  <c r="I75" i="124"/>
  <c r="K53" i="137"/>
  <c r="C53" i="137"/>
  <c r="J53" i="137"/>
  <c r="F53" i="137"/>
  <c r="D52" i="137"/>
  <c r="E53" i="137"/>
  <c r="I53" i="137"/>
  <c r="O53" i="137"/>
  <c r="N53" i="137"/>
  <c r="P53" i="137"/>
  <c r="H53" i="137"/>
  <c r="G53" i="137"/>
  <c r="M53" i="137"/>
  <c r="L53" i="137"/>
  <c r="D53" i="137"/>
  <c r="F50" i="136"/>
  <c r="F52" i="136"/>
  <c r="N50" i="136"/>
  <c r="N52" i="136"/>
  <c r="G50" i="136"/>
  <c r="G52" i="136"/>
  <c r="O50" i="136"/>
  <c r="O52" i="136"/>
  <c r="J50" i="136"/>
  <c r="J52" i="136"/>
  <c r="L76" i="136"/>
  <c r="M56" i="136"/>
  <c r="M58" i="136"/>
  <c r="E56" i="136"/>
  <c r="E58" i="136"/>
  <c r="L56" i="136"/>
  <c r="L58" i="136"/>
  <c r="D56" i="136"/>
  <c r="P56" i="136"/>
  <c r="P58" i="136"/>
  <c r="F56" i="136"/>
  <c r="F58" i="136"/>
  <c r="K56" i="136"/>
  <c r="K58" i="136"/>
  <c r="O56" i="136"/>
  <c r="O58" i="136"/>
  <c r="J56" i="136"/>
  <c r="J58" i="136"/>
  <c r="G56" i="136"/>
  <c r="G58" i="136"/>
  <c r="I56" i="136"/>
  <c r="I58" i="136"/>
  <c r="H56" i="136"/>
  <c r="H58" i="136"/>
  <c r="N56" i="136"/>
  <c r="N58" i="136"/>
  <c r="K53" i="136"/>
  <c r="C53" i="136"/>
  <c r="N53" i="136"/>
  <c r="E53" i="136"/>
  <c r="D53" i="136"/>
  <c r="D52" i="136"/>
  <c r="M53" i="136"/>
  <c r="I53" i="136"/>
  <c r="P53" i="136"/>
  <c r="H53" i="136"/>
  <c r="F53" i="136"/>
  <c r="O53" i="136"/>
  <c r="G53" i="136"/>
  <c r="L53" i="136"/>
  <c r="I50" i="135"/>
  <c r="I52" i="135"/>
  <c r="D50" i="135"/>
  <c r="P50" i="135"/>
  <c r="P52" i="135"/>
  <c r="H50" i="135"/>
  <c r="H52" i="135"/>
  <c r="L50" i="135"/>
  <c r="L52" i="135"/>
  <c r="J50" i="135"/>
  <c r="J52" i="135"/>
  <c r="O50" i="135"/>
  <c r="O52" i="135"/>
  <c r="G50" i="135"/>
  <c r="G52" i="135"/>
  <c r="E50" i="135"/>
  <c r="E52" i="135"/>
  <c r="N50" i="135"/>
  <c r="N52" i="135"/>
  <c r="F50" i="135"/>
  <c r="F52" i="135"/>
  <c r="M50" i="135"/>
  <c r="M52" i="135"/>
  <c r="K50" i="135"/>
  <c r="K52" i="135"/>
  <c r="L76" i="135"/>
  <c r="N76" i="135"/>
  <c r="M56" i="135"/>
  <c r="M58" i="135"/>
  <c r="E56" i="135"/>
  <c r="E58" i="135"/>
  <c r="H56" i="135"/>
  <c r="H58" i="135"/>
  <c r="L56" i="135"/>
  <c r="L58" i="135"/>
  <c r="D56" i="135"/>
  <c r="I56" i="135"/>
  <c r="I58" i="135"/>
  <c r="O56" i="135"/>
  <c r="O58" i="135"/>
  <c r="N56" i="135"/>
  <c r="N58" i="135"/>
  <c r="K56" i="135"/>
  <c r="K58" i="135"/>
  <c r="P56" i="135"/>
  <c r="P58" i="135"/>
  <c r="J56" i="135"/>
  <c r="J58" i="135"/>
  <c r="G56" i="135"/>
  <c r="G58" i="135"/>
  <c r="F56" i="135"/>
  <c r="F58" i="135"/>
  <c r="L50" i="134"/>
  <c r="L52" i="134"/>
  <c r="L76" i="134"/>
  <c r="M56" i="134"/>
  <c r="M58" i="134"/>
  <c r="E56" i="134"/>
  <c r="E58" i="134"/>
  <c r="F56" i="134"/>
  <c r="F58" i="134"/>
  <c r="L56" i="134"/>
  <c r="L58" i="134"/>
  <c r="D56" i="134"/>
  <c r="K56" i="134"/>
  <c r="K58" i="134"/>
  <c r="P56" i="134"/>
  <c r="P58" i="134"/>
  <c r="O56" i="134"/>
  <c r="O58" i="134"/>
  <c r="J56" i="134"/>
  <c r="J58" i="134"/>
  <c r="H56" i="134"/>
  <c r="H58" i="134"/>
  <c r="I56" i="134"/>
  <c r="I58" i="134"/>
  <c r="G56" i="134"/>
  <c r="G58" i="134"/>
  <c r="N56" i="134"/>
  <c r="N58" i="134"/>
  <c r="K53" i="134"/>
  <c r="C53" i="134"/>
  <c r="F53" i="134"/>
  <c r="J53" i="134"/>
  <c r="N53" i="134"/>
  <c r="M53" i="134"/>
  <c r="D53" i="134"/>
  <c r="I53" i="134"/>
  <c r="E53" i="134"/>
  <c r="L53" i="134"/>
  <c r="P53" i="134"/>
  <c r="H53" i="134"/>
  <c r="D52" i="134"/>
  <c r="O53" i="134"/>
  <c r="G53" i="134"/>
  <c r="E50" i="133"/>
  <c r="E52" i="133"/>
  <c r="L50" i="133"/>
  <c r="L52" i="133"/>
  <c r="N50" i="133"/>
  <c r="N52" i="133"/>
  <c r="M50" i="133"/>
  <c r="M52" i="133"/>
  <c r="I50" i="133"/>
  <c r="I52" i="133"/>
  <c r="M56" i="133"/>
  <c r="M58" i="133"/>
  <c r="E56" i="133"/>
  <c r="E58" i="133"/>
  <c r="P56" i="133"/>
  <c r="P58" i="133"/>
  <c r="G56" i="133"/>
  <c r="G58" i="133"/>
  <c r="N56" i="133"/>
  <c r="N58" i="133"/>
  <c r="L56" i="133"/>
  <c r="L58" i="133"/>
  <c r="D56" i="133"/>
  <c r="F56" i="133"/>
  <c r="F58" i="133"/>
  <c r="K56" i="133"/>
  <c r="K58" i="133"/>
  <c r="J56" i="133"/>
  <c r="J58" i="133"/>
  <c r="H56" i="133"/>
  <c r="H58" i="133"/>
  <c r="I56" i="133"/>
  <c r="I58" i="133"/>
  <c r="O56" i="133"/>
  <c r="O58" i="133"/>
  <c r="N76" i="133"/>
  <c r="K53" i="133"/>
  <c r="C53" i="133"/>
  <c r="N53" i="133"/>
  <c r="J53" i="133"/>
  <c r="M53" i="133"/>
  <c r="E53" i="133"/>
  <c r="P53" i="133"/>
  <c r="H53" i="133"/>
  <c r="F53" i="133"/>
  <c r="D53" i="133"/>
  <c r="O53" i="133"/>
  <c r="G53" i="133"/>
  <c r="D52" i="133"/>
  <c r="L53" i="133"/>
  <c r="P50" i="132"/>
  <c r="P52" i="132"/>
  <c r="J50" i="132"/>
  <c r="J52" i="132"/>
  <c r="I50" i="132"/>
  <c r="I53" i="132"/>
  <c r="J76" i="132"/>
  <c r="K50" i="132"/>
  <c r="K52" i="132"/>
  <c r="I52" i="132"/>
  <c r="K76" i="132"/>
  <c r="L50" i="132"/>
  <c r="L52" i="132"/>
  <c r="I58" i="132"/>
  <c r="K52" i="131"/>
  <c r="K76" i="129"/>
  <c r="C48" i="129"/>
  <c r="C69" i="129"/>
  <c r="J56" i="132"/>
  <c r="J58" i="132"/>
  <c r="O72" i="132"/>
  <c r="O14" i="132"/>
  <c r="O34" i="132"/>
  <c r="O73" i="132"/>
  <c r="O52" i="132"/>
  <c r="O59" i="132"/>
  <c r="G59" i="132"/>
  <c r="I59" i="132"/>
  <c r="P59" i="132"/>
  <c r="H59" i="132"/>
  <c r="F59" i="132"/>
  <c r="D58" i="132"/>
  <c r="E59" i="132"/>
  <c r="D59" i="132"/>
  <c r="K59" i="132"/>
  <c r="C59" i="132"/>
  <c r="C53" i="132"/>
  <c r="E53" i="132"/>
  <c r="D53" i="132"/>
  <c r="P53" i="132"/>
  <c r="H53" i="132"/>
  <c r="O53" i="132"/>
  <c r="G53" i="132"/>
  <c r="F53" i="132"/>
  <c r="D52" i="132"/>
  <c r="O58" i="132"/>
  <c r="M47" i="132"/>
  <c r="M76" i="132"/>
  <c r="L56" i="132"/>
  <c r="L58" i="132"/>
  <c r="N72" i="132"/>
  <c r="N27" i="132"/>
  <c r="N47" i="132"/>
  <c r="N76" i="132"/>
  <c r="N26" i="132"/>
  <c r="O59" i="131"/>
  <c r="G59" i="131"/>
  <c r="F59" i="131"/>
  <c r="D58" i="131"/>
  <c r="E59" i="131"/>
  <c r="L59" i="131"/>
  <c r="D59" i="131"/>
  <c r="K59" i="131"/>
  <c r="C59" i="131"/>
  <c r="J59" i="131"/>
  <c r="P59" i="131"/>
  <c r="H59" i="131"/>
  <c r="K53" i="131"/>
  <c r="C53" i="131"/>
  <c r="L53" i="131"/>
  <c r="I53" i="131"/>
  <c r="P53" i="131"/>
  <c r="H53" i="131"/>
  <c r="O53" i="131"/>
  <c r="G53" i="131"/>
  <c r="F53" i="131"/>
  <c r="D52" i="131"/>
  <c r="E53" i="131"/>
  <c r="D53" i="131"/>
  <c r="I56" i="131"/>
  <c r="I58" i="131"/>
  <c r="J50" i="131"/>
  <c r="J52" i="131"/>
  <c r="N27" i="131"/>
  <c r="N47" i="131"/>
  <c r="N72" i="131"/>
  <c r="N26" i="131"/>
  <c r="M47" i="131"/>
  <c r="M76" i="131"/>
  <c r="K58" i="131"/>
  <c r="O14" i="131"/>
  <c r="O34" i="131"/>
  <c r="O72" i="131"/>
  <c r="O73" i="131"/>
  <c r="K28" i="130"/>
  <c r="E56" i="130"/>
  <c r="E58" i="130"/>
  <c r="L56" i="130"/>
  <c r="L58" i="130"/>
  <c r="D56" i="130"/>
  <c r="F56" i="130"/>
  <c r="F58" i="130"/>
  <c r="I56" i="130"/>
  <c r="I58" i="130"/>
  <c r="G56" i="130"/>
  <c r="G58" i="130"/>
  <c r="P56" i="130"/>
  <c r="P58" i="130"/>
  <c r="H56" i="130"/>
  <c r="H58" i="130"/>
  <c r="O56" i="130"/>
  <c r="O58" i="130"/>
  <c r="J47" i="130"/>
  <c r="J50" i="130"/>
  <c r="J52" i="130"/>
  <c r="J76" i="130"/>
  <c r="M47" i="130"/>
  <c r="M50" i="130"/>
  <c r="M52" i="130"/>
  <c r="M76" i="130"/>
  <c r="C53" i="130"/>
  <c r="D53" i="130"/>
  <c r="I53" i="130"/>
  <c r="P53" i="130"/>
  <c r="H53" i="130"/>
  <c r="O53" i="130"/>
  <c r="G53" i="130"/>
  <c r="E53" i="130"/>
  <c r="L53" i="130"/>
  <c r="F53" i="130"/>
  <c r="D52" i="130"/>
  <c r="K26" i="130"/>
  <c r="N72" i="130"/>
  <c r="N26" i="130"/>
  <c r="N27" i="130"/>
  <c r="N47" i="130"/>
  <c r="N50" i="130"/>
  <c r="N52" i="130"/>
  <c r="N76" i="130"/>
  <c r="O72" i="130"/>
  <c r="O73" i="130"/>
  <c r="K27" i="130"/>
  <c r="K47" i="130"/>
  <c r="K50" i="130"/>
  <c r="K52" i="130"/>
  <c r="L47" i="129"/>
  <c r="L50" i="129"/>
  <c r="L52" i="129"/>
  <c r="L76" i="129"/>
  <c r="O72" i="129"/>
  <c r="O14" i="129"/>
  <c r="O34" i="129"/>
  <c r="O73" i="129"/>
  <c r="P50" i="129"/>
  <c r="P52" i="129"/>
  <c r="H50" i="129"/>
  <c r="H52" i="129"/>
  <c r="O50" i="129"/>
  <c r="G50" i="129"/>
  <c r="G52" i="129"/>
  <c r="K50" i="129"/>
  <c r="K52" i="129"/>
  <c r="F50" i="129"/>
  <c r="F52" i="129"/>
  <c r="M50" i="129"/>
  <c r="M52" i="129"/>
  <c r="E50" i="129"/>
  <c r="E52" i="129"/>
  <c r="D50" i="129"/>
  <c r="J50" i="129"/>
  <c r="J52" i="129"/>
  <c r="I50" i="129"/>
  <c r="I52" i="129"/>
  <c r="D56" i="129"/>
  <c r="K56" i="129"/>
  <c r="K58" i="129"/>
  <c r="H56" i="129"/>
  <c r="H58" i="129"/>
  <c r="J56" i="129"/>
  <c r="J58" i="129"/>
  <c r="O56" i="129"/>
  <c r="O58" i="129"/>
  <c r="G56" i="129"/>
  <c r="G58" i="129"/>
  <c r="I56" i="129"/>
  <c r="I58" i="129"/>
  <c r="P56" i="129"/>
  <c r="P58" i="129"/>
  <c r="F56" i="129"/>
  <c r="F58" i="129"/>
  <c r="M56" i="129"/>
  <c r="M58" i="129"/>
  <c r="E56" i="129"/>
  <c r="E58" i="129"/>
  <c r="M76" i="129"/>
  <c r="N27" i="129"/>
  <c r="N47" i="129"/>
  <c r="N50" i="129"/>
  <c r="N52" i="129"/>
  <c r="N72" i="129"/>
  <c r="N26" i="129"/>
  <c r="N40" i="124"/>
  <c r="M56" i="128"/>
  <c r="M58" i="128"/>
  <c r="E56" i="128"/>
  <c r="E58" i="128"/>
  <c r="D56" i="128"/>
  <c r="K27" i="128"/>
  <c r="K47" i="128"/>
  <c r="K56" i="128"/>
  <c r="N56" i="128"/>
  <c r="N58" i="128"/>
  <c r="F56" i="128"/>
  <c r="F58" i="128"/>
  <c r="J28" i="128"/>
  <c r="H47" i="128"/>
  <c r="H56" i="128"/>
  <c r="H58" i="128"/>
  <c r="H76" i="128"/>
  <c r="J27" i="128"/>
  <c r="J47" i="128"/>
  <c r="J56" i="128"/>
  <c r="J58" i="128"/>
  <c r="L21" i="128"/>
  <c r="L11" i="128"/>
  <c r="D51" i="128"/>
  <c r="C48" i="128"/>
  <c r="G47" i="128"/>
  <c r="G56" i="128"/>
  <c r="G58" i="128"/>
  <c r="G76" i="128"/>
  <c r="J75" i="128"/>
  <c r="M76" i="128"/>
  <c r="K76" i="128"/>
  <c r="K26" i="128"/>
  <c r="I75" i="128"/>
  <c r="L22" i="128"/>
  <c r="L72" i="128"/>
  <c r="I13" i="128"/>
  <c r="I14" i="128"/>
  <c r="I34" i="128"/>
  <c r="I73" i="128"/>
  <c r="J26" i="128"/>
  <c r="I28" i="128"/>
  <c r="I56" i="128"/>
  <c r="I58" i="128"/>
  <c r="N76" i="128"/>
  <c r="K73" i="128"/>
  <c r="K13" i="128"/>
  <c r="K14" i="128"/>
  <c r="K34" i="128"/>
  <c r="K74" i="128"/>
  <c r="I76" i="128"/>
  <c r="D57" i="127"/>
  <c r="D51" i="127"/>
  <c r="C76" i="127"/>
  <c r="H76" i="127"/>
  <c r="I73" i="127"/>
  <c r="I13" i="127"/>
  <c r="I14" i="127"/>
  <c r="I34" i="127"/>
  <c r="L26" i="127"/>
  <c r="I76" i="127"/>
  <c r="C51" i="127"/>
  <c r="C56" i="127"/>
  <c r="C58" i="127"/>
  <c r="C57" i="127"/>
  <c r="C50" i="127"/>
  <c r="C52" i="127"/>
  <c r="K21" i="127"/>
  <c r="K27" i="127"/>
  <c r="K47" i="127"/>
  <c r="J76" i="127"/>
  <c r="P76" i="127"/>
  <c r="M72" i="127"/>
  <c r="M27" i="127"/>
  <c r="K72" i="127"/>
  <c r="L74" i="127"/>
  <c r="L72" i="127"/>
  <c r="L27" i="127"/>
  <c r="L47" i="127"/>
  <c r="O4" i="127"/>
  <c r="N73" i="127"/>
  <c r="N14" i="127"/>
  <c r="N34" i="127"/>
  <c r="N20" i="127"/>
  <c r="D34" i="124"/>
  <c r="N34" i="124"/>
  <c r="F26" i="124"/>
  <c r="D73" i="124"/>
  <c r="C13" i="124"/>
  <c r="C14" i="124"/>
  <c r="C34" i="124"/>
  <c r="I72" i="124"/>
  <c r="N26" i="124"/>
  <c r="J40" i="124"/>
  <c r="H40" i="124"/>
  <c r="G40" i="124"/>
  <c r="I40" i="124"/>
  <c r="E34" i="124"/>
  <c r="F34" i="124"/>
  <c r="C26" i="124"/>
  <c r="C72" i="124"/>
  <c r="K75" i="124"/>
  <c r="D26" i="124"/>
  <c r="H75" i="124"/>
  <c r="G73" i="124"/>
  <c r="G13" i="124"/>
  <c r="G14" i="124"/>
  <c r="G34" i="124"/>
  <c r="M14" i="124"/>
  <c r="M34" i="124"/>
  <c r="F40" i="124"/>
  <c r="L40" i="124"/>
  <c r="K40" i="124"/>
  <c r="M40" i="124"/>
  <c r="E40" i="124"/>
  <c r="D40" i="124"/>
  <c r="C40" i="124"/>
  <c r="H13" i="124"/>
  <c r="H14" i="124"/>
  <c r="H34" i="124"/>
  <c r="H73" i="124"/>
  <c r="I11" i="124"/>
  <c r="J75" i="124"/>
  <c r="G26" i="124"/>
  <c r="J11" i="124"/>
  <c r="H26" i="124"/>
  <c r="H74" i="124"/>
  <c r="K11" i="124"/>
  <c r="E26" i="124"/>
  <c r="J72" i="124"/>
  <c r="P22" i="121"/>
  <c r="P75" i="121"/>
  <c r="O22" i="121"/>
  <c r="O75" i="121"/>
  <c r="C22" i="121"/>
  <c r="C75" i="121"/>
  <c r="P21" i="121"/>
  <c r="P74" i="121"/>
  <c r="O21" i="121"/>
  <c r="O74" i="121"/>
  <c r="N21" i="121"/>
  <c r="N74" i="121"/>
  <c r="F21" i="121"/>
  <c r="F74" i="121"/>
  <c r="E21" i="121"/>
  <c r="E74" i="121"/>
  <c r="N11" i="121"/>
  <c r="K4" i="121"/>
  <c r="L4" i="121"/>
  <c r="M4" i="121"/>
  <c r="N4" i="121"/>
  <c r="C11" i="121"/>
  <c r="N73" i="121"/>
  <c r="F11" i="121"/>
  <c r="F73" i="121"/>
  <c r="E11" i="121"/>
  <c r="E73" i="121"/>
  <c r="D11" i="121"/>
  <c r="D73" i="121"/>
  <c r="C73" i="121"/>
  <c r="P72" i="121"/>
  <c r="J18" i="121"/>
  <c r="J19" i="121"/>
  <c r="J72" i="121"/>
  <c r="I18" i="121"/>
  <c r="I19" i="121"/>
  <c r="I72" i="121"/>
  <c r="H72" i="121"/>
  <c r="G72" i="121"/>
  <c r="F72" i="121"/>
  <c r="E72" i="121"/>
  <c r="D72" i="121"/>
  <c r="D33" i="121"/>
  <c r="O33" i="121"/>
  <c r="O40" i="121"/>
  <c r="P33" i="121"/>
  <c r="N33" i="121"/>
  <c r="M33" i="121"/>
  <c r="L33" i="121"/>
  <c r="K33" i="121"/>
  <c r="K40" i="121"/>
  <c r="J33" i="121"/>
  <c r="I33" i="121"/>
  <c r="H33" i="121"/>
  <c r="G33" i="121"/>
  <c r="F33" i="121"/>
  <c r="E33" i="121"/>
  <c r="G40" i="121"/>
  <c r="C33" i="121"/>
  <c r="I6" i="121"/>
  <c r="I21" i="121"/>
  <c r="I7" i="121"/>
  <c r="I22" i="121"/>
  <c r="I8" i="121"/>
  <c r="I24" i="121"/>
  <c r="I27" i="121"/>
  <c r="I47" i="121"/>
  <c r="F22" i="121"/>
  <c r="F24" i="121"/>
  <c r="F27" i="121"/>
  <c r="F47" i="121"/>
  <c r="E22" i="121"/>
  <c r="E24" i="121"/>
  <c r="E27" i="121"/>
  <c r="E47" i="121"/>
  <c r="F26" i="121"/>
  <c r="E26" i="121"/>
  <c r="D21" i="121"/>
  <c r="D22" i="121"/>
  <c r="D24" i="121"/>
  <c r="D26" i="121"/>
  <c r="P24" i="121"/>
  <c r="O24" i="121"/>
  <c r="N24" i="121"/>
  <c r="M24" i="121"/>
  <c r="L24" i="121"/>
  <c r="K24" i="121"/>
  <c r="J24" i="121"/>
  <c r="H24" i="121"/>
  <c r="G24" i="121"/>
  <c r="D28" i="121"/>
  <c r="C24" i="121"/>
  <c r="P27" i="121"/>
  <c r="P47" i="121"/>
  <c r="O27" i="121"/>
  <c r="O47" i="121"/>
  <c r="N22" i="121"/>
  <c r="N75" i="121"/>
  <c r="M22" i="121"/>
  <c r="M75" i="121"/>
  <c r="J7" i="121"/>
  <c r="J22" i="121"/>
  <c r="I75" i="121"/>
  <c r="H22" i="121"/>
  <c r="H75" i="121"/>
  <c r="G22" i="121"/>
  <c r="G75" i="121"/>
  <c r="F75" i="121"/>
  <c r="E75" i="121"/>
  <c r="D75" i="121"/>
  <c r="M21" i="121"/>
  <c r="I28" i="121"/>
  <c r="H21" i="121"/>
  <c r="G21" i="121"/>
  <c r="G74" i="121"/>
  <c r="D74" i="121"/>
  <c r="C21" i="121"/>
  <c r="C20" i="121"/>
  <c r="C26" i="121"/>
  <c r="L19" i="121"/>
  <c r="K19" i="121"/>
  <c r="J75" i="121"/>
  <c r="K18" i="121"/>
  <c r="K72" i="121"/>
  <c r="P16" i="121"/>
  <c r="O16" i="121"/>
  <c r="N16" i="121"/>
  <c r="M16" i="121"/>
  <c r="L16" i="121"/>
  <c r="K16" i="121"/>
  <c r="J16" i="121"/>
  <c r="I16" i="121"/>
  <c r="H16" i="121"/>
  <c r="G16" i="121"/>
  <c r="F16" i="121"/>
  <c r="E16" i="121"/>
  <c r="D16" i="121"/>
  <c r="G11" i="121"/>
  <c r="G13" i="121"/>
  <c r="G14" i="121"/>
  <c r="G34" i="121"/>
  <c r="N13" i="121"/>
  <c r="M11" i="121"/>
  <c r="M13" i="121"/>
  <c r="M14" i="121"/>
  <c r="M34" i="121"/>
  <c r="F13" i="121"/>
  <c r="F14" i="121"/>
  <c r="E13" i="121"/>
  <c r="E14" i="121"/>
  <c r="D13" i="121"/>
  <c r="D14" i="121"/>
  <c r="C13" i="121"/>
  <c r="C14" i="121"/>
  <c r="P11" i="121"/>
  <c r="O11" i="121"/>
  <c r="O13" i="121"/>
  <c r="H11" i="121"/>
  <c r="K8" i="121"/>
  <c r="J8" i="121"/>
  <c r="L8" i="121"/>
  <c r="K7" i="121"/>
  <c r="K6" i="121"/>
  <c r="J6" i="121"/>
  <c r="N20" i="121"/>
  <c r="N72" i="121"/>
  <c r="P22" i="120"/>
  <c r="P75" i="120"/>
  <c r="O22" i="120"/>
  <c r="O75" i="120"/>
  <c r="I19" i="120"/>
  <c r="I7" i="120"/>
  <c r="I22" i="120"/>
  <c r="I75" i="120"/>
  <c r="H22" i="120"/>
  <c r="H75" i="120"/>
  <c r="G22" i="120"/>
  <c r="G75" i="120"/>
  <c r="O21" i="120"/>
  <c r="O74" i="120"/>
  <c r="N21" i="120"/>
  <c r="N74" i="120"/>
  <c r="M21" i="120"/>
  <c r="M74" i="120"/>
  <c r="G21" i="120"/>
  <c r="G74" i="120"/>
  <c r="F21" i="120"/>
  <c r="F74" i="120"/>
  <c r="E21" i="120"/>
  <c r="E74" i="120"/>
  <c r="P72" i="120"/>
  <c r="J18" i="120"/>
  <c r="J19" i="120"/>
  <c r="J72" i="120"/>
  <c r="H72" i="120"/>
  <c r="G72" i="120"/>
  <c r="F72" i="120"/>
  <c r="E72" i="120"/>
  <c r="D72" i="120"/>
  <c r="C20" i="120"/>
  <c r="C72" i="120"/>
  <c r="P33" i="120"/>
  <c r="O33" i="120"/>
  <c r="N33" i="120"/>
  <c r="M33" i="120"/>
  <c r="L33" i="120"/>
  <c r="K33" i="120"/>
  <c r="J33" i="120"/>
  <c r="I33" i="120"/>
  <c r="H33" i="120"/>
  <c r="G33" i="120"/>
  <c r="F33" i="120"/>
  <c r="E33" i="120"/>
  <c r="D33" i="120"/>
  <c r="N40" i="120"/>
  <c r="C33" i="120"/>
  <c r="O28" i="120"/>
  <c r="H21" i="120"/>
  <c r="H24" i="120"/>
  <c r="H28" i="120"/>
  <c r="O27" i="120"/>
  <c r="O47" i="120"/>
  <c r="F22" i="120"/>
  <c r="F24" i="120"/>
  <c r="F27" i="120"/>
  <c r="F47" i="120"/>
  <c r="C21" i="120"/>
  <c r="C22" i="120"/>
  <c r="C24" i="120"/>
  <c r="C26" i="120"/>
  <c r="L24" i="120"/>
  <c r="K24" i="120"/>
  <c r="J24" i="120"/>
  <c r="I24" i="120"/>
  <c r="G24" i="120"/>
  <c r="G27" i="120"/>
  <c r="G47" i="120"/>
  <c r="E24" i="120"/>
  <c r="E22" i="120"/>
  <c r="E26" i="120"/>
  <c r="D24" i="120"/>
  <c r="D21" i="120"/>
  <c r="D22" i="120"/>
  <c r="D27" i="120"/>
  <c r="D47" i="120"/>
  <c r="O26" i="120"/>
  <c r="N22" i="120"/>
  <c r="N75" i="120"/>
  <c r="M22" i="120"/>
  <c r="J7" i="120"/>
  <c r="J22" i="120"/>
  <c r="J75" i="120"/>
  <c r="G26" i="120"/>
  <c r="F75" i="120"/>
  <c r="C75" i="120"/>
  <c r="P21" i="120"/>
  <c r="N28" i="120"/>
  <c r="M28" i="120"/>
  <c r="J6" i="120"/>
  <c r="J21" i="120"/>
  <c r="I6" i="120"/>
  <c r="I18" i="120"/>
  <c r="I21" i="120"/>
  <c r="D74" i="120"/>
  <c r="L19" i="120"/>
  <c r="K19" i="120"/>
  <c r="L18" i="120"/>
  <c r="K18" i="120"/>
  <c r="J8" i="120"/>
  <c r="J26" i="120"/>
  <c r="P16" i="120"/>
  <c r="O16" i="120"/>
  <c r="N16" i="120"/>
  <c r="M16" i="120"/>
  <c r="L16" i="120"/>
  <c r="K16" i="120"/>
  <c r="J16" i="120"/>
  <c r="I16" i="120"/>
  <c r="H16" i="120"/>
  <c r="G16" i="120"/>
  <c r="F16" i="120"/>
  <c r="E16" i="120"/>
  <c r="D16" i="120"/>
  <c r="H11" i="120"/>
  <c r="H13" i="120"/>
  <c r="H14" i="120"/>
  <c r="P11" i="120"/>
  <c r="P13" i="120"/>
  <c r="P14" i="120"/>
  <c r="O11" i="120"/>
  <c r="O13" i="120"/>
  <c r="N11" i="120"/>
  <c r="N13" i="120"/>
  <c r="G11" i="120"/>
  <c r="G13" i="120"/>
  <c r="G14" i="120"/>
  <c r="G34" i="120"/>
  <c r="F11" i="120"/>
  <c r="F13" i="120"/>
  <c r="F14" i="120"/>
  <c r="E11" i="120"/>
  <c r="E13" i="120"/>
  <c r="E14" i="120"/>
  <c r="D11" i="120"/>
  <c r="D13" i="120"/>
  <c r="D14" i="120"/>
  <c r="M11" i="120"/>
  <c r="M13" i="120"/>
  <c r="J11" i="120"/>
  <c r="C11" i="120"/>
  <c r="E73" i="120"/>
  <c r="D73" i="120"/>
  <c r="C73" i="120"/>
  <c r="I8" i="120"/>
  <c r="L8" i="120"/>
  <c r="K8" i="120"/>
  <c r="K7" i="120"/>
  <c r="J27" i="120"/>
  <c r="J76" i="120"/>
  <c r="I28" i="120"/>
  <c r="L6" i="120"/>
  <c r="K6" i="120"/>
  <c r="J47" i="120"/>
  <c r="I26" i="120"/>
  <c r="K4" i="120"/>
  <c r="L4" i="120"/>
  <c r="M4" i="120"/>
  <c r="J53" i="136"/>
  <c r="O59" i="136"/>
  <c r="G59" i="136"/>
  <c r="J59" i="136"/>
  <c r="I59" i="136"/>
  <c r="H59" i="136"/>
  <c r="N59" i="136"/>
  <c r="F59" i="136"/>
  <c r="D58" i="136"/>
  <c r="P59" i="136"/>
  <c r="M59" i="136"/>
  <c r="E59" i="136"/>
  <c r="L59" i="136"/>
  <c r="D59" i="136"/>
  <c r="K59" i="136"/>
  <c r="C59" i="136"/>
  <c r="O59" i="135"/>
  <c r="G59" i="135"/>
  <c r="K59" i="135"/>
  <c r="N59" i="135"/>
  <c r="F59" i="135"/>
  <c r="D58" i="135"/>
  <c r="I59" i="135"/>
  <c r="H59" i="135"/>
  <c r="M59" i="135"/>
  <c r="E59" i="135"/>
  <c r="C59" i="135"/>
  <c r="J59" i="135"/>
  <c r="L59" i="135"/>
  <c r="D59" i="135"/>
  <c r="P59" i="135"/>
  <c r="K53" i="135"/>
  <c r="C53" i="135"/>
  <c r="E53" i="135"/>
  <c r="J53" i="135"/>
  <c r="I53" i="135"/>
  <c r="G53" i="135"/>
  <c r="N53" i="135"/>
  <c r="D52" i="135"/>
  <c r="M53" i="135"/>
  <c r="L53" i="135"/>
  <c r="P53" i="135"/>
  <c r="H53" i="135"/>
  <c r="O53" i="135"/>
  <c r="F53" i="135"/>
  <c r="D53" i="135"/>
  <c r="O59" i="134"/>
  <c r="G59" i="134"/>
  <c r="P59" i="134"/>
  <c r="H59" i="134"/>
  <c r="N59" i="134"/>
  <c r="F59" i="134"/>
  <c r="D58" i="134"/>
  <c r="J59" i="134"/>
  <c r="M59" i="134"/>
  <c r="E59" i="134"/>
  <c r="L59" i="134"/>
  <c r="D59" i="134"/>
  <c r="K59" i="134"/>
  <c r="C59" i="134"/>
  <c r="I59" i="134"/>
  <c r="I53" i="133"/>
  <c r="O59" i="133"/>
  <c r="G59" i="133"/>
  <c r="I59" i="133"/>
  <c r="H59" i="133"/>
  <c r="N59" i="133"/>
  <c r="F59" i="133"/>
  <c r="D58" i="133"/>
  <c r="M59" i="133"/>
  <c r="E59" i="133"/>
  <c r="P59" i="133"/>
  <c r="L59" i="133"/>
  <c r="D59" i="133"/>
  <c r="J59" i="133"/>
  <c r="K59" i="133"/>
  <c r="C59" i="133"/>
  <c r="J53" i="132"/>
  <c r="L53" i="132"/>
  <c r="K53" i="132"/>
  <c r="J59" i="132"/>
  <c r="L59" i="132"/>
  <c r="O52" i="131"/>
  <c r="O58" i="131"/>
  <c r="N76" i="131"/>
  <c r="J53" i="131"/>
  <c r="N53" i="130"/>
  <c r="O52" i="129"/>
  <c r="N56" i="129"/>
  <c r="N58" i="129"/>
  <c r="L56" i="129"/>
  <c r="L58" i="129"/>
  <c r="M56" i="132"/>
  <c r="M50" i="132"/>
  <c r="N56" i="132"/>
  <c r="N50" i="132"/>
  <c r="I59" i="131"/>
  <c r="N50" i="131"/>
  <c r="N56" i="131"/>
  <c r="M50" i="131"/>
  <c r="M56" i="131"/>
  <c r="O59" i="130"/>
  <c r="G59" i="130"/>
  <c r="F59" i="130"/>
  <c r="D58" i="130"/>
  <c r="E59" i="130"/>
  <c r="L59" i="130"/>
  <c r="D59" i="130"/>
  <c r="H59" i="130"/>
  <c r="C59" i="130"/>
  <c r="I59" i="130"/>
  <c r="P59" i="130"/>
  <c r="N56" i="130"/>
  <c r="N58" i="130"/>
  <c r="J53" i="130"/>
  <c r="J56" i="130"/>
  <c r="J58" i="130"/>
  <c r="K53" i="130"/>
  <c r="K56" i="130"/>
  <c r="K58" i="130"/>
  <c r="M53" i="130"/>
  <c r="M56" i="130"/>
  <c r="M58" i="130"/>
  <c r="K76" i="130"/>
  <c r="J53" i="129"/>
  <c r="N53" i="129"/>
  <c r="E53" i="129"/>
  <c r="I53" i="129"/>
  <c r="M53" i="129"/>
  <c r="P53" i="129"/>
  <c r="H53" i="129"/>
  <c r="D52" i="129"/>
  <c r="O53" i="129"/>
  <c r="G53" i="129"/>
  <c r="F53" i="129"/>
  <c r="L53" i="129"/>
  <c r="D53" i="129"/>
  <c r="K53" i="129"/>
  <c r="C53" i="129"/>
  <c r="N59" i="129"/>
  <c r="F59" i="129"/>
  <c r="D58" i="129"/>
  <c r="M59" i="129"/>
  <c r="E59" i="129"/>
  <c r="L59" i="129"/>
  <c r="D59" i="129"/>
  <c r="I59" i="129"/>
  <c r="K59" i="129"/>
  <c r="C59" i="129"/>
  <c r="J59" i="129"/>
  <c r="P59" i="129"/>
  <c r="H59" i="129"/>
  <c r="O59" i="129"/>
  <c r="G59" i="129"/>
  <c r="N76" i="129"/>
  <c r="L75" i="128"/>
  <c r="K50" i="128"/>
  <c r="K52" i="128"/>
  <c r="E50" i="128"/>
  <c r="E52" i="128"/>
  <c r="J50" i="128"/>
  <c r="J52" i="128"/>
  <c r="F50" i="128"/>
  <c r="F52" i="128"/>
  <c r="I50" i="128"/>
  <c r="I52" i="128"/>
  <c r="H50" i="128"/>
  <c r="H52" i="128"/>
  <c r="G50" i="128"/>
  <c r="G52" i="128"/>
  <c r="N50" i="128"/>
  <c r="N52" i="128"/>
  <c r="D50" i="128"/>
  <c r="M50" i="128"/>
  <c r="M52" i="128"/>
  <c r="K59" i="128"/>
  <c r="C59" i="128"/>
  <c r="M59" i="128"/>
  <c r="J59" i="128"/>
  <c r="H59" i="128"/>
  <c r="D58" i="128"/>
  <c r="G59" i="128"/>
  <c r="N59" i="128"/>
  <c r="D59" i="128"/>
  <c r="I59" i="128"/>
  <c r="F59" i="128"/>
  <c r="E59" i="128"/>
  <c r="K58" i="128"/>
  <c r="L13" i="128"/>
  <c r="L14" i="128"/>
  <c r="L34" i="128"/>
  <c r="L73" i="128"/>
  <c r="L27" i="128"/>
  <c r="L47" i="128"/>
  <c r="L26" i="128"/>
  <c r="L28" i="128"/>
  <c r="L74" i="128"/>
  <c r="J76" i="128"/>
  <c r="M47" i="127"/>
  <c r="M76" i="127"/>
  <c r="C48" i="127"/>
  <c r="O72" i="127"/>
  <c r="O73" i="127"/>
  <c r="O14" i="127"/>
  <c r="O34" i="127"/>
  <c r="C69" i="127"/>
  <c r="K28" i="127"/>
  <c r="K76" i="127"/>
  <c r="N72" i="127"/>
  <c r="N27" i="127"/>
  <c r="N47" i="127"/>
  <c r="N26" i="127"/>
  <c r="N76" i="127"/>
  <c r="K74" i="127"/>
  <c r="L76" i="127"/>
  <c r="K26" i="127"/>
  <c r="J74" i="124"/>
  <c r="D76" i="124"/>
  <c r="F76" i="124"/>
  <c r="N76" i="124"/>
  <c r="C58" i="124"/>
  <c r="C52" i="124"/>
  <c r="M72" i="124"/>
  <c r="M26" i="124"/>
  <c r="I74" i="124"/>
  <c r="I26" i="124"/>
  <c r="K74" i="124"/>
  <c r="K26" i="124"/>
  <c r="K72" i="124"/>
  <c r="J73" i="124"/>
  <c r="J13" i="124"/>
  <c r="J14" i="124"/>
  <c r="J34" i="124"/>
  <c r="K13" i="124"/>
  <c r="K14" i="124"/>
  <c r="K34" i="124"/>
  <c r="K73" i="124"/>
  <c r="L11" i="124"/>
  <c r="G76" i="124"/>
  <c r="C76" i="124"/>
  <c r="I73" i="124"/>
  <c r="I13" i="124"/>
  <c r="I14" i="124"/>
  <c r="I34" i="124"/>
  <c r="E76" i="124"/>
  <c r="J26" i="124"/>
  <c r="H76" i="124"/>
  <c r="L72" i="124"/>
  <c r="F34" i="121"/>
  <c r="H34" i="120"/>
  <c r="F34" i="120"/>
  <c r="C40" i="121"/>
  <c r="E34" i="120"/>
  <c r="G28" i="120"/>
  <c r="F28" i="120"/>
  <c r="E28" i="120"/>
  <c r="E34" i="121"/>
  <c r="D34" i="121"/>
  <c r="P40" i="121"/>
  <c r="H26" i="121"/>
  <c r="N26" i="121"/>
  <c r="H13" i="121"/>
  <c r="H14" i="121"/>
  <c r="H34" i="121"/>
  <c r="H73" i="121"/>
  <c r="L22" i="121"/>
  <c r="L75" i="121"/>
  <c r="O4" i="121"/>
  <c r="O72" i="121"/>
  <c r="P13" i="121"/>
  <c r="P14" i="121"/>
  <c r="P73" i="121"/>
  <c r="N27" i="121"/>
  <c r="N47" i="121"/>
  <c r="N28" i="121"/>
  <c r="K21" i="121"/>
  <c r="J11" i="121"/>
  <c r="I26" i="121"/>
  <c r="M28" i="121"/>
  <c r="O26" i="121"/>
  <c r="P28" i="121"/>
  <c r="C72" i="121"/>
  <c r="G73" i="121"/>
  <c r="I76" i="121"/>
  <c r="N14" i="121"/>
  <c r="N34" i="121"/>
  <c r="L18" i="121"/>
  <c r="J21" i="121"/>
  <c r="J74" i="121"/>
  <c r="O28" i="121"/>
  <c r="O76" i="121"/>
  <c r="H74" i="121"/>
  <c r="P76" i="121"/>
  <c r="P26" i="121"/>
  <c r="I74" i="121"/>
  <c r="G28" i="121"/>
  <c r="M20" i="121"/>
  <c r="J26" i="121"/>
  <c r="J27" i="121"/>
  <c r="J47" i="121"/>
  <c r="J28" i="121"/>
  <c r="I11" i="121"/>
  <c r="C27" i="121"/>
  <c r="C47" i="121"/>
  <c r="C34" i="121"/>
  <c r="N40" i="121"/>
  <c r="F40" i="121"/>
  <c r="E40" i="121"/>
  <c r="L40" i="121"/>
  <c r="D40" i="121"/>
  <c r="M40" i="121"/>
  <c r="H40" i="121"/>
  <c r="L6" i="121"/>
  <c r="K11" i="121"/>
  <c r="E28" i="121"/>
  <c r="E76" i="121"/>
  <c r="G26" i="121"/>
  <c r="G27" i="121"/>
  <c r="G47" i="121"/>
  <c r="H28" i="121"/>
  <c r="I40" i="121"/>
  <c r="F28" i="121"/>
  <c r="F76" i="121"/>
  <c r="K22" i="121"/>
  <c r="K75" i="121"/>
  <c r="K26" i="121"/>
  <c r="H27" i="121"/>
  <c r="H47" i="121"/>
  <c r="J40" i="121"/>
  <c r="M73" i="121"/>
  <c r="M74" i="121"/>
  <c r="C74" i="121"/>
  <c r="D27" i="121"/>
  <c r="N4" i="120"/>
  <c r="M20" i="120"/>
  <c r="M73" i="120"/>
  <c r="M14" i="120"/>
  <c r="M34" i="120"/>
  <c r="K72" i="120"/>
  <c r="K11" i="120"/>
  <c r="L21" i="120"/>
  <c r="L11" i="120"/>
  <c r="L22" i="120"/>
  <c r="L75" i="120"/>
  <c r="E27" i="120"/>
  <c r="E47" i="120"/>
  <c r="D26" i="120"/>
  <c r="M75" i="120"/>
  <c r="J28" i="120"/>
  <c r="F40" i="120"/>
  <c r="I74" i="120"/>
  <c r="I27" i="120"/>
  <c r="I47" i="120"/>
  <c r="E75" i="120"/>
  <c r="L27" i="120"/>
  <c r="L47" i="120"/>
  <c r="G40" i="120"/>
  <c r="J73" i="120"/>
  <c r="J13" i="120"/>
  <c r="J14" i="120"/>
  <c r="J34" i="120"/>
  <c r="L74" i="120"/>
  <c r="L72" i="120"/>
  <c r="M40" i="120"/>
  <c r="E40" i="120"/>
  <c r="C40" i="120"/>
  <c r="L40" i="120"/>
  <c r="D40" i="120"/>
  <c r="K40" i="120"/>
  <c r="J40" i="120"/>
  <c r="I40" i="120"/>
  <c r="O40" i="120"/>
  <c r="K22" i="120"/>
  <c r="K75" i="120"/>
  <c r="O76" i="120"/>
  <c r="C13" i="120"/>
  <c r="C14" i="120"/>
  <c r="C34" i="120"/>
  <c r="G73" i="120"/>
  <c r="P73" i="120"/>
  <c r="H73" i="120"/>
  <c r="F73" i="120"/>
  <c r="G76" i="120"/>
  <c r="P27" i="120"/>
  <c r="P47" i="120"/>
  <c r="P26" i="120"/>
  <c r="P74" i="120"/>
  <c r="H26" i="120"/>
  <c r="H27" i="120"/>
  <c r="H47" i="120"/>
  <c r="H74" i="120"/>
  <c r="D76" i="120"/>
  <c r="D75" i="120"/>
  <c r="J74" i="120"/>
  <c r="C27" i="120"/>
  <c r="C47" i="120"/>
  <c r="C74" i="120"/>
  <c r="K21" i="120"/>
  <c r="K28" i="120"/>
  <c r="P28" i="120"/>
  <c r="D34" i="120"/>
  <c r="H40" i="120"/>
  <c r="I72" i="120"/>
  <c r="F26" i="120"/>
  <c r="D28" i="120"/>
  <c r="D57" i="120"/>
  <c r="F76" i="120"/>
  <c r="I11" i="120"/>
  <c r="H22" i="119"/>
  <c r="H75" i="119"/>
  <c r="G22" i="119"/>
  <c r="G75" i="119"/>
  <c r="N21" i="119"/>
  <c r="N74" i="119"/>
  <c r="M21" i="119"/>
  <c r="M74" i="119"/>
  <c r="E21" i="119"/>
  <c r="E74" i="119"/>
  <c r="F11" i="119"/>
  <c r="C11" i="119"/>
  <c r="F73" i="119"/>
  <c r="E11" i="119"/>
  <c r="E73" i="119"/>
  <c r="D11" i="119"/>
  <c r="D73" i="119"/>
  <c r="C73" i="119"/>
  <c r="P72" i="119"/>
  <c r="I18" i="119"/>
  <c r="I19" i="119"/>
  <c r="I72" i="119"/>
  <c r="H72" i="119"/>
  <c r="G72" i="119"/>
  <c r="F72" i="119"/>
  <c r="E72" i="119"/>
  <c r="D72" i="119"/>
  <c r="C20" i="119"/>
  <c r="C72" i="119"/>
  <c r="P33" i="119"/>
  <c r="O33" i="119"/>
  <c r="N33" i="119"/>
  <c r="M33" i="119"/>
  <c r="L33" i="119"/>
  <c r="K33" i="119"/>
  <c r="J33" i="119"/>
  <c r="I33" i="119"/>
  <c r="H33" i="119"/>
  <c r="G33" i="119"/>
  <c r="F33" i="119"/>
  <c r="E33" i="119"/>
  <c r="D33" i="119"/>
  <c r="N40" i="119"/>
  <c r="C33" i="119"/>
  <c r="G21" i="119"/>
  <c r="G24" i="119"/>
  <c r="G27" i="119"/>
  <c r="G47" i="119"/>
  <c r="E22" i="119"/>
  <c r="E24" i="119"/>
  <c r="E27" i="119"/>
  <c r="E47" i="119"/>
  <c r="E26" i="119"/>
  <c r="D21" i="119"/>
  <c r="D22" i="119"/>
  <c r="D24" i="119"/>
  <c r="D26" i="119"/>
  <c r="C21" i="119"/>
  <c r="C22" i="119"/>
  <c r="C24" i="119"/>
  <c r="C26" i="119"/>
  <c r="P24" i="119"/>
  <c r="O24" i="119"/>
  <c r="N24" i="119"/>
  <c r="M24" i="119"/>
  <c r="L24" i="119"/>
  <c r="K24" i="119"/>
  <c r="J24" i="119"/>
  <c r="I24" i="119"/>
  <c r="H24" i="119"/>
  <c r="F24" i="119"/>
  <c r="P22" i="119"/>
  <c r="P21" i="119"/>
  <c r="P28" i="119"/>
  <c r="O22" i="119"/>
  <c r="O75" i="119"/>
  <c r="N22" i="119"/>
  <c r="N75" i="119"/>
  <c r="M22" i="119"/>
  <c r="M75" i="119"/>
  <c r="I7" i="119"/>
  <c r="I22" i="119"/>
  <c r="I75" i="119"/>
  <c r="H21" i="119"/>
  <c r="H28" i="119"/>
  <c r="F22" i="119"/>
  <c r="F75" i="119"/>
  <c r="E75" i="119"/>
  <c r="D75" i="119"/>
  <c r="C75" i="119"/>
  <c r="O21" i="119"/>
  <c r="F21" i="119"/>
  <c r="D74" i="119"/>
  <c r="C74" i="119"/>
  <c r="K19" i="119"/>
  <c r="J19" i="119"/>
  <c r="J18" i="119"/>
  <c r="L18" i="119"/>
  <c r="P16" i="119"/>
  <c r="O16" i="119"/>
  <c r="N16" i="119"/>
  <c r="M16" i="119"/>
  <c r="L16" i="119"/>
  <c r="K16" i="119"/>
  <c r="J16" i="119"/>
  <c r="I16" i="119"/>
  <c r="H16" i="119"/>
  <c r="G16" i="119"/>
  <c r="F16" i="119"/>
  <c r="E16" i="119"/>
  <c r="D16" i="119"/>
  <c r="M11" i="119"/>
  <c r="M13" i="119"/>
  <c r="K4" i="119"/>
  <c r="L4" i="119"/>
  <c r="M4" i="119"/>
  <c r="M14" i="119"/>
  <c r="E13" i="119"/>
  <c r="E14" i="119"/>
  <c r="D13" i="119"/>
  <c r="D14" i="119"/>
  <c r="C13" i="119"/>
  <c r="C14" i="119"/>
  <c r="P11" i="119"/>
  <c r="O11" i="119"/>
  <c r="N11" i="119"/>
  <c r="N13" i="119"/>
  <c r="H11" i="119"/>
  <c r="G11" i="119"/>
  <c r="F13" i="119"/>
  <c r="F14" i="119"/>
  <c r="K8" i="119"/>
  <c r="J8" i="119"/>
  <c r="I8" i="119"/>
  <c r="L8" i="119"/>
  <c r="K7" i="119"/>
  <c r="J7" i="119"/>
  <c r="K6" i="119"/>
  <c r="J6" i="119"/>
  <c r="I6" i="119"/>
  <c r="P22" i="118"/>
  <c r="P75" i="118"/>
  <c r="O22" i="118"/>
  <c r="O75" i="118"/>
  <c r="H22" i="118"/>
  <c r="H75" i="118"/>
  <c r="G22" i="118"/>
  <c r="G75" i="118"/>
  <c r="P21" i="118"/>
  <c r="P74" i="118"/>
  <c r="O21" i="118"/>
  <c r="O74" i="118"/>
  <c r="N21" i="118"/>
  <c r="N74" i="118"/>
  <c r="M21" i="118"/>
  <c r="M74" i="118"/>
  <c r="H21" i="118"/>
  <c r="H74" i="118"/>
  <c r="G21" i="118"/>
  <c r="G74" i="118"/>
  <c r="F21" i="118"/>
  <c r="F74" i="118"/>
  <c r="E21" i="118"/>
  <c r="E74" i="118"/>
  <c r="P72" i="118"/>
  <c r="I18" i="118"/>
  <c r="I19" i="118"/>
  <c r="I72" i="118"/>
  <c r="H72" i="118"/>
  <c r="G72" i="118"/>
  <c r="F72" i="118"/>
  <c r="E72" i="118"/>
  <c r="D72" i="118"/>
  <c r="C20" i="118"/>
  <c r="C72" i="118"/>
  <c r="D33" i="118"/>
  <c r="O33" i="118"/>
  <c r="O40" i="118"/>
  <c r="P33" i="118"/>
  <c r="N33" i="118"/>
  <c r="M33" i="118"/>
  <c r="L33" i="118"/>
  <c r="K33" i="118"/>
  <c r="J33" i="118"/>
  <c r="I33" i="118"/>
  <c r="H33" i="118"/>
  <c r="G33" i="118"/>
  <c r="F33" i="118"/>
  <c r="E33" i="118"/>
  <c r="N40" i="118"/>
  <c r="C33" i="118"/>
  <c r="P28" i="118"/>
  <c r="H24" i="118"/>
  <c r="H28" i="118"/>
  <c r="P27" i="118"/>
  <c r="P47" i="118"/>
  <c r="O27" i="118"/>
  <c r="O47" i="118"/>
  <c r="F22" i="118"/>
  <c r="F24" i="118"/>
  <c r="F27" i="118"/>
  <c r="F47" i="118"/>
  <c r="C21" i="118"/>
  <c r="C22" i="118"/>
  <c r="C24" i="118"/>
  <c r="C26" i="118"/>
  <c r="L24" i="118"/>
  <c r="K24" i="118"/>
  <c r="J24" i="118"/>
  <c r="I24" i="118"/>
  <c r="H27" i="118"/>
  <c r="H47" i="118"/>
  <c r="G24" i="118"/>
  <c r="G27" i="118"/>
  <c r="G47" i="118"/>
  <c r="E24" i="118"/>
  <c r="E22" i="118"/>
  <c r="E27" i="118"/>
  <c r="E47" i="118"/>
  <c r="D24" i="118"/>
  <c r="P26" i="118"/>
  <c r="O26" i="118"/>
  <c r="N22" i="118"/>
  <c r="N75" i="118"/>
  <c r="M22" i="118"/>
  <c r="M75" i="118"/>
  <c r="K7" i="118"/>
  <c r="K19" i="118"/>
  <c r="K22" i="118"/>
  <c r="H26" i="118"/>
  <c r="G26" i="118"/>
  <c r="F75" i="118"/>
  <c r="E75" i="118"/>
  <c r="D22" i="118"/>
  <c r="D75" i="118"/>
  <c r="C75" i="118"/>
  <c r="P76" i="118"/>
  <c r="O28" i="118"/>
  <c r="N28" i="118"/>
  <c r="M28" i="118"/>
  <c r="I6" i="118"/>
  <c r="I21" i="118"/>
  <c r="G28" i="118"/>
  <c r="F28" i="118"/>
  <c r="D21" i="118"/>
  <c r="D74" i="118"/>
  <c r="C74" i="118"/>
  <c r="J19" i="118"/>
  <c r="L19" i="118"/>
  <c r="K18" i="118"/>
  <c r="J18" i="118"/>
  <c r="P16" i="118"/>
  <c r="O16" i="118"/>
  <c r="N16" i="118"/>
  <c r="M16" i="118"/>
  <c r="L16" i="118"/>
  <c r="K16" i="118"/>
  <c r="J16" i="118"/>
  <c r="I16" i="118"/>
  <c r="H16" i="118"/>
  <c r="G16" i="118"/>
  <c r="F16" i="118"/>
  <c r="E16" i="118"/>
  <c r="D16" i="118"/>
  <c r="P11" i="118"/>
  <c r="P13" i="118"/>
  <c r="P14" i="118"/>
  <c r="H11" i="118"/>
  <c r="H13" i="118"/>
  <c r="H14" i="118"/>
  <c r="G11" i="118"/>
  <c r="G13" i="118"/>
  <c r="G14" i="118"/>
  <c r="G34" i="118"/>
  <c r="O11" i="118"/>
  <c r="O13" i="118"/>
  <c r="N11" i="118"/>
  <c r="N13" i="118"/>
  <c r="M11" i="118"/>
  <c r="M13" i="118"/>
  <c r="F11" i="118"/>
  <c r="F13" i="118"/>
  <c r="F14" i="118"/>
  <c r="F34" i="118"/>
  <c r="E11" i="118"/>
  <c r="E13" i="118"/>
  <c r="E14" i="118"/>
  <c r="K6" i="118"/>
  <c r="K8" i="118"/>
  <c r="K11" i="118"/>
  <c r="C11" i="118"/>
  <c r="H73" i="118"/>
  <c r="G73" i="118"/>
  <c r="F73" i="118"/>
  <c r="D11" i="118"/>
  <c r="D13" i="118"/>
  <c r="D14" i="118"/>
  <c r="J8" i="118"/>
  <c r="I8" i="118"/>
  <c r="L8" i="118"/>
  <c r="J7" i="118"/>
  <c r="J22" i="118"/>
  <c r="J75" i="118"/>
  <c r="I7" i="118"/>
  <c r="I22" i="118"/>
  <c r="I75" i="118"/>
  <c r="L6" i="118"/>
  <c r="J6" i="118"/>
  <c r="I26" i="118"/>
  <c r="K4" i="118"/>
  <c r="L4" i="118"/>
  <c r="M4" i="118"/>
  <c r="N4" i="118"/>
  <c r="K59" i="130"/>
  <c r="J59" i="130"/>
  <c r="N52" i="132"/>
  <c r="N53" i="132"/>
  <c r="N58" i="132"/>
  <c r="N59" i="132"/>
  <c r="M52" i="132"/>
  <c r="M53" i="132"/>
  <c r="M58" i="132"/>
  <c r="M59" i="132"/>
  <c r="M58" i="131"/>
  <c r="M59" i="131"/>
  <c r="M52" i="131"/>
  <c r="M53" i="131"/>
  <c r="N58" i="131"/>
  <c r="N59" i="131"/>
  <c r="N52" i="131"/>
  <c r="N53" i="131"/>
  <c r="M59" i="130"/>
  <c r="N59" i="130"/>
  <c r="L56" i="128"/>
  <c r="L50" i="128"/>
  <c r="L52" i="128"/>
  <c r="I53" i="128"/>
  <c r="K53" i="128"/>
  <c r="H53" i="128"/>
  <c r="D52" i="128"/>
  <c r="N53" i="128"/>
  <c r="G53" i="128"/>
  <c r="F53" i="128"/>
  <c r="M53" i="128"/>
  <c r="L53" i="128"/>
  <c r="E53" i="128"/>
  <c r="D53" i="128"/>
  <c r="C53" i="128"/>
  <c r="J53" i="128"/>
  <c r="L76" i="128"/>
  <c r="M56" i="127"/>
  <c r="M58" i="127"/>
  <c r="E56" i="127"/>
  <c r="E58" i="127"/>
  <c r="J56" i="127"/>
  <c r="J58" i="127"/>
  <c r="L56" i="127"/>
  <c r="L58" i="127"/>
  <c r="D56" i="127"/>
  <c r="K56" i="127"/>
  <c r="K58" i="127"/>
  <c r="I56" i="127"/>
  <c r="I58" i="127"/>
  <c r="N56" i="127"/>
  <c r="N58" i="127"/>
  <c r="P56" i="127"/>
  <c r="P58" i="127"/>
  <c r="O56" i="127"/>
  <c r="O58" i="127"/>
  <c r="H56" i="127"/>
  <c r="H58" i="127"/>
  <c r="G56" i="127"/>
  <c r="G58" i="127"/>
  <c r="F56" i="127"/>
  <c r="F58" i="127"/>
  <c r="I50" i="127"/>
  <c r="I52" i="127"/>
  <c r="G50" i="127"/>
  <c r="G52" i="127"/>
  <c r="M50" i="127"/>
  <c r="M52" i="127"/>
  <c r="P50" i="127"/>
  <c r="P52" i="127"/>
  <c r="H50" i="127"/>
  <c r="H52" i="127"/>
  <c r="O50" i="127"/>
  <c r="O52" i="127"/>
  <c r="F50" i="127"/>
  <c r="F52" i="127"/>
  <c r="N50" i="127"/>
  <c r="N52" i="127"/>
  <c r="E50" i="127"/>
  <c r="E52" i="127"/>
  <c r="K50" i="127"/>
  <c r="K52" i="127"/>
  <c r="L50" i="127"/>
  <c r="L52" i="127"/>
  <c r="D50" i="127"/>
  <c r="J50" i="127"/>
  <c r="J52" i="127"/>
  <c r="M76" i="124"/>
  <c r="N52" i="124"/>
  <c r="N58" i="124"/>
  <c r="M52" i="124"/>
  <c r="J52" i="124"/>
  <c r="L26" i="124"/>
  <c r="L75" i="124"/>
  <c r="K76" i="124"/>
  <c r="G58" i="124"/>
  <c r="F58" i="124"/>
  <c r="L73" i="124"/>
  <c r="L13" i="124"/>
  <c r="L14" i="124"/>
  <c r="L34" i="124"/>
  <c r="I76" i="124"/>
  <c r="J76" i="124"/>
  <c r="L74" i="124"/>
  <c r="H34" i="118"/>
  <c r="P76" i="120"/>
  <c r="G76" i="121"/>
  <c r="C76" i="121"/>
  <c r="M26" i="121"/>
  <c r="M72" i="121"/>
  <c r="M27" i="121"/>
  <c r="M47" i="121"/>
  <c r="K28" i="121"/>
  <c r="D76" i="121"/>
  <c r="D47" i="121"/>
  <c r="K73" i="121"/>
  <c r="K13" i="121"/>
  <c r="K14" i="121"/>
  <c r="K34" i="121"/>
  <c r="K74" i="121"/>
  <c r="K27" i="121"/>
  <c r="K47" i="121"/>
  <c r="L21" i="121"/>
  <c r="L28" i="121"/>
  <c r="L11" i="121"/>
  <c r="L26" i="121"/>
  <c r="H76" i="121"/>
  <c r="J73" i="121"/>
  <c r="J13" i="121"/>
  <c r="J14" i="121"/>
  <c r="J34" i="121"/>
  <c r="C51" i="121"/>
  <c r="C56" i="121"/>
  <c r="C58" i="121"/>
  <c r="C50" i="121"/>
  <c r="C52" i="121"/>
  <c r="C57" i="121"/>
  <c r="N76" i="121"/>
  <c r="O73" i="121"/>
  <c r="O14" i="121"/>
  <c r="O34" i="121"/>
  <c r="I73" i="121"/>
  <c r="I13" i="121"/>
  <c r="I14" i="121"/>
  <c r="I34" i="121"/>
  <c r="K76" i="121"/>
  <c r="L74" i="121"/>
  <c r="L72" i="121"/>
  <c r="M76" i="121"/>
  <c r="J76" i="121"/>
  <c r="M72" i="120"/>
  <c r="M26" i="120"/>
  <c r="K13" i="120"/>
  <c r="K14" i="120"/>
  <c r="K34" i="120"/>
  <c r="K73" i="120"/>
  <c r="I73" i="120"/>
  <c r="I13" i="120"/>
  <c r="I14" i="120"/>
  <c r="I34" i="120"/>
  <c r="C51" i="120"/>
  <c r="C56" i="120"/>
  <c r="C58" i="120"/>
  <c r="C57" i="120"/>
  <c r="C69" i="120"/>
  <c r="C50" i="120"/>
  <c r="C52" i="120"/>
  <c r="E76" i="120"/>
  <c r="O4" i="120"/>
  <c r="N73" i="120"/>
  <c r="N20" i="120"/>
  <c r="H76" i="120"/>
  <c r="K74" i="120"/>
  <c r="I76" i="120"/>
  <c r="L73" i="120"/>
  <c r="L13" i="120"/>
  <c r="L14" i="120"/>
  <c r="L34" i="120"/>
  <c r="D51" i="120"/>
  <c r="K27" i="120"/>
  <c r="M27" i="120"/>
  <c r="M47" i="120"/>
  <c r="C76" i="120"/>
  <c r="L76" i="120"/>
  <c r="K26" i="120"/>
  <c r="L28" i="120"/>
  <c r="L26" i="120"/>
  <c r="N14" i="120"/>
  <c r="N34" i="120"/>
  <c r="D34" i="119"/>
  <c r="G40" i="119"/>
  <c r="M34" i="119"/>
  <c r="F34" i="119"/>
  <c r="E34" i="119"/>
  <c r="H40" i="119"/>
  <c r="O40" i="119"/>
  <c r="P40" i="119"/>
  <c r="E34" i="118"/>
  <c r="P40" i="118"/>
  <c r="G40" i="118"/>
  <c r="D34" i="118"/>
  <c r="H40" i="118"/>
  <c r="I21" i="119"/>
  <c r="I28" i="119"/>
  <c r="L6" i="119"/>
  <c r="J22" i="119"/>
  <c r="J75" i="119"/>
  <c r="K22" i="119"/>
  <c r="K75" i="119"/>
  <c r="L19" i="119"/>
  <c r="P75" i="119"/>
  <c r="J21" i="119"/>
  <c r="J11" i="119"/>
  <c r="G28" i="119"/>
  <c r="G76" i="119"/>
  <c r="G26" i="119"/>
  <c r="G74" i="119"/>
  <c r="O13" i="119"/>
  <c r="C27" i="119"/>
  <c r="C76" i="119"/>
  <c r="P13" i="119"/>
  <c r="P14" i="119"/>
  <c r="P73" i="119"/>
  <c r="O27" i="119"/>
  <c r="O47" i="119"/>
  <c r="N28" i="119"/>
  <c r="O28" i="119"/>
  <c r="O26" i="119"/>
  <c r="O74" i="119"/>
  <c r="N4" i="119"/>
  <c r="M73" i="119"/>
  <c r="M20" i="119"/>
  <c r="H13" i="119"/>
  <c r="H14" i="119"/>
  <c r="H34" i="119"/>
  <c r="H73" i="119"/>
  <c r="I74" i="119"/>
  <c r="J72" i="119"/>
  <c r="F28" i="119"/>
  <c r="F26" i="119"/>
  <c r="F27" i="119"/>
  <c r="F76" i="119"/>
  <c r="M28" i="119"/>
  <c r="G13" i="119"/>
  <c r="G14" i="119"/>
  <c r="G34" i="119"/>
  <c r="G73" i="119"/>
  <c r="I11" i="119"/>
  <c r="E28" i="119"/>
  <c r="E76" i="119"/>
  <c r="F47" i="119"/>
  <c r="C34" i="119"/>
  <c r="F74" i="119"/>
  <c r="H27" i="119"/>
  <c r="H47" i="119"/>
  <c r="J40" i="119"/>
  <c r="P74" i="119"/>
  <c r="K11" i="119"/>
  <c r="D28" i="119"/>
  <c r="K18" i="119"/>
  <c r="H26" i="119"/>
  <c r="P26" i="119"/>
  <c r="D40" i="119"/>
  <c r="L40" i="119"/>
  <c r="I40" i="119"/>
  <c r="P27" i="119"/>
  <c r="P47" i="119"/>
  <c r="H74" i="119"/>
  <c r="C40" i="119"/>
  <c r="C47" i="119"/>
  <c r="E40" i="119"/>
  <c r="M40" i="119"/>
  <c r="K40" i="119"/>
  <c r="D27" i="119"/>
  <c r="D47" i="119"/>
  <c r="F40" i="119"/>
  <c r="O4" i="118"/>
  <c r="N20" i="118"/>
  <c r="J72" i="118"/>
  <c r="J21" i="118"/>
  <c r="J74" i="118"/>
  <c r="L18" i="118"/>
  <c r="E76" i="118"/>
  <c r="K13" i="118"/>
  <c r="K14" i="118"/>
  <c r="K34" i="118"/>
  <c r="K73" i="118"/>
  <c r="K21" i="118"/>
  <c r="K74" i="118"/>
  <c r="M73" i="118"/>
  <c r="M14" i="118"/>
  <c r="M34" i="118"/>
  <c r="K75" i="118"/>
  <c r="K27" i="118"/>
  <c r="K47" i="118"/>
  <c r="C13" i="118"/>
  <c r="C14" i="118"/>
  <c r="C34" i="118"/>
  <c r="C73" i="118"/>
  <c r="N73" i="118"/>
  <c r="N14" i="118"/>
  <c r="N34" i="118"/>
  <c r="L22" i="118"/>
  <c r="L75" i="118"/>
  <c r="H76" i="118"/>
  <c r="L21" i="118"/>
  <c r="L26" i="118"/>
  <c r="L11" i="118"/>
  <c r="O73" i="118"/>
  <c r="I27" i="118"/>
  <c r="I76" i="118"/>
  <c r="I74" i="118"/>
  <c r="I47" i="118"/>
  <c r="I28" i="118"/>
  <c r="E73" i="118"/>
  <c r="P73" i="118"/>
  <c r="M20" i="118"/>
  <c r="D26" i="118"/>
  <c r="D73" i="118"/>
  <c r="I40" i="118"/>
  <c r="E26" i="118"/>
  <c r="K72" i="118"/>
  <c r="N26" i="118"/>
  <c r="J40" i="118"/>
  <c r="C40" i="118"/>
  <c r="E28" i="118"/>
  <c r="D40" i="118"/>
  <c r="L40" i="118"/>
  <c r="F76" i="118"/>
  <c r="F26" i="118"/>
  <c r="D28" i="118"/>
  <c r="K40" i="118"/>
  <c r="I11" i="118"/>
  <c r="C27" i="118"/>
  <c r="C47" i="118"/>
  <c r="E40" i="118"/>
  <c r="M40" i="118"/>
  <c r="G76" i="118"/>
  <c r="O76" i="118"/>
  <c r="J11" i="118"/>
  <c r="D27" i="118"/>
  <c r="D47" i="118"/>
  <c r="F40" i="118"/>
  <c r="F52" i="124"/>
  <c r="G52" i="124"/>
  <c r="E52" i="124"/>
  <c r="K52" i="124"/>
  <c r="L58" i="128"/>
  <c r="L59" i="128"/>
  <c r="O59" i="127"/>
  <c r="G59" i="127"/>
  <c r="C59" i="127"/>
  <c r="N59" i="127"/>
  <c r="F59" i="127"/>
  <c r="D58" i="127"/>
  <c r="M59" i="127"/>
  <c r="E59" i="127"/>
  <c r="L59" i="127"/>
  <c r="D59" i="127"/>
  <c r="K59" i="127"/>
  <c r="P59" i="127"/>
  <c r="H59" i="127"/>
  <c r="J59" i="127"/>
  <c r="I59" i="127"/>
  <c r="K53" i="127"/>
  <c r="C53" i="127"/>
  <c r="O53" i="127"/>
  <c r="J53" i="127"/>
  <c r="I53" i="127"/>
  <c r="P53" i="127"/>
  <c r="G53" i="127"/>
  <c r="H53" i="127"/>
  <c r="N53" i="127"/>
  <c r="L53" i="127"/>
  <c r="F53" i="127"/>
  <c r="E53" i="127"/>
  <c r="M53" i="127"/>
  <c r="D52" i="127"/>
  <c r="D53" i="127"/>
  <c r="H58" i="124"/>
  <c r="N53" i="124"/>
  <c r="L52" i="124"/>
  <c r="I58" i="124"/>
  <c r="E58" i="124"/>
  <c r="J58" i="124"/>
  <c r="M58" i="124"/>
  <c r="N59" i="124"/>
  <c r="H52" i="124"/>
  <c r="L58" i="124"/>
  <c r="K58" i="124"/>
  <c r="K53" i="124"/>
  <c r="C53" i="124"/>
  <c r="G53" i="124"/>
  <c r="E53" i="124"/>
  <c r="D52" i="124"/>
  <c r="M53" i="124"/>
  <c r="D53" i="124"/>
  <c r="I52" i="124"/>
  <c r="L76" i="124"/>
  <c r="D51" i="121"/>
  <c r="C48" i="121"/>
  <c r="D57" i="121"/>
  <c r="C69" i="121"/>
  <c r="L73" i="121"/>
  <c r="L13" i="121"/>
  <c r="L14" i="121"/>
  <c r="L34" i="121"/>
  <c r="L27" i="121"/>
  <c r="M56" i="120"/>
  <c r="M58" i="120"/>
  <c r="E56" i="120"/>
  <c r="E58" i="120"/>
  <c r="L56" i="120"/>
  <c r="L58" i="120"/>
  <c r="D56" i="120"/>
  <c r="J56" i="120"/>
  <c r="J58" i="120"/>
  <c r="I56" i="120"/>
  <c r="I58" i="120"/>
  <c r="F56" i="120"/>
  <c r="F58" i="120"/>
  <c r="P56" i="120"/>
  <c r="P58" i="120"/>
  <c r="O56" i="120"/>
  <c r="H56" i="120"/>
  <c r="H58" i="120"/>
  <c r="G56" i="120"/>
  <c r="G58" i="120"/>
  <c r="K47" i="120"/>
  <c r="K56" i="120"/>
  <c r="K58" i="120"/>
  <c r="K76" i="120"/>
  <c r="M76" i="120"/>
  <c r="N72" i="120"/>
  <c r="N27" i="120"/>
  <c r="N47" i="120"/>
  <c r="N56" i="120"/>
  <c r="N58" i="120"/>
  <c r="N26" i="120"/>
  <c r="N76" i="120"/>
  <c r="C48" i="120"/>
  <c r="O72" i="120"/>
  <c r="O73" i="120"/>
  <c r="O14" i="120"/>
  <c r="O34" i="120"/>
  <c r="J73" i="119"/>
  <c r="J13" i="119"/>
  <c r="J14" i="119"/>
  <c r="J34" i="119"/>
  <c r="K21" i="119"/>
  <c r="K74" i="119"/>
  <c r="K72" i="119"/>
  <c r="K26" i="119"/>
  <c r="I73" i="119"/>
  <c r="I13" i="119"/>
  <c r="I14" i="119"/>
  <c r="I34" i="119"/>
  <c r="J28" i="119"/>
  <c r="N20" i="119"/>
  <c r="N73" i="119"/>
  <c r="O4" i="119"/>
  <c r="L22" i="119"/>
  <c r="L75" i="119"/>
  <c r="I26" i="119"/>
  <c r="J27" i="119"/>
  <c r="J47" i="119"/>
  <c r="K73" i="119"/>
  <c r="K13" i="119"/>
  <c r="K14" i="119"/>
  <c r="K34" i="119"/>
  <c r="M72" i="119"/>
  <c r="M27" i="119"/>
  <c r="M47" i="119"/>
  <c r="O14" i="119"/>
  <c r="O34" i="119"/>
  <c r="J26" i="119"/>
  <c r="J74" i="119"/>
  <c r="C51" i="119"/>
  <c r="C57" i="119"/>
  <c r="C56" i="119"/>
  <c r="C58" i="119"/>
  <c r="C50" i="119"/>
  <c r="C52" i="119"/>
  <c r="K27" i="119"/>
  <c r="K47" i="119"/>
  <c r="O76" i="119"/>
  <c r="D76" i="119"/>
  <c r="H76" i="119"/>
  <c r="D57" i="119"/>
  <c r="D51" i="119"/>
  <c r="L21" i="119"/>
  <c r="L11" i="119"/>
  <c r="L26" i="119"/>
  <c r="I27" i="119"/>
  <c r="I47" i="119"/>
  <c r="L72" i="119"/>
  <c r="N14" i="119"/>
  <c r="N34" i="119"/>
  <c r="P76" i="119"/>
  <c r="M26" i="119"/>
  <c r="D57" i="118"/>
  <c r="D51" i="118"/>
  <c r="J27" i="118"/>
  <c r="J76" i="118"/>
  <c r="J28" i="118"/>
  <c r="J26" i="118"/>
  <c r="C76" i="118"/>
  <c r="L13" i="118"/>
  <c r="L14" i="118"/>
  <c r="L34" i="118"/>
  <c r="L73" i="118"/>
  <c r="I73" i="118"/>
  <c r="I13" i="118"/>
  <c r="I14" i="118"/>
  <c r="I34" i="118"/>
  <c r="L28" i="118"/>
  <c r="N72" i="118"/>
  <c r="N27" i="118"/>
  <c r="O72" i="118"/>
  <c r="O14" i="118"/>
  <c r="O34" i="118"/>
  <c r="J47" i="118"/>
  <c r="L27" i="118"/>
  <c r="L47" i="118"/>
  <c r="C51" i="118"/>
  <c r="C57" i="118"/>
  <c r="C56" i="118"/>
  <c r="C58" i="118"/>
  <c r="C50" i="118"/>
  <c r="C52" i="118"/>
  <c r="M72" i="118"/>
  <c r="M27" i="118"/>
  <c r="M47" i="118"/>
  <c r="J73" i="118"/>
  <c r="J13" i="118"/>
  <c r="J14" i="118"/>
  <c r="J34" i="118"/>
  <c r="L76" i="118"/>
  <c r="D76" i="118"/>
  <c r="M26" i="118"/>
  <c r="K28" i="118"/>
  <c r="K76" i="118"/>
  <c r="K26" i="118"/>
  <c r="L74" i="118"/>
  <c r="L72" i="118"/>
  <c r="H53" i="124"/>
  <c r="F53" i="124"/>
  <c r="L53" i="124"/>
  <c r="K59" i="124"/>
  <c r="E59" i="124"/>
  <c r="D58" i="124"/>
  <c r="J53" i="124"/>
  <c r="M59" i="124"/>
  <c r="J59" i="124"/>
  <c r="L59" i="124"/>
  <c r="H59" i="124"/>
  <c r="F59" i="124"/>
  <c r="I59" i="124"/>
  <c r="D59" i="124"/>
  <c r="C59" i="124"/>
  <c r="G59" i="124"/>
  <c r="I53" i="124"/>
  <c r="C48" i="119"/>
  <c r="L47" i="121"/>
  <c r="L76" i="121"/>
  <c r="M56" i="121"/>
  <c r="M58" i="121"/>
  <c r="E56" i="121"/>
  <c r="E58" i="121"/>
  <c r="D56" i="121"/>
  <c r="K56" i="121"/>
  <c r="K58" i="121"/>
  <c r="L56" i="121"/>
  <c r="L58" i="121"/>
  <c r="O56" i="121"/>
  <c r="O58" i="121"/>
  <c r="N56" i="121"/>
  <c r="N58" i="121"/>
  <c r="H56" i="121"/>
  <c r="H58" i="121"/>
  <c r="F56" i="121"/>
  <c r="F58" i="121"/>
  <c r="J56" i="121"/>
  <c r="J58" i="121"/>
  <c r="I56" i="121"/>
  <c r="I58" i="121"/>
  <c r="G56" i="121"/>
  <c r="G58" i="121"/>
  <c r="P56" i="121"/>
  <c r="P58" i="121"/>
  <c r="I50" i="121"/>
  <c r="I52" i="121"/>
  <c r="H50" i="121"/>
  <c r="H52" i="121"/>
  <c r="G50" i="121"/>
  <c r="G52" i="121"/>
  <c r="P50" i="121"/>
  <c r="P52" i="121"/>
  <c r="O50" i="121"/>
  <c r="O52" i="121"/>
  <c r="F50" i="121"/>
  <c r="F52" i="121"/>
  <c r="E50" i="121"/>
  <c r="E52" i="121"/>
  <c r="M50" i="121"/>
  <c r="M52" i="121"/>
  <c r="N50" i="121"/>
  <c r="N52" i="121"/>
  <c r="D50" i="121"/>
  <c r="L50" i="121"/>
  <c r="L52" i="121"/>
  <c r="K50" i="121"/>
  <c r="K52" i="121"/>
  <c r="J50" i="121"/>
  <c r="J52" i="121"/>
  <c r="O59" i="120"/>
  <c r="G59" i="120"/>
  <c r="M59" i="120"/>
  <c r="L59" i="120"/>
  <c r="N59" i="120"/>
  <c r="F59" i="120"/>
  <c r="D58" i="120"/>
  <c r="E59" i="120"/>
  <c r="D59" i="120"/>
  <c r="K59" i="120"/>
  <c r="C59" i="120"/>
  <c r="P59" i="120"/>
  <c r="H59" i="120"/>
  <c r="J59" i="120"/>
  <c r="I59" i="120"/>
  <c r="O58" i="120"/>
  <c r="I50" i="120"/>
  <c r="I52" i="120"/>
  <c r="O50" i="120"/>
  <c r="O52" i="120"/>
  <c r="P50" i="120"/>
  <c r="P52" i="120"/>
  <c r="H50" i="120"/>
  <c r="H52" i="120"/>
  <c r="G50" i="120"/>
  <c r="G52" i="120"/>
  <c r="N50" i="120"/>
  <c r="N52" i="120"/>
  <c r="F50" i="120"/>
  <c r="F52" i="120"/>
  <c r="E50" i="120"/>
  <c r="E52" i="120"/>
  <c r="M50" i="120"/>
  <c r="M52" i="120"/>
  <c r="L50" i="120"/>
  <c r="L52" i="120"/>
  <c r="K50" i="120"/>
  <c r="K52" i="120"/>
  <c r="J50" i="120"/>
  <c r="J52" i="120"/>
  <c r="D50" i="120"/>
  <c r="I76" i="119"/>
  <c r="L28" i="119"/>
  <c r="L74" i="119"/>
  <c r="J76" i="119"/>
  <c r="I50" i="119"/>
  <c r="I52" i="119"/>
  <c r="P50" i="119"/>
  <c r="P52" i="119"/>
  <c r="H50" i="119"/>
  <c r="H52" i="119"/>
  <c r="N27" i="119"/>
  <c r="N47" i="119"/>
  <c r="N50" i="119"/>
  <c r="N52" i="119"/>
  <c r="D50" i="119"/>
  <c r="O50" i="119"/>
  <c r="O52" i="119"/>
  <c r="G50" i="119"/>
  <c r="G52" i="119"/>
  <c r="F50" i="119"/>
  <c r="F52" i="119"/>
  <c r="M50" i="119"/>
  <c r="M52" i="119"/>
  <c r="E50" i="119"/>
  <c r="E52" i="119"/>
  <c r="K28" i="119"/>
  <c r="K50" i="119"/>
  <c r="K52" i="119"/>
  <c r="J50" i="119"/>
  <c r="J52" i="119"/>
  <c r="N72" i="119"/>
  <c r="N26" i="119"/>
  <c r="N76" i="119"/>
  <c r="L13" i="119"/>
  <c r="L14" i="119"/>
  <c r="L34" i="119"/>
  <c r="L73" i="119"/>
  <c r="O72" i="119"/>
  <c r="O73" i="119"/>
  <c r="L27" i="119"/>
  <c r="K76" i="119"/>
  <c r="C69" i="119"/>
  <c r="M76" i="119"/>
  <c r="N47" i="118"/>
  <c r="N76" i="118"/>
  <c r="C69" i="118"/>
  <c r="C48" i="118"/>
  <c r="M76" i="118"/>
  <c r="O59" i="121"/>
  <c r="G59" i="121"/>
  <c r="N59" i="121"/>
  <c r="F59" i="121"/>
  <c r="D58" i="121"/>
  <c r="M59" i="121"/>
  <c r="E59" i="121"/>
  <c r="J59" i="121"/>
  <c r="I59" i="121"/>
  <c r="L59" i="121"/>
  <c r="H59" i="121"/>
  <c r="D59" i="121"/>
  <c r="P59" i="121"/>
  <c r="K59" i="121"/>
  <c r="C59" i="121"/>
  <c r="K53" i="121"/>
  <c r="C53" i="121"/>
  <c r="J53" i="121"/>
  <c r="I53" i="121"/>
  <c r="O53" i="121"/>
  <c r="D53" i="121"/>
  <c r="D52" i="121"/>
  <c r="N53" i="121"/>
  <c r="M53" i="121"/>
  <c r="L53" i="121"/>
  <c r="G53" i="121"/>
  <c r="H53" i="121"/>
  <c r="F53" i="121"/>
  <c r="E53" i="121"/>
  <c r="P53" i="121"/>
  <c r="K53" i="120"/>
  <c r="C53" i="120"/>
  <c r="I53" i="120"/>
  <c r="P53" i="120"/>
  <c r="O53" i="120"/>
  <c r="J53" i="120"/>
  <c r="H53" i="120"/>
  <c r="G53" i="120"/>
  <c r="N53" i="120"/>
  <c r="L53" i="120"/>
  <c r="F53" i="120"/>
  <c r="E53" i="120"/>
  <c r="M53" i="120"/>
  <c r="D52" i="120"/>
  <c r="D53" i="120"/>
  <c r="M56" i="119"/>
  <c r="M58" i="119"/>
  <c r="E56" i="119"/>
  <c r="E58" i="119"/>
  <c r="P56" i="119"/>
  <c r="P58" i="119"/>
  <c r="D56" i="119"/>
  <c r="J56" i="119"/>
  <c r="J58" i="119"/>
  <c r="H56" i="119"/>
  <c r="H58" i="119"/>
  <c r="K56" i="119"/>
  <c r="K58" i="119"/>
  <c r="I56" i="119"/>
  <c r="I58" i="119"/>
  <c r="F56" i="119"/>
  <c r="F58" i="119"/>
  <c r="O56" i="119"/>
  <c r="O58" i="119"/>
  <c r="N56" i="119"/>
  <c r="N58" i="119"/>
  <c r="G56" i="119"/>
  <c r="G58" i="119"/>
  <c r="L47" i="119"/>
  <c r="L50" i="119"/>
  <c r="L52" i="119"/>
  <c r="L76" i="119"/>
  <c r="K53" i="119"/>
  <c r="C53" i="119"/>
  <c r="G53" i="119"/>
  <c r="J53" i="119"/>
  <c r="P53" i="119"/>
  <c r="F53" i="119"/>
  <c r="D52" i="119"/>
  <c r="I53" i="119"/>
  <c r="H53" i="119"/>
  <c r="O53" i="119"/>
  <c r="N53" i="119"/>
  <c r="D53" i="119"/>
  <c r="M53" i="119"/>
  <c r="E53" i="119"/>
  <c r="I50" i="118"/>
  <c r="I52" i="118"/>
  <c r="E50" i="118"/>
  <c r="E52" i="118"/>
  <c r="P50" i="118"/>
  <c r="P52" i="118"/>
  <c r="H50" i="118"/>
  <c r="H52" i="118"/>
  <c r="N50" i="118"/>
  <c r="N52" i="118"/>
  <c r="M50" i="118"/>
  <c r="M52" i="118"/>
  <c r="K50" i="118"/>
  <c r="K52" i="118"/>
  <c r="O50" i="118"/>
  <c r="O52" i="118"/>
  <c r="G50" i="118"/>
  <c r="G52" i="118"/>
  <c r="F50" i="118"/>
  <c r="F52" i="118"/>
  <c r="D50" i="118"/>
  <c r="L50" i="118"/>
  <c r="L52" i="118"/>
  <c r="J50" i="118"/>
  <c r="J52" i="118"/>
  <c r="M56" i="118"/>
  <c r="M58" i="118"/>
  <c r="E56" i="118"/>
  <c r="E58" i="118"/>
  <c r="L56" i="118"/>
  <c r="L58" i="118"/>
  <c r="D56" i="118"/>
  <c r="J56" i="118"/>
  <c r="J58" i="118"/>
  <c r="P56" i="118"/>
  <c r="P58" i="118"/>
  <c r="N56" i="118"/>
  <c r="N58" i="118"/>
  <c r="K56" i="118"/>
  <c r="K58" i="118"/>
  <c r="I56" i="118"/>
  <c r="I58" i="118"/>
  <c r="H56" i="118"/>
  <c r="H58" i="118"/>
  <c r="G56" i="118"/>
  <c r="G58" i="118"/>
  <c r="F56" i="118"/>
  <c r="F58" i="118"/>
  <c r="O56" i="118"/>
  <c r="O58" i="118"/>
  <c r="L56" i="119"/>
  <c r="L58" i="119"/>
  <c r="L53" i="119"/>
  <c r="O59" i="119"/>
  <c r="G59" i="119"/>
  <c r="N59" i="119"/>
  <c r="F59" i="119"/>
  <c r="D58" i="119"/>
  <c r="D59" i="119"/>
  <c r="M59" i="119"/>
  <c r="E59" i="119"/>
  <c r="K59" i="119"/>
  <c r="C59" i="119"/>
  <c r="J59" i="119"/>
  <c r="H59" i="119"/>
  <c r="P59" i="119"/>
  <c r="I59" i="119"/>
  <c r="K53" i="118"/>
  <c r="C53" i="118"/>
  <c r="J53" i="118"/>
  <c r="H53" i="118"/>
  <c r="O53" i="118"/>
  <c r="N53" i="118"/>
  <c r="D52" i="118"/>
  <c r="E53" i="118"/>
  <c r="I53" i="118"/>
  <c r="P53" i="118"/>
  <c r="G53" i="118"/>
  <c r="F53" i="118"/>
  <c r="M53" i="118"/>
  <c r="L53" i="118"/>
  <c r="D53" i="118"/>
  <c r="O59" i="118"/>
  <c r="G59" i="118"/>
  <c r="N59" i="118"/>
  <c r="F59" i="118"/>
  <c r="D58" i="118"/>
  <c r="C59" i="118"/>
  <c r="M59" i="118"/>
  <c r="E59" i="118"/>
  <c r="L59" i="118"/>
  <c r="D59" i="118"/>
  <c r="K59" i="118"/>
  <c r="J59" i="118"/>
  <c r="I59" i="118"/>
  <c r="P59" i="118"/>
  <c r="H59" i="118"/>
  <c r="L59" i="119"/>
  <c r="D21" i="42"/>
  <c r="D22" i="42"/>
  <c r="D24" i="42"/>
  <c r="D26" i="42"/>
  <c r="D27" i="42"/>
  <c r="D45" i="42"/>
  <c r="D16" i="42"/>
  <c r="C21" i="42"/>
  <c r="C22" i="42"/>
  <c r="C20" i="42"/>
  <c r="C70" i="42"/>
  <c r="C24" i="42"/>
  <c r="C27" i="42"/>
  <c r="C45" i="42"/>
  <c r="C55" i="42"/>
  <c r="D33" i="42"/>
  <c r="C33" i="42"/>
  <c r="E21" i="42"/>
  <c r="E22" i="42"/>
  <c r="E24" i="42"/>
  <c r="E28" i="42"/>
  <c r="E27" i="42"/>
  <c r="E45" i="42"/>
  <c r="E16" i="42"/>
  <c r="F21" i="42"/>
  <c r="F22" i="42"/>
  <c r="F24" i="42"/>
  <c r="F28" i="42"/>
  <c r="F16" i="42"/>
  <c r="G21" i="42"/>
  <c r="G22" i="42"/>
  <c r="G24" i="42"/>
  <c r="G16" i="42"/>
  <c r="G28" i="42"/>
  <c r="H21" i="42"/>
  <c r="H22" i="42"/>
  <c r="H24" i="42"/>
  <c r="H27" i="42"/>
  <c r="H45" i="42"/>
  <c r="H16" i="42"/>
  <c r="I6" i="42"/>
  <c r="I18" i="42"/>
  <c r="I21" i="42"/>
  <c r="I7" i="42"/>
  <c r="I19" i="42"/>
  <c r="K19" i="42"/>
  <c r="I8" i="42"/>
  <c r="I24" i="42"/>
  <c r="I16" i="42"/>
  <c r="J6" i="42"/>
  <c r="J18" i="42"/>
  <c r="J21" i="42"/>
  <c r="J7" i="42"/>
  <c r="J19" i="42"/>
  <c r="J22" i="42"/>
  <c r="J8" i="42"/>
  <c r="J24" i="42"/>
  <c r="J16" i="42"/>
  <c r="K6" i="42"/>
  <c r="K18" i="42"/>
  <c r="K7" i="42"/>
  <c r="K22" i="42"/>
  <c r="K8" i="42"/>
  <c r="K24" i="42"/>
  <c r="K16" i="42"/>
  <c r="L6" i="42"/>
  <c r="L18" i="42"/>
  <c r="L21" i="42"/>
  <c r="L8" i="42"/>
  <c r="L24" i="42"/>
  <c r="L16" i="42"/>
  <c r="M21" i="42"/>
  <c r="M22" i="42"/>
  <c r="K4" i="42"/>
  <c r="L4" i="42"/>
  <c r="M4" i="42"/>
  <c r="M16" i="42"/>
  <c r="N21" i="42"/>
  <c r="N22" i="42"/>
  <c r="N28" i="42"/>
  <c r="N73" i="42"/>
  <c r="N16" i="42"/>
  <c r="O21" i="42"/>
  <c r="O22" i="42"/>
  <c r="O27" i="42"/>
  <c r="O45" i="42"/>
  <c r="O16" i="42"/>
  <c r="O28" i="42"/>
  <c r="P21" i="42"/>
  <c r="P22" i="42"/>
  <c r="P27" i="42"/>
  <c r="P45" i="42"/>
  <c r="P16" i="42"/>
  <c r="P28" i="42"/>
  <c r="Q21" i="42"/>
  <c r="Q22" i="42"/>
  <c r="Q27" i="42"/>
  <c r="Q45" i="42"/>
  <c r="Q16" i="42"/>
  <c r="Q28" i="42"/>
  <c r="R21" i="42"/>
  <c r="R22" i="42"/>
  <c r="R27" i="42"/>
  <c r="R74" i="42"/>
  <c r="R45" i="42"/>
  <c r="R16" i="42"/>
  <c r="R28" i="42"/>
  <c r="D33" i="41"/>
  <c r="C33" i="41"/>
  <c r="D21" i="41"/>
  <c r="D22" i="41"/>
  <c r="D24" i="41"/>
  <c r="D28" i="41"/>
  <c r="D27" i="41"/>
  <c r="D45" i="41"/>
  <c r="D16" i="41"/>
  <c r="D49" i="41"/>
  <c r="C21" i="41"/>
  <c r="C22" i="41"/>
  <c r="C20" i="41"/>
  <c r="C24" i="41"/>
  <c r="E21" i="41"/>
  <c r="E22" i="41"/>
  <c r="E24" i="41"/>
  <c r="E27" i="41"/>
  <c r="E45" i="41"/>
  <c r="E16" i="41"/>
  <c r="F21" i="41"/>
  <c r="F22" i="41"/>
  <c r="F24" i="41"/>
  <c r="F16" i="41"/>
  <c r="G21" i="41"/>
  <c r="G22" i="41"/>
  <c r="G24" i="41"/>
  <c r="G16" i="41"/>
  <c r="H21" i="41"/>
  <c r="H22" i="41"/>
  <c r="H24" i="41"/>
  <c r="H27" i="41"/>
  <c r="H45" i="41"/>
  <c r="H16" i="41"/>
  <c r="H28" i="41"/>
  <c r="I6" i="41"/>
  <c r="I18" i="41"/>
  <c r="I21" i="41"/>
  <c r="I7" i="41"/>
  <c r="I19" i="41"/>
  <c r="I22" i="41"/>
  <c r="I73" i="41"/>
  <c r="I8" i="41"/>
  <c r="I24" i="41"/>
  <c r="I26" i="41"/>
  <c r="I16" i="41"/>
  <c r="J6" i="41"/>
  <c r="J18" i="41"/>
  <c r="L18" i="41"/>
  <c r="J7" i="41"/>
  <c r="J19" i="41"/>
  <c r="J8" i="41"/>
  <c r="J24" i="41"/>
  <c r="J16" i="41"/>
  <c r="K6" i="41"/>
  <c r="K18" i="41"/>
  <c r="K21" i="41"/>
  <c r="K7" i="41"/>
  <c r="K19" i="41"/>
  <c r="K22" i="41"/>
  <c r="K24" i="41"/>
  <c r="K28" i="41"/>
  <c r="K73" i="41"/>
  <c r="K8" i="41"/>
  <c r="K16" i="41"/>
  <c r="L6" i="41"/>
  <c r="L19" i="41"/>
  <c r="L22" i="41"/>
  <c r="L73" i="41"/>
  <c r="L24" i="41"/>
  <c r="L16" i="41"/>
  <c r="M21" i="41"/>
  <c r="M22" i="41"/>
  <c r="M28" i="41"/>
  <c r="K4" i="41"/>
  <c r="L4" i="41"/>
  <c r="M4" i="41"/>
  <c r="M20" i="41"/>
  <c r="M16" i="41"/>
  <c r="N21" i="41"/>
  <c r="N22" i="41"/>
  <c r="N4" i="41"/>
  <c r="N20" i="41"/>
  <c r="N16" i="41"/>
  <c r="N28" i="41"/>
  <c r="O21" i="41"/>
  <c r="O22" i="41"/>
  <c r="O27" i="41"/>
  <c r="O45" i="41"/>
  <c r="O73" i="41"/>
  <c r="O16" i="41"/>
  <c r="P21" i="41"/>
  <c r="P22" i="41"/>
  <c r="P27" i="41"/>
  <c r="P74" i="41"/>
  <c r="P45" i="41"/>
  <c r="P16" i="41"/>
  <c r="P28" i="41"/>
  <c r="Q21" i="41"/>
  <c r="Q22" i="41"/>
  <c r="Q27" i="41"/>
  <c r="Q16" i="41"/>
  <c r="Q28" i="41"/>
  <c r="R21" i="41"/>
  <c r="R22" i="41"/>
  <c r="R28" i="41"/>
  <c r="R73" i="41"/>
  <c r="R27" i="41"/>
  <c r="R45" i="41"/>
  <c r="R16" i="41"/>
  <c r="Q74" i="42"/>
  <c r="R73" i="42"/>
  <c r="Q73" i="42"/>
  <c r="P73" i="42"/>
  <c r="O73" i="42"/>
  <c r="M73" i="42"/>
  <c r="H73" i="42"/>
  <c r="F73" i="42"/>
  <c r="E73" i="42"/>
  <c r="D73" i="42"/>
  <c r="C73" i="42"/>
  <c r="Q72" i="42"/>
  <c r="O72" i="42"/>
  <c r="N72" i="42"/>
  <c r="M72" i="42"/>
  <c r="L72" i="42"/>
  <c r="I72" i="42"/>
  <c r="G72" i="42"/>
  <c r="F72" i="42"/>
  <c r="D72" i="42"/>
  <c r="C72" i="42"/>
  <c r="R11" i="42"/>
  <c r="C11" i="42"/>
  <c r="C71" i="42"/>
  <c r="Q11" i="42"/>
  <c r="P11" i="42"/>
  <c r="O11" i="42"/>
  <c r="N11" i="42"/>
  <c r="N13" i="42"/>
  <c r="M11" i="42"/>
  <c r="H11" i="42"/>
  <c r="H71" i="42"/>
  <c r="G11" i="42"/>
  <c r="G71" i="42"/>
  <c r="F11" i="42"/>
  <c r="F71" i="42"/>
  <c r="E11" i="42"/>
  <c r="D11" i="42"/>
  <c r="H70" i="42"/>
  <c r="G70" i="42"/>
  <c r="F70" i="42"/>
  <c r="E70" i="42"/>
  <c r="D70" i="42"/>
  <c r="R13" i="42"/>
  <c r="P13" i="42"/>
  <c r="O13" i="42"/>
  <c r="M13" i="42"/>
  <c r="H13" i="42"/>
  <c r="H14" i="42"/>
  <c r="H33" i="42"/>
  <c r="H34" i="42"/>
  <c r="G13" i="42"/>
  <c r="G14" i="42"/>
  <c r="G33" i="42"/>
  <c r="G34" i="42"/>
  <c r="F13" i="42"/>
  <c r="F14" i="42"/>
  <c r="F33" i="42"/>
  <c r="F34" i="42"/>
  <c r="E13" i="42"/>
  <c r="E14" i="42"/>
  <c r="C13" i="42"/>
  <c r="C14" i="42"/>
  <c r="C34" i="42"/>
  <c r="R33" i="42"/>
  <c r="R38" i="42"/>
  <c r="Q33" i="42"/>
  <c r="Q38" i="42"/>
  <c r="P33" i="42"/>
  <c r="P38" i="42"/>
  <c r="O33" i="42"/>
  <c r="O38" i="42"/>
  <c r="N33" i="42"/>
  <c r="N38" i="42"/>
  <c r="M33" i="42"/>
  <c r="L33" i="42"/>
  <c r="L38" i="42"/>
  <c r="K33" i="42"/>
  <c r="K38" i="42"/>
  <c r="J33" i="42"/>
  <c r="J38" i="42"/>
  <c r="I33" i="42"/>
  <c r="H38" i="42"/>
  <c r="G38" i="42"/>
  <c r="F38" i="42"/>
  <c r="E33" i="42"/>
  <c r="D38" i="42"/>
  <c r="C38" i="42"/>
  <c r="E34" i="42"/>
  <c r="R26" i="42"/>
  <c r="Q26" i="42"/>
  <c r="P26" i="42"/>
  <c r="O26" i="42"/>
  <c r="H26" i="42"/>
  <c r="G26" i="42"/>
  <c r="F26" i="42"/>
  <c r="E26" i="42"/>
  <c r="D11" i="41"/>
  <c r="D13" i="41"/>
  <c r="D14" i="41"/>
  <c r="D34" i="41"/>
  <c r="E11" i="41"/>
  <c r="E13" i="41"/>
  <c r="E14" i="41"/>
  <c r="E33" i="41"/>
  <c r="E34" i="41"/>
  <c r="F11" i="41"/>
  <c r="F13" i="41"/>
  <c r="F14" i="41"/>
  <c r="F33" i="41"/>
  <c r="F34" i="41"/>
  <c r="G11" i="41"/>
  <c r="G13" i="41"/>
  <c r="G14" i="41"/>
  <c r="H11" i="41"/>
  <c r="C11" i="41"/>
  <c r="H71" i="41"/>
  <c r="H13" i="41"/>
  <c r="H14" i="41"/>
  <c r="H33" i="41"/>
  <c r="H34" i="41"/>
  <c r="J11" i="41"/>
  <c r="J71" i="41"/>
  <c r="J13" i="41"/>
  <c r="J14" i="41"/>
  <c r="M11" i="41"/>
  <c r="M13" i="41"/>
  <c r="M14" i="41"/>
  <c r="M33" i="41"/>
  <c r="M34" i="41"/>
  <c r="N11" i="41"/>
  <c r="N71" i="41"/>
  <c r="N13" i="41"/>
  <c r="N14" i="41"/>
  <c r="N33" i="41"/>
  <c r="N34" i="41"/>
  <c r="O11" i="41"/>
  <c r="O13" i="41"/>
  <c r="O4" i="41"/>
  <c r="O14" i="41"/>
  <c r="P4" i="41"/>
  <c r="P11" i="41"/>
  <c r="P13" i="41"/>
  <c r="Q11" i="41"/>
  <c r="Q13" i="41"/>
  <c r="R11" i="41"/>
  <c r="R13" i="41"/>
  <c r="C71" i="41"/>
  <c r="C13" i="41"/>
  <c r="C14" i="41"/>
  <c r="C38" i="41"/>
  <c r="D38" i="41"/>
  <c r="E38" i="41"/>
  <c r="F38" i="41"/>
  <c r="G33" i="41"/>
  <c r="G38" i="41"/>
  <c r="H38" i="41"/>
  <c r="I33" i="41"/>
  <c r="I38" i="41"/>
  <c r="J33" i="41"/>
  <c r="J34" i="41"/>
  <c r="J38" i="41"/>
  <c r="K33" i="41"/>
  <c r="K38" i="41"/>
  <c r="L33" i="41"/>
  <c r="L38" i="41"/>
  <c r="M38" i="41"/>
  <c r="N38" i="41"/>
  <c r="O33" i="41"/>
  <c r="O38" i="41"/>
  <c r="P33" i="41"/>
  <c r="P38" i="41"/>
  <c r="Q33" i="41"/>
  <c r="Q38" i="41"/>
  <c r="R33" i="41"/>
  <c r="R38" i="41"/>
  <c r="C34" i="41"/>
  <c r="D26" i="41"/>
  <c r="G26" i="41"/>
  <c r="H26" i="41"/>
  <c r="K26" i="41"/>
  <c r="P26" i="41"/>
  <c r="Q26" i="41"/>
  <c r="R26" i="41"/>
  <c r="C26" i="41"/>
  <c r="H74" i="41"/>
  <c r="D74" i="41"/>
  <c r="Q73" i="41"/>
  <c r="N73" i="41"/>
  <c r="M73" i="41"/>
  <c r="H73" i="41"/>
  <c r="G73" i="41"/>
  <c r="F73" i="41"/>
  <c r="D73" i="41"/>
  <c r="C73" i="41"/>
  <c r="Q72" i="41"/>
  <c r="P72" i="41"/>
  <c r="N72" i="41"/>
  <c r="I72" i="41"/>
  <c r="H72" i="41"/>
  <c r="G72" i="41"/>
  <c r="F72" i="41"/>
  <c r="E72" i="41"/>
  <c r="D72" i="41"/>
  <c r="M71" i="41"/>
  <c r="F71" i="41"/>
  <c r="E71" i="41"/>
  <c r="D71" i="41"/>
  <c r="O70" i="41"/>
  <c r="M70" i="41"/>
  <c r="L70" i="41"/>
  <c r="I70" i="41"/>
  <c r="H70" i="41"/>
  <c r="G70" i="41"/>
  <c r="F70" i="41"/>
  <c r="E70" i="41"/>
  <c r="D70" i="41"/>
  <c r="C70" i="41"/>
  <c r="P70" i="41"/>
  <c r="Q4" i="41"/>
  <c r="N26" i="41"/>
  <c r="N27" i="41"/>
  <c r="N45" i="41"/>
  <c r="N70" i="41"/>
  <c r="N74" i="41"/>
  <c r="N4" i="42"/>
  <c r="M20" i="42"/>
  <c r="N14" i="42"/>
  <c r="Q71" i="41"/>
  <c r="Q45" i="41"/>
  <c r="Q74" i="41"/>
  <c r="P14" i="41"/>
  <c r="P34" i="41"/>
  <c r="P71" i="41"/>
  <c r="M27" i="41"/>
  <c r="M74" i="41"/>
  <c r="N34" i="42"/>
  <c r="K27" i="41"/>
  <c r="K45" i="41"/>
  <c r="M28" i="42"/>
  <c r="K21" i="42"/>
  <c r="K11" i="42"/>
  <c r="D28" i="42"/>
  <c r="D55" i="42"/>
  <c r="C67" i="42"/>
  <c r="G34" i="41"/>
  <c r="M14" i="42"/>
  <c r="M34" i="42"/>
  <c r="C54" i="42"/>
  <c r="C56" i="42"/>
  <c r="F27" i="42"/>
  <c r="F45" i="42"/>
  <c r="D71" i="42"/>
  <c r="D13" i="42"/>
  <c r="D14" i="42"/>
  <c r="D34" i="42"/>
  <c r="J11" i="42"/>
  <c r="E74" i="42"/>
  <c r="M45" i="41"/>
  <c r="E28" i="41"/>
  <c r="C27" i="41"/>
  <c r="C45" i="41"/>
  <c r="O74" i="42"/>
  <c r="K73" i="42"/>
  <c r="K70" i="42"/>
  <c r="G27" i="42"/>
  <c r="G45" i="42"/>
  <c r="G74" i="42"/>
  <c r="G73" i="42"/>
  <c r="L21" i="41"/>
  <c r="G71" i="41"/>
  <c r="O72" i="41"/>
  <c r="O74" i="41"/>
  <c r="F27" i="41"/>
  <c r="F45" i="41"/>
  <c r="F28" i="41"/>
  <c r="L19" i="42"/>
  <c r="J73" i="42"/>
  <c r="F26" i="41"/>
  <c r="J26" i="42"/>
  <c r="C48" i="42"/>
  <c r="C50" i="42"/>
  <c r="E71" i="42"/>
  <c r="E72" i="42"/>
  <c r="O28" i="41"/>
  <c r="J21" i="41"/>
  <c r="I27" i="41"/>
  <c r="I45" i="41"/>
  <c r="I28" i="41"/>
  <c r="P74" i="42"/>
  <c r="J27" i="42"/>
  <c r="J45" i="42"/>
  <c r="J72" i="42"/>
  <c r="I22" i="42"/>
  <c r="I11" i="42"/>
  <c r="E73" i="41"/>
  <c r="E74" i="41"/>
  <c r="C74" i="42"/>
  <c r="O34" i="41"/>
  <c r="O71" i="41"/>
  <c r="J22" i="41"/>
  <c r="J73" i="41"/>
  <c r="O26" i="41"/>
  <c r="J70" i="41"/>
  <c r="R72" i="41"/>
  <c r="R74" i="41"/>
  <c r="M26" i="41"/>
  <c r="E26" i="41"/>
  <c r="K11" i="41"/>
  <c r="I11" i="41"/>
  <c r="C26" i="42"/>
  <c r="K26" i="42"/>
  <c r="I70" i="42"/>
  <c r="L11" i="42"/>
  <c r="L8" i="41"/>
  <c r="G27" i="41"/>
  <c r="G28" i="41"/>
  <c r="J28" i="42"/>
  <c r="M72" i="41"/>
  <c r="D55" i="41"/>
  <c r="D74" i="42"/>
  <c r="P73" i="41"/>
  <c r="K70" i="41"/>
  <c r="C72" i="41"/>
  <c r="K72" i="41"/>
  <c r="C49" i="42"/>
  <c r="J70" i="42"/>
  <c r="M71" i="42"/>
  <c r="J27" i="41"/>
  <c r="J45" i="41"/>
  <c r="I27" i="42"/>
  <c r="I45" i="42"/>
  <c r="H28" i="42"/>
  <c r="H74" i="42"/>
  <c r="H72" i="42"/>
  <c r="M38" i="42"/>
  <c r="I38" i="42"/>
  <c r="E38" i="42"/>
  <c r="Q13" i="42"/>
  <c r="P72" i="42"/>
  <c r="R72" i="42"/>
  <c r="G54" i="42"/>
  <c r="G56" i="42"/>
  <c r="H54" i="42"/>
  <c r="H56" i="42"/>
  <c r="O54" i="42"/>
  <c r="F54" i="42"/>
  <c r="F56" i="42"/>
  <c r="Q54" i="42"/>
  <c r="P54" i="42"/>
  <c r="D54" i="42"/>
  <c r="E54" i="42"/>
  <c r="E56" i="42"/>
  <c r="J54" i="42"/>
  <c r="R54" i="42"/>
  <c r="L22" i="42"/>
  <c r="L73" i="42"/>
  <c r="L26" i="41"/>
  <c r="L71" i="42"/>
  <c r="L13" i="42"/>
  <c r="L14" i="42"/>
  <c r="L34" i="42"/>
  <c r="J74" i="42"/>
  <c r="K74" i="41"/>
  <c r="J13" i="42"/>
  <c r="J14" i="42"/>
  <c r="J34" i="42"/>
  <c r="J71" i="42"/>
  <c r="K13" i="42"/>
  <c r="K14" i="42"/>
  <c r="K34" i="42"/>
  <c r="K71" i="42"/>
  <c r="K72" i="42"/>
  <c r="K28" i="42"/>
  <c r="L70" i="42"/>
  <c r="J28" i="41"/>
  <c r="J74" i="41"/>
  <c r="J72" i="41"/>
  <c r="J26" i="41"/>
  <c r="K27" i="42"/>
  <c r="K74" i="42"/>
  <c r="D49" i="42"/>
  <c r="C46" i="42"/>
  <c r="L11" i="41"/>
  <c r="K45" i="42"/>
  <c r="K54" i="42"/>
  <c r="K56" i="42"/>
  <c r="I13" i="41"/>
  <c r="I14" i="41"/>
  <c r="I34" i="41"/>
  <c r="I71" i="41"/>
  <c r="I71" i="42"/>
  <c r="I13" i="42"/>
  <c r="I14" i="42"/>
  <c r="I34" i="42"/>
  <c r="C55" i="41"/>
  <c r="C67" i="41"/>
  <c r="C49" i="41"/>
  <c r="C46" i="41"/>
  <c r="C48" i="41"/>
  <c r="C50" i="41"/>
  <c r="C54" i="41"/>
  <c r="C56" i="41"/>
  <c r="L27" i="42"/>
  <c r="L45" i="42"/>
  <c r="Q14" i="41"/>
  <c r="Q34" i="41"/>
  <c r="R4" i="41"/>
  <c r="Q70" i="41"/>
  <c r="K71" i="41"/>
  <c r="K13" i="41"/>
  <c r="K14" i="41"/>
  <c r="K34" i="41"/>
  <c r="I74" i="42"/>
  <c r="I73" i="42"/>
  <c r="I28" i="42"/>
  <c r="I54" i="42"/>
  <c r="I56" i="42"/>
  <c r="I26" i="42"/>
  <c r="F74" i="42"/>
  <c r="I74" i="41"/>
  <c r="L28" i="41"/>
  <c r="L72" i="41"/>
  <c r="M27" i="42"/>
  <c r="M74" i="42"/>
  <c r="M26" i="42"/>
  <c r="M70" i="42"/>
  <c r="G45" i="41"/>
  <c r="G74" i="41"/>
  <c r="L27" i="41"/>
  <c r="L45" i="41"/>
  <c r="M45" i="42"/>
  <c r="M54" i="42"/>
  <c r="M56" i="42"/>
  <c r="N20" i="42"/>
  <c r="O4" i="42"/>
  <c r="N71" i="42"/>
  <c r="F74" i="41"/>
  <c r="C74" i="41"/>
  <c r="K54" i="41"/>
  <c r="K56" i="41"/>
  <c r="M54" i="41"/>
  <c r="M56" i="41"/>
  <c r="E54" i="41"/>
  <c r="E56" i="41"/>
  <c r="N54" i="41"/>
  <c r="N56" i="41"/>
  <c r="O54" i="41"/>
  <c r="O56" i="41"/>
  <c r="P54" i="41"/>
  <c r="P56" i="41"/>
  <c r="Q54" i="41"/>
  <c r="Q56" i="41"/>
  <c r="R54" i="41"/>
  <c r="F54" i="41"/>
  <c r="F56" i="41"/>
  <c r="I54" i="41"/>
  <c r="I56" i="41"/>
  <c r="J54" i="41"/>
  <c r="J56" i="41"/>
  <c r="L54" i="41"/>
  <c r="D54" i="41"/>
  <c r="G54" i="41"/>
  <c r="G56" i="41"/>
  <c r="H54" i="41"/>
  <c r="H56" i="41"/>
  <c r="L28" i="42"/>
  <c r="L54" i="42"/>
  <c r="L56" i="42"/>
  <c r="O70" i="42"/>
  <c r="P4" i="42"/>
  <c r="O71" i="42"/>
  <c r="O14" i="42"/>
  <c r="O34" i="42"/>
  <c r="J56" i="42"/>
  <c r="N70" i="42"/>
  <c r="N26" i="42"/>
  <c r="N27" i="42"/>
  <c r="N45" i="42"/>
  <c r="N54" i="42"/>
  <c r="N56" i="42"/>
  <c r="L71" i="41"/>
  <c r="L13" i="41"/>
  <c r="L14" i="41"/>
  <c r="L34" i="41"/>
  <c r="L74" i="42"/>
  <c r="L26" i="42"/>
  <c r="F57" i="42"/>
  <c r="I57" i="42"/>
  <c r="C57" i="42"/>
  <c r="G57" i="42"/>
  <c r="L57" i="42"/>
  <c r="K57" i="42"/>
  <c r="P57" i="42"/>
  <c r="D56" i="42"/>
  <c r="O57" i="42"/>
  <c r="N57" i="42"/>
  <c r="D57" i="42"/>
  <c r="E57" i="42"/>
  <c r="J57" i="42"/>
  <c r="M57" i="42"/>
  <c r="R57" i="42"/>
  <c r="Q57" i="42"/>
  <c r="H57" i="42"/>
  <c r="K48" i="41"/>
  <c r="K50" i="41"/>
  <c r="E48" i="41"/>
  <c r="E50" i="41"/>
  <c r="Q48" i="41"/>
  <c r="Q50" i="41"/>
  <c r="F48" i="41"/>
  <c r="F50" i="41"/>
  <c r="J48" i="41"/>
  <c r="J50" i="41"/>
  <c r="N48" i="41"/>
  <c r="N50" i="41"/>
  <c r="R48" i="41"/>
  <c r="R14" i="41"/>
  <c r="R50" i="41"/>
  <c r="G48" i="41"/>
  <c r="G50" i="41"/>
  <c r="O48" i="41"/>
  <c r="O50" i="41"/>
  <c r="D48" i="41"/>
  <c r="L48" i="41"/>
  <c r="P48" i="41"/>
  <c r="P50" i="41"/>
  <c r="H48" i="41"/>
  <c r="H50" i="41"/>
  <c r="I48" i="41"/>
  <c r="I50" i="41"/>
  <c r="M48" i="41"/>
  <c r="M50" i="41"/>
  <c r="D48" i="42"/>
  <c r="R48" i="42"/>
  <c r="N48" i="42"/>
  <c r="N50" i="42"/>
  <c r="J48" i="42"/>
  <c r="J50" i="42"/>
  <c r="F48" i="42"/>
  <c r="F50" i="42"/>
  <c r="Q48" i="42"/>
  <c r="M48" i="42"/>
  <c r="M50" i="42"/>
  <c r="I48" i="42"/>
  <c r="I50" i="42"/>
  <c r="E48" i="42"/>
  <c r="E50" i="42"/>
  <c r="K48" i="42"/>
  <c r="K50" i="42"/>
  <c r="H48" i="42"/>
  <c r="H50" i="42"/>
  <c r="P48" i="42"/>
  <c r="O48" i="42"/>
  <c r="G48" i="42"/>
  <c r="G50" i="42"/>
  <c r="L48" i="42"/>
  <c r="L50" i="42"/>
  <c r="L74" i="41"/>
  <c r="R71" i="41"/>
  <c r="R70" i="41"/>
  <c r="R34" i="41"/>
  <c r="Q4" i="42"/>
  <c r="P14" i="42"/>
  <c r="P70" i="42"/>
  <c r="P71" i="42"/>
  <c r="Q51" i="42"/>
  <c r="M51" i="42"/>
  <c r="I51" i="42"/>
  <c r="E51" i="42"/>
  <c r="L51" i="42"/>
  <c r="F51" i="42"/>
  <c r="H51" i="42"/>
  <c r="R51" i="42"/>
  <c r="D51" i="42"/>
  <c r="D50" i="42"/>
  <c r="K51" i="42"/>
  <c r="N51" i="42"/>
  <c r="P51" i="42"/>
  <c r="J51" i="42"/>
  <c r="C51" i="42"/>
  <c r="O51" i="42"/>
  <c r="G51" i="42"/>
  <c r="R56" i="41"/>
  <c r="P50" i="42"/>
  <c r="L50" i="41"/>
  <c r="E51" i="41"/>
  <c r="I51" i="41"/>
  <c r="M51" i="41"/>
  <c r="Q51" i="41"/>
  <c r="D50" i="41"/>
  <c r="H51" i="41"/>
  <c r="F51" i="41"/>
  <c r="J51" i="41"/>
  <c r="N51" i="41"/>
  <c r="R51" i="41"/>
  <c r="G51" i="41"/>
  <c r="O51" i="41"/>
  <c r="C51" i="41"/>
  <c r="K51" i="41"/>
  <c r="P51" i="41"/>
  <c r="D51" i="41"/>
  <c r="L51" i="41"/>
  <c r="O56" i="42"/>
  <c r="N74" i="42"/>
  <c r="K57" i="41"/>
  <c r="D57" i="41"/>
  <c r="J57" i="41"/>
  <c r="E57" i="41"/>
  <c r="N57" i="41"/>
  <c r="O57" i="41"/>
  <c r="P57" i="41"/>
  <c r="Q57" i="41"/>
  <c r="R57" i="41"/>
  <c r="F57" i="41"/>
  <c r="I57" i="41"/>
  <c r="D56" i="41"/>
  <c r="L57" i="41"/>
  <c r="C57" i="41"/>
  <c r="H57" i="41"/>
  <c r="M57" i="41"/>
  <c r="G57" i="41"/>
  <c r="O50" i="42"/>
  <c r="L56" i="41"/>
  <c r="P34" i="42"/>
  <c r="P56" i="42"/>
  <c r="R4" i="42"/>
  <c r="Q70" i="42"/>
  <c r="Q71" i="42"/>
  <c r="Q14" i="42"/>
  <c r="Q34" i="42"/>
  <c r="Q56" i="42"/>
  <c r="Q50" i="42"/>
  <c r="R71" i="42"/>
  <c r="R14" i="42"/>
  <c r="R70" i="42"/>
  <c r="R34" i="42"/>
  <c r="R56" i="42"/>
  <c r="R50" i="42"/>
</calcChain>
</file>

<file path=xl/comments1.xml><?xml version="1.0" encoding="utf-8"?>
<comments xmlns="http://schemas.openxmlformats.org/spreadsheetml/2006/main">
  <authors>
    <author>Marvin Adams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B46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0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1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rgb="FF000000"/>
            <rFont val="Verdana"/>
            <family val="2"/>
          </rPr>
          <t>Marvin Adams:</t>
        </r>
        <r>
          <rPr>
            <sz val="9"/>
            <color rgb="FF000000"/>
            <rFont val="Verdana"/>
            <family val="2"/>
          </rPr>
          <t xml:space="preserve">
</t>
        </r>
        <r>
          <rPr>
            <sz val="9"/>
            <color rgb="FF000000"/>
            <rFont val="Verdana"/>
            <family val="2"/>
          </rPr>
          <t>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2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3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4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5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6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7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8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9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2.xml><?xml version="1.0" encoding="utf-8"?>
<comments xmlns="http://schemas.openxmlformats.org/spreadsheetml/2006/main">
  <authors>
    <author>Marvin Adams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B46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3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9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4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5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6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7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8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9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sharedStrings.xml><?xml version="1.0" encoding="utf-8"?>
<sst xmlns="http://schemas.openxmlformats.org/spreadsheetml/2006/main" count="1478" uniqueCount="88">
  <si>
    <t>Ny</t>
    <phoneticPr fontId="1" type="noConversion"/>
  </si>
  <si>
    <t>Nz</t>
    <phoneticPr fontId="1" type="noConversion"/>
  </si>
  <si>
    <t>Px</t>
    <phoneticPr fontId="1" type="noConversion"/>
  </si>
  <si>
    <t>Py</t>
    <phoneticPr fontId="1" type="noConversion"/>
  </si>
  <si>
    <t>latency (ns)</t>
    <phoneticPr fontId="1" type="noConversion"/>
  </si>
  <si>
    <t>ns/dbl comm rate</t>
    <phoneticPr fontId="1" type="noConversion"/>
  </si>
  <si>
    <t>PDT Nsteps (max)</t>
    <phoneticPr fontId="1" type="noConversion"/>
  </si>
  <si>
    <t>PDT Nsteps (min)</t>
    <phoneticPr fontId="1" type="noConversion"/>
  </si>
  <si>
    <t>tasks per processor</t>
    <phoneticPr fontId="1" type="noConversion"/>
  </si>
  <si>
    <t>Px*Ax - Nx</t>
    <phoneticPr fontId="1" type="noConversion"/>
  </si>
  <si>
    <t>Py*Ay - Ny</t>
    <phoneticPr fontId="1" type="noConversion"/>
  </si>
  <si>
    <t xml:space="preserve">Cores:  </t>
    <phoneticPr fontId="1" type="noConversion"/>
  </si>
  <si>
    <t>PDT Nsteps (avg)</t>
    <phoneticPr fontId="1" type="noConversion"/>
  </si>
  <si>
    <t>Sanity checks (all should =0)</t>
    <phoneticPr fontId="1" type="noConversion"/>
  </si>
  <si>
    <t>Px * Py * Pz - # of cores</t>
    <phoneticPr fontId="1" type="noConversion"/>
  </si>
  <si>
    <t>cells/core - cells for 1-core run</t>
    <phoneticPr fontId="1" type="noConversion"/>
  </si>
  <si>
    <t>tasks - PxPyPz*tasks/process</t>
    <phoneticPr fontId="1" type="noConversion"/>
  </si>
  <si>
    <t>Nx</t>
    <phoneticPr fontId="1" type="noConversion"/>
  </si>
  <si>
    <t>Problem parameters</t>
    <phoneticPr fontId="1" type="noConversion"/>
  </si>
  <si>
    <t>Partitioning and Aggregation</t>
    <phoneticPr fontId="1" type="noConversion"/>
  </si>
  <si>
    <t>PDT Results</t>
    <phoneticPr fontId="1" type="noConversion"/>
  </si>
  <si>
    <t>Performance-Model Results</t>
    <phoneticPr fontId="1" type="noConversion"/>
  </si>
  <si>
    <t>Energy Groups</t>
    <phoneticPr fontId="1" type="noConversion"/>
  </si>
  <si>
    <t>Directions</t>
    <phoneticPr fontId="1" type="noConversion"/>
  </si>
  <si>
    <t>Unknowns/Cell</t>
    <phoneticPr fontId="1" type="noConversion"/>
  </si>
  <si>
    <t>Total Unknowns/Sweep</t>
    <phoneticPr fontId="1" type="noConversion"/>
  </si>
  <si>
    <t>Unknowns/Core-Sweep</t>
    <phoneticPr fontId="1" type="noConversion"/>
  </si>
  <si>
    <t>Pz</t>
    <phoneticPr fontId="1" type="noConversion"/>
  </si>
  <si>
    <t>Ax (x-cells/task)</t>
    <phoneticPr fontId="1" type="noConversion"/>
  </si>
  <si>
    <t>Ay (y-cells/task)</t>
    <phoneticPr fontId="1" type="noConversion"/>
  </si>
  <si>
    <t>Az (z-cells/task)</t>
    <phoneticPr fontId="1" type="noConversion"/>
  </si>
  <si>
    <t>Am (directions/task)</t>
    <phoneticPr fontId="1" type="noConversion"/>
  </si>
  <si>
    <t>Ag (groups/task)</t>
    <phoneticPr fontId="1" type="noConversion"/>
  </si>
  <si>
    <t>Sweeps</t>
    <phoneticPr fontId="1" type="noConversion"/>
  </si>
  <si>
    <t>Solve time per sweep (s)</t>
    <phoneticPr fontId="1" type="noConversion"/>
  </si>
  <si>
    <t>Cells</t>
    <phoneticPr fontId="1" type="noConversion"/>
  </si>
  <si>
    <t>Overall Time (s)</t>
  </si>
  <si>
    <t>Weak scaling, Zerr problem h=1 c=0.9; 4096 cells/core, XYZ, S8, LPWLD, 1 group, RICHARDSON, steady state</t>
  </si>
  <si>
    <t>Sweep Time (s)</t>
  </si>
  <si>
    <t>VULCAN</t>
  </si>
  <si>
    <t>PDT ver.</t>
  </si>
  <si>
    <t>STAPL ver.</t>
  </si>
  <si>
    <t>r10524+</t>
  </si>
  <si>
    <t>Machine:</t>
  </si>
  <si>
    <t>Date:</t>
  </si>
  <si>
    <t>r438</t>
  </si>
  <si>
    <t>?</t>
  </si>
  <si>
    <t>Single-Sweep Time (s)</t>
  </si>
  <si>
    <t>r701</t>
  </si>
  <si>
    <t>cellsets per processor</t>
  </si>
  <si>
    <t>dlbs per 3 comms</t>
  </si>
  <si>
    <t>PDT efficiency (rel to 8 cores)</t>
  </si>
  <si>
    <t>1-to-multi-core fudge factor</t>
  </si>
  <si>
    <t>Twu (ns) [t to invoke work func]</t>
  </si>
  <si>
    <t>Nstages, optimal</t>
  </si>
  <si>
    <t>Latency multiplier (ideal=1)</t>
  </si>
  <si>
    <t>Grind Time (ns/unknown/sweep)</t>
  </si>
  <si>
    <t>Model, no fudges except 1-to-8-core</t>
  </si>
  <si>
    <t>Efficiency (rel to 8 cores)</t>
  </si>
  <si>
    <t>ns per (angset*cset)^2</t>
  </si>
  <si>
    <t>Tc (ns) [in cell loop not angle loop]</t>
  </si>
  <si>
    <t>Tm (ns) [in ang loop not grp loop]</t>
  </si>
  <si>
    <t>Tg (ns) [in grp loop]</t>
  </si>
  <si>
    <t>Model constants</t>
  </si>
  <si>
    <t>Model with extra terms &amp; multipliers</t>
  </si>
  <si>
    <t>Constants for extra-term model</t>
  </si>
  <si>
    <t>Single-Sweep Time (s) no 1-to-8</t>
  </si>
  <si>
    <t>ns per angset*(cset^2)</t>
  </si>
  <si>
    <t>Memory Usage (MB)</t>
  </si>
  <si>
    <t>Solve Time (s)</t>
  </si>
  <si>
    <t>Weak scaling, Zerr problem h=1 c=0.9; 4096 cells/core, XYZ, S8, LPWLD, 1 groups, RICHARDSON, steady state</t>
  </si>
  <si>
    <t>Weak scaling problem; 4096 cells/core, XYZ, 4P5A, LD, 99 groups, RICHARDSON, steady state</t>
  </si>
  <si>
    <t>Vulcan</t>
  </si>
  <si>
    <t>Weak scaling problem; 4096 cells/core, XYZ, 4P5A, LD, 3 groups, RICHARDSON, steady state</t>
  </si>
  <si>
    <t>Weak scaling problem; 4096 cells/core, XYZ, 4P5A, LD, 27 groups, RICHARDSON, steady state</t>
  </si>
  <si>
    <t>Quartz</t>
  </si>
  <si>
    <t>Weak scaling, Zerr problem h=1 c=0.9; 4096 cells/core, XYZ, S8, LPWLD, 99 groups, RICHARDSON, steady state</t>
  </si>
  <si>
    <t>Weak scaling, Zerr problem h=1 c=0.9; 4096 cells/core, XYZ, S8, LPWLD, 27 groups, RICHARDSON, steady state</t>
  </si>
  <si>
    <t>Weak scaling, Zerr problem h=1 c=0.9; 4096 cells/core, XYZ, S8, LPWLD, 3 groups, RICHARDSON, steady state</t>
  </si>
  <si>
    <t>Weak scaling problem; 4096 cells/core, XYZ, 4P5A, LD, 1 group, RICHARDSON, steady state</t>
  </si>
  <si>
    <t>q</t>
  </si>
  <si>
    <t>dlbs per 2 comms</t>
  </si>
  <si>
    <t>No Data</t>
  </si>
  <si>
    <t>Time To Solution Estimator</t>
  </si>
  <si>
    <t>% Diff From Model</t>
  </si>
  <si>
    <t>Latency Multiplier</t>
  </si>
  <si>
    <t>TTS Estimator</t>
  </si>
  <si>
    <t>%Diff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</si>
</sst>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0" x14ac:knownFonts="1">
    <font>
      <sz val="10"/>
      <name val="Verdana"/>
    </font>
    <font>
      <sz val="8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9"/>
      <color indexed="81"/>
      <name val="Verdana"/>
      <family val="2"/>
    </font>
    <font>
      <b/>
      <sz val="9"/>
      <color indexed="81"/>
      <name val="Verdana"/>
      <family val="2"/>
    </font>
    <font>
      <b/>
      <sz val="10"/>
      <name val="Verdana"/>
      <family val="2"/>
    </font>
    <font>
      <b/>
      <sz val="14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9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3" fillId="0" borderId="0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7" xfId="0" applyFont="1" applyBorder="1"/>
    <xf numFmtId="0" fontId="2" fillId="0" borderId="1" xfId="0" applyFont="1" applyBorder="1"/>
    <xf numFmtId="0" fontId="3" fillId="0" borderId="0" xfId="0" applyFont="1" applyFill="1" applyBorder="1"/>
    <xf numFmtId="3" fontId="3" fillId="0" borderId="0" xfId="0" applyNumberFormat="1" applyFont="1" applyBorder="1"/>
    <xf numFmtId="0" fontId="2" fillId="0" borderId="4" xfId="0" applyFont="1" applyBorder="1"/>
    <xf numFmtId="0" fontId="2" fillId="0" borderId="1" xfId="0" applyFont="1" applyFill="1" applyBorder="1"/>
    <xf numFmtId="0" fontId="2" fillId="0" borderId="2" xfId="0" applyFont="1" applyBorder="1"/>
    <xf numFmtId="0" fontId="3" fillId="0" borderId="0" xfId="0" applyFont="1" applyFill="1"/>
    <xf numFmtId="1" fontId="2" fillId="0" borderId="0" xfId="0" applyNumberFormat="1" applyFont="1" applyBorder="1"/>
    <xf numFmtId="0" fontId="2" fillId="0" borderId="2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4" fillId="0" borderId="6" xfId="0" applyFont="1" applyBorder="1"/>
    <xf numFmtId="0" fontId="4" fillId="0" borderId="5" xfId="0" applyFont="1" applyBorder="1" applyAlignment="1"/>
    <xf numFmtId="0" fontId="4" fillId="0" borderId="3" xfId="0" applyFont="1" applyBorder="1"/>
    <xf numFmtId="0" fontId="4" fillId="0" borderId="2" xfId="0" applyFont="1" applyFill="1" applyBorder="1"/>
    <xf numFmtId="0" fontId="3" fillId="0" borderId="8" xfId="0" applyFont="1" applyBorder="1"/>
    <xf numFmtId="0" fontId="3" fillId="0" borderId="5" xfId="0" applyFont="1" applyBorder="1"/>
    <xf numFmtId="0" fontId="3" fillId="0" borderId="5" xfId="0" applyFont="1" applyFill="1" applyBorder="1"/>
    <xf numFmtId="2" fontId="3" fillId="0" borderId="8" xfId="0" applyNumberFormat="1" applyFont="1" applyFill="1" applyBorder="1"/>
    <xf numFmtId="2" fontId="3" fillId="0" borderId="5" xfId="0" applyNumberFormat="1" applyFont="1" applyFill="1" applyBorder="1"/>
    <xf numFmtId="0" fontId="3" fillId="0" borderId="1" xfId="0" applyFont="1" applyFill="1" applyBorder="1"/>
    <xf numFmtId="0" fontId="2" fillId="0" borderId="0" xfId="0" applyFont="1"/>
    <xf numFmtId="1" fontId="2" fillId="0" borderId="0" xfId="0" applyNumberFormat="1" applyFont="1" applyFill="1" applyBorder="1"/>
    <xf numFmtId="0" fontId="5" fillId="0" borderId="1" xfId="0" applyFont="1" applyFill="1" applyBorder="1"/>
    <xf numFmtId="1" fontId="5" fillId="0" borderId="0" xfId="0" applyNumberFormat="1" applyFont="1" applyFill="1" applyBorder="1"/>
    <xf numFmtId="164" fontId="3" fillId="0" borderId="0" xfId="0" applyNumberFormat="1" applyFont="1" applyFill="1" applyBorder="1"/>
    <xf numFmtId="0" fontId="7" fillId="0" borderId="0" xfId="0" applyFont="1"/>
    <xf numFmtId="11" fontId="3" fillId="0" borderId="0" xfId="0" applyNumberFormat="1" applyFont="1"/>
    <xf numFmtId="165" fontId="2" fillId="0" borderId="0" xfId="0" applyNumberFormat="1" applyFont="1"/>
    <xf numFmtId="0" fontId="3" fillId="2" borderId="0" xfId="0" applyFont="1" applyFill="1" applyBorder="1"/>
    <xf numFmtId="165" fontId="2" fillId="0" borderId="0" xfId="0" applyNumberFormat="1" applyFont="1" applyFill="1" applyBorder="1"/>
    <xf numFmtId="0" fontId="3" fillId="2" borderId="0" xfId="0" applyFont="1" applyFill="1"/>
    <xf numFmtId="164" fontId="3" fillId="2" borderId="0" xfId="0" applyNumberFormat="1" applyFont="1" applyFill="1"/>
    <xf numFmtId="164" fontId="3" fillId="2" borderId="0" xfId="0" applyNumberFormat="1" applyFont="1" applyFill="1" applyBorder="1"/>
    <xf numFmtId="0" fontId="6" fillId="0" borderId="3" xfId="0" applyFont="1" applyBorder="1" applyAlignment="1"/>
    <xf numFmtId="0" fontId="0" fillId="0" borderId="9" xfId="0" applyBorder="1" applyAlignment="1"/>
    <xf numFmtId="0" fontId="3" fillId="0" borderId="9" xfId="0" applyFont="1" applyBorder="1"/>
    <xf numFmtId="0" fontId="3" fillId="0" borderId="9" xfId="0" applyNumberFormat="1" applyFont="1" applyBorder="1"/>
    <xf numFmtId="0" fontId="12" fillId="0" borderId="10" xfId="0" applyFont="1" applyBorder="1" applyAlignment="1"/>
    <xf numFmtId="0" fontId="0" fillId="2" borderId="10" xfId="0" applyFill="1" applyBorder="1" applyAlignment="1"/>
    <xf numFmtId="14" fontId="0" fillId="2" borderId="10" xfId="0" applyNumberFormat="1" applyFill="1" applyBorder="1" applyAlignme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 applyAlignment="1">
      <alignment horizontal="right"/>
    </xf>
    <xf numFmtId="3" fontId="2" fillId="0" borderId="3" xfId="0" applyNumberFormat="1" applyFont="1" applyBorder="1"/>
    <xf numFmtId="0" fontId="2" fillId="0" borderId="0" xfId="0" applyFont="1" applyFill="1"/>
    <xf numFmtId="0" fontId="2" fillId="2" borderId="0" xfId="0" applyFont="1" applyFill="1"/>
    <xf numFmtId="165" fontId="3" fillId="0" borderId="0" xfId="0" applyNumberFormat="1" applyFont="1"/>
    <xf numFmtId="164" fontId="3" fillId="0" borderId="0" xfId="0" applyNumberFormat="1" applyFont="1" applyFill="1" applyAlignment="1">
      <alignment horizontal="center"/>
    </xf>
    <xf numFmtId="3" fontId="3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11" fontId="2" fillId="2" borderId="0" xfId="0" applyNumberFormat="1" applyFont="1" applyFill="1"/>
    <xf numFmtId="165" fontId="3" fillId="0" borderId="0" xfId="0" applyNumberFormat="1" applyFont="1" applyFill="1" applyBorder="1" applyAlignment="1">
      <alignment horizontal="right"/>
    </xf>
    <xf numFmtId="164" fontId="3" fillId="3" borderId="0" xfId="0" applyNumberFormat="1" applyFont="1" applyFill="1"/>
    <xf numFmtId="0" fontId="3" fillId="3" borderId="0" xfId="0" applyFont="1" applyFill="1"/>
    <xf numFmtId="11" fontId="2" fillId="0" borderId="0" xfId="0" applyNumberFormat="1" applyFont="1" applyFill="1"/>
    <xf numFmtId="164" fontId="3" fillId="0" borderId="8" xfId="0" applyNumberFormat="1" applyFont="1" applyBorder="1"/>
    <xf numFmtId="0" fontId="12" fillId="0" borderId="10" xfId="0" applyFont="1" applyBorder="1"/>
    <xf numFmtId="14" fontId="0" fillId="3" borderId="10" xfId="0" applyNumberFormat="1" applyFill="1" applyBorder="1" applyAlignment="1">
      <alignment horizontal="left"/>
    </xf>
    <xf numFmtId="0" fontId="0" fillId="3" borderId="10" xfId="0" applyFill="1" applyBorder="1" applyAlignment="1">
      <alignment horizontal="right"/>
    </xf>
    <xf numFmtId="1" fontId="3" fillId="0" borderId="0" xfId="0" applyNumberFormat="1" applyFont="1" applyBorder="1"/>
    <xf numFmtId="0" fontId="13" fillId="0" borderId="3" xfId="0" applyFont="1" applyBorder="1" applyAlignment="1"/>
    <xf numFmtId="164" fontId="3" fillId="0" borderId="0" xfId="0" applyNumberFormat="1" applyFont="1" applyFill="1"/>
    <xf numFmtId="0" fontId="14" fillId="3" borderId="10" xfId="0" applyFont="1" applyFill="1" applyBorder="1"/>
    <xf numFmtId="4" fontId="15" fillId="0" borderId="0" xfId="0" applyNumberFormat="1" applyFont="1" applyFill="1" applyBorder="1"/>
    <xf numFmtId="4" fontId="15" fillId="0" borderId="0" xfId="0" applyNumberFormat="1" applyFont="1" applyFill="1"/>
    <xf numFmtId="0" fontId="15" fillId="0" borderId="0" xfId="0" applyFont="1"/>
    <xf numFmtId="0" fontId="4" fillId="0" borderId="5" xfId="0" applyFont="1" applyBorder="1"/>
    <xf numFmtId="0" fontId="4" fillId="0" borderId="4" xfId="0" applyFont="1" applyFill="1" applyBorder="1"/>
    <xf numFmtId="0" fontId="3" fillId="0" borderId="4" xfId="0" applyFont="1" applyBorder="1"/>
    <xf numFmtId="0" fontId="3" fillId="0" borderId="8" xfId="0" applyFont="1" applyFill="1" applyBorder="1"/>
    <xf numFmtId="0" fontId="16" fillId="0" borderId="0" xfId="0" applyFont="1" applyFill="1"/>
    <xf numFmtId="164" fontId="15" fillId="3" borderId="0" xfId="0" applyNumberFormat="1" applyFont="1" applyFill="1" applyBorder="1"/>
    <xf numFmtId="164" fontId="3" fillId="3" borderId="0" xfId="0" applyNumberFormat="1" applyFont="1" applyFill="1" applyBorder="1"/>
    <xf numFmtId="1" fontId="17" fillId="0" borderId="0" xfId="0" applyNumberFormat="1" applyFont="1" applyFill="1" applyBorder="1"/>
    <xf numFmtId="0" fontId="6" fillId="0" borderId="0" xfId="0" applyFont="1" applyBorder="1" applyAlignment="1"/>
    <xf numFmtId="0" fontId="7" fillId="0" borderId="0" xfId="0" applyFont="1" applyBorder="1"/>
    <xf numFmtId="0" fontId="0" fillId="0" borderId="0" xfId="0" applyBorder="1"/>
    <xf numFmtId="0" fontId="12" fillId="0" borderId="0" xfId="0" applyFont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12" fillId="0" borderId="0" xfId="0" applyFont="1" applyFill="1" applyBorder="1" applyAlignment="1"/>
    <xf numFmtId="14" fontId="0" fillId="0" borderId="0" xfId="0" applyNumberFormat="1" applyFill="1" applyBorder="1" applyAlignment="1">
      <alignment horizontal="left"/>
    </xf>
    <xf numFmtId="11" fontId="2" fillId="0" borderId="0" xfId="0" applyNumberFormat="1" applyFont="1" applyFill="1" applyBorder="1"/>
    <xf numFmtId="2" fontId="3" fillId="0" borderId="0" xfId="0" applyNumberFormat="1" applyFont="1"/>
    <xf numFmtId="11" fontId="2" fillId="0" borderId="0" xfId="0" applyNumberFormat="1" applyFont="1" applyFill="1" applyBorder="1" applyAlignment="1">
      <alignment horizontal="right"/>
    </xf>
    <xf numFmtId="10" fontId="2" fillId="0" borderId="0" xfId="0" applyNumberFormat="1" applyFont="1" applyFill="1" applyBorder="1"/>
    <xf numFmtId="11" fontId="2" fillId="0" borderId="0" xfId="0" applyNumberFormat="1" applyFont="1"/>
    <xf numFmtId="10" fontId="3" fillId="0" borderId="0" xfId="0" applyNumberFormat="1" applyFont="1" applyFill="1" applyBorder="1"/>
    <xf numFmtId="0" fontId="2" fillId="0" borderId="0" xfId="0" applyFont="1" applyBorder="1" applyAlignment="1"/>
    <xf numFmtId="0" fontId="0" fillId="0" borderId="0" xfId="0" applyAlignment="1"/>
    <xf numFmtId="0" fontId="3" fillId="0" borderId="0" xfId="0" applyFont="1" applyBorder="1" applyAlignment="1"/>
  </cellXfs>
  <cellStyles count="4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</a:p>
          <a:p>
            <a:pPr>
              <a:defRPr/>
            </a:pPr>
            <a:r>
              <a:rPr lang="en-US" sz="1400" baseline="0"/>
              <a:t>Quartz</a:t>
            </a:r>
          </a:p>
          <a:p>
            <a:pPr>
              <a:defRPr/>
            </a:pPr>
            <a:endParaRPr lang="en-US" sz="1600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63063398"/>
          <c:y val="0.158756226107449"/>
          <c:w val="0.848476549127011"/>
          <c:h val="0.715168531565133"/>
        </c:manualLayout>
      </c:layout>
      <c:scatterChart>
        <c:scatterStyle val="lineMarker"/>
        <c:varyColors val="0"/>
        <c:ser>
          <c:idx val="4"/>
          <c:order val="0"/>
          <c:tx>
            <c:v>1307 PWLD 1g</c:v>
          </c:tx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1g'!$C$34:$N$34</c:f>
              <c:numCache>
                <c:formatCode>0</c:formatCode>
                <c:ptCount val="12"/>
                <c:pt idx="0">
                  <c:v>129.3182373046875</c:v>
                </c:pt>
                <c:pt idx="1">
                  <c:v>171.3180541992187</c:v>
                </c:pt>
                <c:pt idx="2">
                  <c:v>172.9583740234375</c:v>
                </c:pt>
                <c:pt idx="3">
                  <c:v>190.6967163085937</c:v>
                </c:pt>
                <c:pt idx="4">
                  <c:v>191.3833618164063</c:v>
                </c:pt>
                <c:pt idx="5">
                  <c:v>192.1844482421875</c:v>
                </c:pt>
                <c:pt idx="6">
                  <c:v>201.6830444335937</c:v>
                </c:pt>
                <c:pt idx="7">
                  <c:v>229.7592163085937</c:v>
                </c:pt>
                <c:pt idx="8">
                  <c:v>236.7782592773437</c:v>
                </c:pt>
                <c:pt idx="9">
                  <c:v>254.1732788085937</c:v>
                </c:pt>
                <c:pt idx="10">
                  <c:v>261.4974975585937</c:v>
                </c:pt>
                <c:pt idx="11">
                  <c:v>276.641845703125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F70-A349-B79F-92DC1ADFADE3}"/>
            </c:ext>
          </c:extLst>
        </c:ser>
        <c:ser>
          <c:idx val="5"/>
          <c:order val="1"/>
          <c:tx>
            <c:v>1307 PWLD 1g 0418</c:v>
          </c:tx>
          <c:xVal>
            <c:numRef>
              <c:f>'1307 PWLD 1g 4-18'!$C$4:$L$4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'1307 PWLD 1g 4-18'!$C$34:$L$34</c:f>
              <c:numCache>
                <c:formatCode>0</c:formatCode>
                <c:ptCount val="10"/>
                <c:pt idx="0">
                  <c:v>106.8115234375</c:v>
                </c:pt>
                <c:pt idx="1">
                  <c:v>148.2009887695312</c:v>
                </c:pt>
                <c:pt idx="2">
                  <c:v>179.6340942382812</c:v>
                </c:pt>
                <c:pt idx="3">
                  <c:v>194.854736328125</c:v>
                </c:pt>
                <c:pt idx="4">
                  <c:v>224.8382568359375</c:v>
                </c:pt>
                <c:pt idx="5">
                  <c:v>227.9281616210937</c:v>
                </c:pt>
                <c:pt idx="6">
                  <c:v>244.4839477539062</c:v>
                </c:pt>
                <c:pt idx="7">
                  <c:v>264.7399902343751</c:v>
                </c:pt>
                <c:pt idx="8">
                  <c:v>282.5927734375</c:v>
                </c:pt>
                <c:pt idx="9">
                  <c:v>292.7780151367187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4E-A149-8094-20B973460205}"/>
            </c:ext>
          </c:extLst>
        </c:ser>
        <c:ser>
          <c:idx val="6"/>
          <c:order val="2"/>
          <c:tx>
            <c:v>1307 PWLD 3g</c:v>
          </c:tx>
          <c:xVal>
            <c:numRef>
              <c:f>'1307 PWLD 3g'!$C$4:$J$4</c:f>
              <c:numCache>
                <c:formatCode>#,##0</c:formatCode>
                <c:ptCount val="8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</c:numCache>
            </c:numRef>
          </c:xVal>
          <c:yVal>
            <c:numRef>
              <c:f>'1307 PWLD 3g'!$C$34:$J$34</c:f>
              <c:numCache>
                <c:formatCode>0</c:formatCode>
                <c:ptCount val="8"/>
                <c:pt idx="0">
                  <c:v>79.09138997395833</c:v>
                </c:pt>
                <c:pt idx="1">
                  <c:v>95.78704833984376</c:v>
                </c:pt>
                <c:pt idx="2">
                  <c:v>116.8187459309896</c:v>
                </c:pt>
                <c:pt idx="3">
                  <c:v>136.3118489583333</c:v>
                </c:pt>
                <c:pt idx="4">
                  <c:v>129.4453938802083</c:v>
                </c:pt>
                <c:pt idx="5">
                  <c:v>141.143798828125</c:v>
                </c:pt>
                <c:pt idx="6">
                  <c:v>148.2645670572917</c:v>
                </c:pt>
                <c:pt idx="7">
                  <c:v>168.4824625651042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4E-A149-8094-20B973460205}"/>
            </c:ext>
          </c:extLst>
        </c:ser>
        <c:ser>
          <c:idx val="1"/>
          <c:order val="3"/>
          <c:tx>
            <c:v>1432 PWLD 3g</c:v>
          </c:tx>
          <c:xVal>
            <c:numRef>
              <c:f>'1432 PWLD 3g'!$C$4:$I$4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PWLD 3g'!$C$34:$J$34</c:f>
              <c:numCache>
                <c:formatCode>0</c:formatCode>
                <c:ptCount val="8"/>
                <c:pt idx="0">
                  <c:v>83.41471354166665</c:v>
                </c:pt>
                <c:pt idx="1">
                  <c:v>106.0994466145833</c:v>
                </c:pt>
                <c:pt idx="2">
                  <c:v>125.5416870117187</c:v>
                </c:pt>
                <c:pt idx="3">
                  <c:v>139.3636067708333</c:v>
                </c:pt>
                <c:pt idx="4">
                  <c:v>151.9521077473958</c:v>
                </c:pt>
                <c:pt idx="5">
                  <c:v>157.16552734375</c:v>
                </c:pt>
                <c:pt idx="6">
                  <c:v>169.6268717447917</c:v>
                </c:pt>
                <c:pt idx="7">
                  <c:v>193.9137776692708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70-A349-B79F-92DC1ADFADE3}"/>
            </c:ext>
          </c:extLst>
        </c:ser>
        <c:ser>
          <c:idx val="3"/>
          <c:order val="4"/>
          <c:tx>
            <c:v>1432 PWLD 27g</c:v>
          </c:tx>
          <c:xVal>
            <c:numRef>
              <c:f>'1432 PWLD 27g'!$C$4:$I$4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PWLD 27g'!$C$34:$J$34</c:f>
              <c:numCache>
                <c:formatCode>0</c:formatCode>
                <c:ptCount val="8"/>
                <c:pt idx="0">
                  <c:v>67.5342701099537</c:v>
                </c:pt>
                <c:pt idx="1">
                  <c:v>87.8651936848958</c:v>
                </c:pt>
                <c:pt idx="2">
                  <c:v>102.3610432942708</c:v>
                </c:pt>
                <c:pt idx="3">
                  <c:v>131.1266863787616</c:v>
                </c:pt>
                <c:pt idx="4">
                  <c:v>124.0483036747685</c:v>
                </c:pt>
                <c:pt idx="5">
                  <c:v>115.4440420645254</c:v>
                </c:pt>
                <c:pt idx="6">
                  <c:v>135.8597366898148</c:v>
                </c:pt>
                <c:pt idx="7">
                  <c:v>116.2634955512153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70-A349-B79F-92DC1ADFADE3}"/>
            </c:ext>
          </c:extLst>
        </c:ser>
        <c:ser>
          <c:idx val="2"/>
          <c:order val="5"/>
          <c:tx>
            <c:v>1432 LD 3g</c:v>
          </c:tx>
          <c:xVal>
            <c:numRef>
              <c:f>'1432 LD 3g'!$C$4:$I$4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LD 3g'!$C$34:$J$34</c:f>
              <c:numCache>
                <c:formatCode>0</c:formatCode>
                <c:ptCount val="8"/>
                <c:pt idx="0">
                  <c:v>44.12333170572917</c:v>
                </c:pt>
                <c:pt idx="1">
                  <c:v>59.78902180989584</c:v>
                </c:pt>
                <c:pt idx="2">
                  <c:v>77.23490397135415</c:v>
                </c:pt>
                <c:pt idx="3">
                  <c:v>85.71624755859374</c:v>
                </c:pt>
                <c:pt idx="4">
                  <c:v>95.03682454427084</c:v>
                </c:pt>
                <c:pt idx="5">
                  <c:v>95.38014729817707</c:v>
                </c:pt>
                <c:pt idx="6">
                  <c:v>106.4554850260417</c:v>
                </c:pt>
                <c:pt idx="7">
                  <c:v>117.1493530273437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70-A349-B79F-92DC1ADFADE3}"/>
            </c:ext>
          </c:extLst>
        </c:ser>
        <c:ser>
          <c:idx val="0"/>
          <c:order val="6"/>
          <c:tx>
            <c:v>1432 LD 27g</c:v>
          </c:tx>
          <c:xVal>
            <c:numRef>
              <c:f>'1432 LD 27g'!$C$4:$I$4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LD 27g'!$C$34:$J$34</c:f>
              <c:numCache>
                <c:formatCode>0</c:formatCode>
                <c:ptCount val="8"/>
                <c:pt idx="0">
                  <c:v>22.60561342592593</c:v>
                </c:pt>
                <c:pt idx="1">
                  <c:v>33.35740831163194</c:v>
                </c:pt>
                <c:pt idx="2">
                  <c:v>37.20036259403935</c:v>
                </c:pt>
                <c:pt idx="3">
                  <c:v>44.2787452980324</c:v>
                </c:pt>
                <c:pt idx="4">
                  <c:v>45.16884132667824</c:v>
                </c:pt>
                <c:pt idx="5">
                  <c:v>50.83437319155092</c:v>
                </c:pt>
                <c:pt idx="6">
                  <c:v>52.65695077401621</c:v>
                </c:pt>
                <c:pt idx="7">
                  <c:v>52.12006745515046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70-A349-B79F-92DC1ADFADE3}"/>
            </c:ext>
          </c:extLst>
        </c:ser>
        <c:ser>
          <c:idx val="7"/>
          <c:order val="7"/>
          <c:tx>
            <c:v>1528 PWLD 1g</c:v>
          </c:tx>
          <c:xVal>
            <c:numRef>
              <c:f>'1528 PWLD 1g'!$C$4:$L$4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1g'!$C$34:$L$34</c:f>
              <c:numCache>
                <c:formatCode>0</c:formatCode>
                <c:ptCount val="10"/>
                <c:pt idx="0">
                  <c:v>127.7923583984375</c:v>
                </c:pt>
                <c:pt idx="1">
                  <c:v>155.6015014648437</c:v>
                </c:pt>
                <c:pt idx="2">
                  <c:v>195.8847045898437</c:v>
                </c:pt>
                <c:pt idx="3">
                  <c:v>245.3994750976562</c:v>
                </c:pt>
                <c:pt idx="4">
                  <c:v>417.3278808593749</c:v>
                </c:pt>
                <c:pt idx="5">
                  <c:v>424.1943359374999</c:v>
                </c:pt>
                <c:pt idx="6">
                  <c:v>316.2384033203125</c:v>
                </c:pt>
                <c:pt idx="7">
                  <c:v>328.9794921875</c:v>
                </c:pt>
                <c:pt idx="8">
                  <c:v>172.1700032552083</c:v>
                </c:pt>
                <c:pt idx="9">
                  <c:v>381.8511962890624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4E-A149-8094-20B973460205}"/>
            </c:ext>
          </c:extLst>
        </c:ser>
        <c:ser>
          <c:idx val="8"/>
          <c:order val="8"/>
          <c:tx>
            <c:v>1528 PWLD 3g</c:v>
          </c:tx>
          <c:xVal>
            <c:numRef>
              <c:f>'1528 PWLD 3g'!$C$4:$L$4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3g'!$C$34:$L$34</c:f>
              <c:numCache>
                <c:formatCode>0</c:formatCode>
                <c:ptCount val="10"/>
                <c:pt idx="0">
                  <c:v>85.70353190104167</c:v>
                </c:pt>
                <c:pt idx="1">
                  <c:v>103.912353515625</c:v>
                </c:pt>
                <c:pt idx="2">
                  <c:v>124.4481404622396</c:v>
                </c:pt>
                <c:pt idx="3">
                  <c:v>153.9866129557291</c:v>
                </c:pt>
                <c:pt idx="4">
                  <c:v>143.5597737630208</c:v>
                </c:pt>
                <c:pt idx="5">
                  <c:v>184.7585042317708</c:v>
                </c:pt>
                <c:pt idx="6">
                  <c:v>261.4339192708333</c:v>
                </c:pt>
                <c:pt idx="7">
                  <c:v>180.816650390625</c:v>
                </c:pt>
                <c:pt idx="8">
                  <c:v>210.4441324869792</c:v>
                </c:pt>
                <c:pt idx="9">
                  <c:v>229.5176188151042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54E-A149-8094-20B973460205}"/>
            </c:ext>
          </c:extLst>
        </c:ser>
        <c:ser>
          <c:idx val="9"/>
          <c:order val="9"/>
          <c:tx>
            <c:v>1528 PWLD 27g</c:v>
          </c:tx>
          <c:xVal>
            <c:numRef>
              <c:f>'1528 PWLD 27g'!$C$4:$L$4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27g'!$C$34:$L$34</c:f>
              <c:numCache>
                <c:formatCode>0</c:formatCode>
                <c:ptCount val="10"/>
                <c:pt idx="0">
                  <c:v>64.56728334780092</c:v>
                </c:pt>
                <c:pt idx="1">
                  <c:v>74.51375325520832</c:v>
                </c:pt>
                <c:pt idx="2">
                  <c:v>95.65000180844908</c:v>
                </c:pt>
                <c:pt idx="3">
                  <c:v>121.166087962963</c:v>
                </c:pt>
                <c:pt idx="4">
                  <c:v>116.800378870081</c:v>
                </c:pt>
                <c:pt idx="5">
                  <c:v>107.8005190248843</c:v>
                </c:pt>
                <c:pt idx="6">
                  <c:v>129.1769522207755</c:v>
                </c:pt>
                <c:pt idx="7">
                  <c:v>117.8317599826389</c:v>
                </c:pt>
                <c:pt idx="8">
                  <c:v>130.4485179759838</c:v>
                </c:pt>
                <c:pt idx="9">
                  <c:v>138.7560809100116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54E-A149-8094-20B973460205}"/>
            </c:ext>
          </c:extLst>
        </c:ser>
        <c:ser>
          <c:idx val="15"/>
          <c:order val="10"/>
          <c:tx>
            <c:v>1528 PWLD 27g SA</c:v>
          </c:tx>
          <c:xVal>
            <c:numRef>
              <c:f>'1528 PWLD 27g SA'!$C$4:$L$4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27g SA'!$C$34:$L$34</c:f>
              <c:numCache>
                <c:formatCode>0</c:formatCode>
                <c:ptCount val="10"/>
                <c:pt idx="0">
                  <c:v>86.1839011863426</c:v>
                </c:pt>
                <c:pt idx="1">
                  <c:v>106.5854673032407</c:v>
                </c:pt>
                <c:pt idx="2">
                  <c:v>127.8630009403935</c:v>
                </c:pt>
                <c:pt idx="3">
                  <c:v>129.7138355396412</c:v>
                </c:pt>
                <c:pt idx="4">
                  <c:v>136.6650616681134</c:v>
                </c:pt>
                <c:pt idx="5">
                  <c:v>139.5048918547454</c:v>
                </c:pt>
                <c:pt idx="6">
                  <c:v>153.1530309606482</c:v>
                </c:pt>
                <c:pt idx="7">
                  <c:v>164.031982421875</c:v>
                </c:pt>
                <c:pt idx="8">
                  <c:v>167.564109519676</c:v>
                </c:pt>
                <c:pt idx="9">
                  <c:v>179.9971969039352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2C-8544-A1A9-FF7F3AA2DA7F}"/>
            </c:ext>
          </c:extLst>
        </c:ser>
        <c:ser>
          <c:idx val="10"/>
          <c:order val="11"/>
          <c:tx>
            <c:v>1528 PWLD 99g</c:v>
          </c:tx>
          <c:xVal>
            <c:numRef>
              <c:f>'1528 PWLD 99g'!$C$4:$L$4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99g'!$C$34:$L$34</c:f>
              <c:numCache>
                <c:formatCode>0</c:formatCode>
                <c:ptCount val="10"/>
                <c:pt idx="0">
                  <c:v>62.8076418481692</c:v>
                </c:pt>
                <c:pt idx="1">
                  <c:v>72.71044182054922</c:v>
                </c:pt>
                <c:pt idx="2">
                  <c:v>86.46647135416667</c:v>
                </c:pt>
                <c:pt idx="3">
                  <c:v>105.1931670217803</c:v>
                </c:pt>
                <c:pt idx="4">
                  <c:v>108.8152028093434</c:v>
                </c:pt>
                <c:pt idx="5">
                  <c:v>121.1070051096907</c:v>
                </c:pt>
                <c:pt idx="6">
                  <c:v>131.4336603338068</c:v>
                </c:pt>
                <c:pt idx="7">
                  <c:v>129.0446580058396</c:v>
                </c:pt>
                <c:pt idx="8">
                  <c:v>136.2501972853535</c:v>
                </c:pt>
                <c:pt idx="9">
                  <c:v>145.3052867542614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54E-A149-8094-20B973460205}"/>
            </c:ext>
          </c:extLst>
        </c:ser>
        <c:ser>
          <c:idx val="11"/>
          <c:order val="12"/>
          <c:tx>
            <c:v>1528 LD 1g</c:v>
          </c:tx>
          <c:xVal>
            <c:numRef>
              <c:f>'1528 LD 1g'!$C$4:$L$4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1g'!$C$34:$L$34</c:f>
              <c:numCache>
                <c:formatCode>0</c:formatCode>
                <c:ptCount val="10"/>
                <c:pt idx="0">
                  <c:v>122.0703125</c:v>
                </c:pt>
                <c:pt idx="1">
                  <c:v>190.8111572265625</c:v>
                </c:pt>
                <c:pt idx="2">
                  <c:v>232.84912109375</c:v>
                </c:pt>
                <c:pt idx="3">
                  <c:v>302.734375</c:v>
                </c:pt>
                <c:pt idx="4">
                  <c:v>342.864990234375</c:v>
                </c:pt>
                <c:pt idx="5">
                  <c:v>350.4180908203125</c:v>
                </c:pt>
                <c:pt idx="6">
                  <c:v>391.387939453125</c:v>
                </c:pt>
                <c:pt idx="7">
                  <c:v>127.7923583984375</c:v>
                </c:pt>
                <c:pt idx="8">
                  <c:v>575.86669921875</c:v>
                </c:pt>
                <c:pt idx="9">
                  <c:v>859.832763671875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54E-A149-8094-20B973460205}"/>
            </c:ext>
          </c:extLst>
        </c:ser>
        <c:ser>
          <c:idx val="12"/>
          <c:order val="13"/>
          <c:tx>
            <c:v>1528 LD 3g</c:v>
          </c:tx>
          <c:xVal>
            <c:numRef>
              <c:f>'1528 LD 3g'!$C$4:$L$4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3g'!$C$34:$L$34</c:f>
              <c:numCache>
                <c:formatCode>0</c:formatCode>
                <c:ptCount val="10"/>
                <c:pt idx="0">
                  <c:v>57.72908528645833</c:v>
                </c:pt>
                <c:pt idx="1">
                  <c:v>82.52461751302083</c:v>
                </c:pt>
                <c:pt idx="2">
                  <c:v>109.8887125651042</c:v>
                </c:pt>
                <c:pt idx="3">
                  <c:v>125.3763834635417</c:v>
                </c:pt>
                <c:pt idx="4">
                  <c:v>139.7705078125</c:v>
                </c:pt>
                <c:pt idx="5">
                  <c:v>163.116455078125</c:v>
                </c:pt>
                <c:pt idx="6">
                  <c:v>165.5832926432292</c:v>
                </c:pt>
                <c:pt idx="7">
                  <c:v>176.1118570963542</c:v>
                </c:pt>
                <c:pt idx="8">
                  <c:v>314.0767415364582</c:v>
                </c:pt>
                <c:pt idx="9">
                  <c:v>233.5103352864583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54E-A149-8094-20B973460205}"/>
            </c:ext>
          </c:extLst>
        </c:ser>
        <c:ser>
          <c:idx val="13"/>
          <c:order val="14"/>
          <c:tx>
            <c:v>1528 LD 27g</c:v>
          </c:tx>
          <c:xVal>
            <c:numRef>
              <c:f>'1528 LD 27g'!$C$4:$L$4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27g'!$C$34:$L$34</c:f>
              <c:numCache>
                <c:formatCode>0</c:formatCode>
                <c:ptCount val="10"/>
                <c:pt idx="0">
                  <c:v>28.53958695023148</c:v>
                </c:pt>
                <c:pt idx="1">
                  <c:v>33.5975929542824</c:v>
                </c:pt>
                <c:pt idx="2">
                  <c:v>49.11069516782408</c:v>
                </c:pt>
                <c:pt idx="3">
                  <c:v>58.20945457175926</c:v>
                </c:pt>
                <c:pt idx="4">
                  <c:v>56.76834671585648</c:v>
                </c:pt>
                <c:pt idx="5">
                  <c:v>54.64907045717592</c:v>
                </c:pt>
                <c:pt idx="6">
                  <c:v>62.41975007233796</c:v>
                </c:pt>
                <c:pt idx="7">
                  <c:v>61.17644133391204</c:v>
                </c:pt>
                <c:pt idx="8">
                  <c:v>64.9346245659722</c:v>
                </c:pt>
                <c:pt idx="9">
                  <c:v>68.94712094907407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54E-A149-8094-20B973460205}"/>
            </c:ext>
          </c:extLst>
        </c:ser>
        <c:ser>
          <c:idx val="14"/>
          <c:order val="15"/>
          <c:tx>
            <c:v>1528 LD 99g</c:v>
          </c:tx>
          <c:xVal>
            <c:numRef>
              <c:f>'1528 LD 99g'!$C$4:$L$4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99g'!$C$34:$L$34</c:f>
              <c:numCache>
                <c:formatCode>0</c:formatCode>
                <c:ptCount val="10"/>
                <c:pt idx="0">
                  <c:v>25.73957346906566</c:v>
                </c:pt>
                <c:pt idx="1">
                  <c:v>31.3421692511048</c:v>
                </c:pt>
                <c:pt idx="2">
                  <c:v>40.35872642440025</c:v>
                </c:pt>
                <c:pt idx="3">
                  <c:v>49.66812904434974</c:v>
                </c:pt>
                <c:pt idx="4">
                  <c:v>51.67951487531565</c:v>
                </c:pt>
                <c:pt idx="5">
                  <c:v>54.29971097695706</c:v>
                </c:pt>
                <c:pt idx="6">
                  <c:v>58.36101493450126</c:v>
                </c:pt>
                <c:pt idx="7">
                  <c:v>57.22816544349747</c:v>
                </c:pt>
                <c:pt idx="8">
                  <c:v>62.11406052714646</c:v>
                </c:pt>
                <c:pt idx="9">
                  <c:v>63.14672604955807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154E-A149-8094-20B973460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5328"/>
        <c:axId val="8317888"/>
      </c:scatterChart>
      <c:valAx>
        <c:axId val="40105328"/>
        <c:scaling>
          <c:logBase val="2.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09783275287704"/>
              <c:y val="0.946788990825688"/>
            </c:manualLayout>
          </c:layout>
          <c:overlay val="0"/>
        </c:title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8317888"/>
        <c:crossesAt val="1.5"/>
        <c:crossBetween val="midCat"/>
        <c:minorUnit val="1.0"/>
      </c:valAx>
      <c:valAx>
        <c:axId val="8317888"/>
        <c:scaling>
          <c:orientation val="minMax"/>
          <c:max val="50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40105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15484458349"/>
          <c:y val="0.16319154278015"/>
          <c:w val="0.400365168410508"/>
          <c:h val="0.28583795739256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4-18'!$C$53:$N$53</c:f>
              <c:numCache>
                <c:formatCode>0.00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0.96127604592545</c:v>
                </c:pt>
                <c:pt idx="3">
                  <c:v>0.92431769237496</c:v>
                </c:pt>
                <c:pt idx="4">
                  <c:v>0.904679316985566</c:v>
                </c:pt>
                <c:pt idx="5">
                  <c:v>0.891326116734857</c:v>
                </c:pt>
                <c:pt idx="6">
                  <c:v>0.865768378620596</c:v>
                </c:pt>
                <c:pt idx="7">
                  <c:v>0.836719042397599</c:v>
                </c:pt>
                <c:pt idx="8">
                  <c:v>0.812770017928258</c:v>
                </c:pt>
                <c:pt idx="9">
                  <c:v>0.790153808733732</c:v>
                </c:pt>
                <c:pt idx="10">
                  <c:v>0.725644144990044</c:v>
                </c:pt>
                <c:pt idx="11">
                  <c:v>0.717945002868133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88-BE43-903A-985407A62D8E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4-18'!$C$59:$N$59</c:f>
              <c:numCache>
                <c:formatCode>0.00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0.96127604592545</c:v>
                </c:pt>
                <c:pt idx="3">
                  <c:v>0.92431769237496</c:v>
                </c:pt>
                <c:pt idx="4">
                  <c:v>0.904679316985566</c:v>
                </c:pt>
                <c:pt idx="5">
                  <c:v>0.891326116734857</c:v>
                </c:pt>
                <c:pt idx="6">
                  <c:v>0.865768378620596</c:v>
                </c:pt>
                <c:pt idx="7">
                  <c:v>0.836719042397599</c:v>
                </c:pt>
                <c:pt idx="8">
                  <c:v>0.812770017928258</c:v>
                </c:pt>
                <c:pt idx="9">
                  <c:v>0.790153808733732</c:v>
                </c:pt>
                <c:pt idx="10">
                  <c:v>0.725644144990044</c:v>
                </c:pt>
                <c:pt idx="11">
                  <c:v>0.717945002868133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88-BE43-903A-985407A62D8E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4-18'!$C$40:$N$40</c:f>
              <c:numCache>
                <c:formatCode>0.000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0.825015926948397</c:v>
                </c:pt>
                <c:pt idx="3">
                  <c:v>0.760571652310102</c:v>
                </c:pt>
                <c:pt idx="4">
                  <c:v>0.659144893111639</c:v>
                </c:pt>
                <c:pt idx="5">
                  <c:v>0.65020920502092</c:v>
                </c:pt>
                <c:pt idx="6">
                  <c:v>0.606178811046965</c:v>
                </c:pt>
                <c:pt idx="7">
                  <c:v>0.559798270893372</c:v>
                </c:pt>
                <c:pt idx="8">
                  <c:v>0.524433045356371</c:v>
                </c:pt>
                <c:pt idx="9">
                  <c:v>0.506188925081433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88-BE43-903A-985407A62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1824"/>
        <c:axId val="7867232"/>
      </c:scatterChart>
      <c:valAx>
        <c:axId val="835182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7867232"/>
        <c:crosses val="autoZero"/>
        <c:crossBetween val="midCat"/>
        <c:majorUnit val="4.0"/>
        <c:minorUnit val="1.0"/>
      </c:valAx>
      <c:valAx>
        <c:axId val="786723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835182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4-18'!$C$52:$N$52</c:f>
              <c:numCache>
                <c:formatCode>0</c:formatCode>
                <c:ptCount val="12"/>
                <c:pt idx="0">
                  <c:v>276.708984375</c:v>
                </c:pt>
                <c:pt idx="1">
                  <c:v>383.9337158203126</c:v>
                </c:pt>
                <c:pt idx="2">
                  <c:v>399.4000656187036</c:v>
                </c:pt>
                <c:pt idx="3">
                  <c:v>415.3698657804825</c:v>
                </c:pt>
                <c:pt idx="4">
                  <c:v>424.3865296927507</c:v>
                </c:pt>
                <c:pt idx="5">
                  <c:v>430.7443803248518</c:v>
                </c:pt>
                <c:pt idx="6">
                  <c:v>443.4600815890541</c:v>
                </c:pt>
                <c:pt idx="7">
                  <c:v>458.8561946913022</c:v>
                </c:pt>
                <c:pt idx="8">
                  <c:v>472.3768192125929</c:v>
                </c:pt>
                <c:pt idx="9">
                  <c:v>485.8974437338835</c:v>
                </c:pt>
                <c:pt idx="10">
                  <c:v>529.0936590215035</c:v>
                </c:pt>
                <c:pt idx="11">
                  <c:v>534.7675856598037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60-A342-8EAA-7467AF1545E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4-18'!$C$58:$N$58</c:f>
              <c:numCache>
                <c:formatCode>0</c:formatCode>
                <c:ptCount val="12"/>
                <c:pt idx="0">
                  <c:v>276.708984375</c:v>
                </c:pt>
                <c:pt idx="1">
                  <c:v>383.9337158203126</c:v>
                </c:pt>
                <c:pt idx="2">
                  <c:v>399.4000656187036</c:v>
                </c:pt>
                <c:pt idx="3">
                  <c:v>415.3698657804825</c:v>
                </c:pt>
                <c:pt idx="4">
                  <c:v>424.3865296927507</c:v>
                </c:pt>
                <c:pt idx="5">
                  <c:v>430.7443803248518</c:v>
                </c:pt>
                <c:pt idx="6">
                  <c:v>443.4600815890541</c:v>
                </c:pt>
                <c:pt idx="7">
                  <c:v>458.8561946913022</c:v>
                </c:pt>
                <c:pt idx="8">
                  <c:v>472.3768192125929</c:v>
                </c:pt>
                <c:pt idx="9">
                  <c:v>485.8974437338835</c:v>
                </c:pt>
                <c:pt idx="10">
                  <c:v>529.0936590215035</c:v>
                </c:pt>
                <c:pt idx="11">
                  <c:v>534.7675856598037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60-A342-8EAA-7467AF1545E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4-18'!$C$34:$N$34</c:f>
              <c:numCache>
                <c:formatCode>0</c:formatCode>
                <c:ptCount val="12"/>
                <c:pt idx="0">
                  <c:v>106.8115234375</c:v>
                </c:pt>
                <c:pt idx="1">
                  <c:v>148.2009887695312</c:v>
                </c:pt>
                <c:pt idx="2">
                  <c:v>179.6340942382812</c:v>
                </c:pt>
                <c:pt idx="3">
                  <c:v>194.854736328125</c:v>
                </c:pt>
                <c:pt idx="4">
                  <c:v>224.8382568359375</c:v>
                </c:pt>
                <c:pt idx="5">
                  <c:v>227.9281616210937</c:v>
                </c:pt>
                <c:pt idx="6">
                  <c:v>244.4839477539062</c:v>
                </c:pt>
                <c:pt idx="7">
                  <c:v>264.7399902343751</c:v>
                </c:pt>
                <c:pt idx="8">
                  <c:v>282.5927734375</c:v>
                </c:pt>
                <c:pt idx="9">
                  <c:v>292.7780151367187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60-A342-8EAA-7467AF15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1440"/>
        <c:axId val="40578496"/>
      </c:scatterChart>
      <c:valAx>
        <c:axId val="4057144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40578496"/>
        <c:crosses val="autoZero"/>
        <c:crossBetween val="midCat"/>
        <c:majorUnit val="4.0"/>
        <c:minorUnit val="4.0"/>
      </c:valAx>
      <c:valAx>
        <c:axId val="40578496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40571440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89407984960784"/>
          <c:y val="0.48089528399697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3g'!$C$53:$P$53</c:f>
              <c:numCache>
                <c:formatCode>0.00</c:formatCode>
                <c:ptCount val="14"/>
                <c:pt idx="0">
                  <c:v>1.211093247588425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ED-F04B-96FB-479298EF45F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3g'!$C$59:$P$59</c:f>
              <c:numCache>
                <c:formatCode>0.00</c:formatCode>
                <c:ptCount val="14"/>
                <c:pt idx="0">
                  <c:v>1.211093247588425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ED-F04B-96FB-479298EF45F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'1307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'1307 PWLD 3g'!$C$40:$N$40</c:f>
              <c:numCache>
                <c:formatCode>0.000</c:formatCode>
                <c:ptCount val="12"/>
                <c:pt idx="0">
                  <c:v>1.211093247588425</c:v>
                </c:pt>
                <c:pt idx="1">
                  <c:v>1.0</c:v>
                </c:pt>
                <c:pt idx="2">
                  <c:v>0.819962991183194</c:v>
                </c:pt>
                <c:pt idx="3">
                  <c:v>0.702705223880597</c:v>
                </c:pt>
                <c:pt idx="4">
                  <c:v>0.739980353634578</c:v>
                </c:pt>
                <c:pt idx="5">
                  <c:v>0.678648648648649</c:v>
                </c:pt>
                <c:pt idx="6">
                  <c:v>0.646054888507719</c:v>
                </c:pt>
                <c:pt idx="7">
                  <c:v>0.568528301886792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ED-F04B-96FB-479298EF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4464"/>
        <c:axId val="40202224"/>
      </c:scatterChart>
      <c:valAx>
        <c:axId val="4019446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40202224"/>
        <c:crosses val="autoZero"/>
        <c:crossBetween val="midCat"/>
        <c:majorUnit val="4.0"/>
        <c:minorUnit val="1.0"/>
      </c:valAx>
      <c:valAx>
        <c:axId val="4020222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4019446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131.8916816343448</c:v>
                </c:pt>
                <c:pt idx="2">
                  <c:v>137.1223848160826</c:v>
                </c:pt>
                <c:pt idx="3">
                  <c:v>142.3334478196747</c:v>
                </c:pt>
                <c:pt idx="4">
                  <c:v>144.8947077294739</c:v>
                </c:pt>
                <c:pt idx="5">
                  <c:v>147.0654149613762</c:v>
                </c:pt>
                <c:pt idx="6">
                  <c:v>151.4068294251806</c:v>
                </c:pt>
                <c:pt idx="7">
                  <c:v>155.4120606073251</c:v>
                </c:pt>
                <c:pt idx="8">
                  <c:v>159.9914215091984</c:v>
                </c:pt>
                <c:pt idx="9">
                  <c:v>164.5707824110717</c:v>
                </c:pt>
                <c:pt idx="10">
                  <c:v>176.7759055498211</c:v>
                </c:pt>
                <c:pt idx="11">
                  <c:v>181.831159327832</c:v>
                </c:pt>
                <c:pt idx="12">
                  <c:v>191.9416668838539</c:v>
                </c:pt>
                <c:pt idx="13">
                  <c:v>202.0521744398759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FD-2945-B2BA-65DF9AC18C9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131.8916816343448</c:v>
                </c:pt>
                <c:pt idx="2">
                  <c:v>137.1223848160826</c:v>
                </c:pt>
                <c:pt idx="3">
                  <c:v>142.3334478196747</c:v>
                </c:pt>
                <c:pt idx="4">
                  <c:v>144.8947077294739</c:v>
                </c:pt>
                <c:pt idx="5">
                  <c:v>147.0654149613762</c:v>
                </c:pt>
                <c:pt idx="6">
                  <c:v>151.4068294251806</c:v>
                </c:pt>
                <c:pt idx="7">
                  <c:v>155.4120606073251</c:v>
                </c:pt>
                <c:pt idx="8">
                  <c:v>159.9914215091984</c:v>
                </c:pt>
                <c:pt idx="9">
                  <c:v>164.5707824110717</c:v>
                </c:pt>
                <c:pt idx="10">
                  <c:v>176.7759055498211</c:v>
                </c:pt>
                <c:pt idx="11">
                  <c:v>181.831159327832</c:v>
                </c:pt>
                <c:pt idx="12">
                  <c:v>191.9416668838539</c:v>
                </c:pt>
                <c:pt idx="13">
                  <c:v>202.0521744398759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FD-2945-B2BA-65DF9AC18C9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'1307 PWLD 3g'!$C$34:$N$34</c:f>
              <c:numCache>
                <c:formatCode>0</c:formatCode>
                <c:ptCount val="12"/>
                <c:pt idx="0">
                  <c:v>79.09138997395833</c:v>
                </c:pt>
                <c:pt idx="1">
                  <c:v>95.78704833984376</c:v>
                </c:pt>
                <c:pt idx="2">
                  <c:v>116.8187459309896</c:v>
                </c:pt>
                <c:pt idx="3">
                  <c:v>136.3118489583333</c:v>
                </c:pt>
                <c:pt idx="4">
                  <c:v>129.4453938802083</c:v>
                </c:pt>
                <c:pt idx="5">
                  <c:v>141.143798828125</c:v>
                </c:pt>
                <c:pt idx="6">
                  <c:v>148.2645670572917</c:v>
                </c:pt>
                <c:pt idx="7">
                  <c:v>168.4824625651042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FD-2945-B2BA-65DF9AC18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4928"/>
        <c:axId val="40270800"/>
      </c:scatterChart>
      <c:valAx>
        <c:axId val="4041492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40270800"/>
        <c:crosses val="autoZero"/>
        <c:crossBetween val="midCat"/>
        <c:majorUnit val="4.0"/>
        <c:minorUnit val="4.0"/>
      </c:valAx>
      <c:valAx>
        <c:axId val="40270800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40414928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3g'!$C$53:$P$53</c:f>
              <c:numCache>
                <c:formatCode>0.00</c:formatCode>
                <c:ptCount val="14"/>
                <c:pt idx="0">
                  <c:v>1.355043227665706</c:v>
                </c:pt>
                <c:pt idx="1">
                  <c:v>1.0</c:v>
                </c:pt>
                <c:pt idx="2">
                  <c:v>0.880858840426502</c:v>
                </c:pt>
                <c:pt idx="3">
                  <c:v>0.931843205282605</c:v>
                </c:pt>
                <c:pt idx="4">
                  <c:v>0.923247031247024</c:v>
                </c:pt>
                <c:pt idx="5">
                  <c:v>0.909619768793193</c:v>
                </c:pt>
                <c:pt idx="6">
                  <c:v>0.883537481515969</c:v>
                </c:pt>
                <c:pt idx="7">
                  <c:v>0.878282407429447</c:v>
                </c:pt>
                <c:pt idx="8">
                  <c:v>0.853143733871538</c:v>
                </c:pt>
                <c:pt idx="9">
                  <c:v>0.829404082146417</c:v>
                </c:pt>
                <c:pt idx="10">
                  <c:v>0.800103213565002</c:v>
                </c:pt>
                <c:pt idx="11">
                  <c:v>0.777858814925488</c:v>
                </c:pt>
                <c:pt idx="12">
                  <c:v>0.736885181875915</c:v>
                </c:pt>
                <c:pt idx="13">
                  <c:v>0.700012115699169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0F-D54D-867E-4D3502625BD5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3g'!$C$59:$P$59</c:f>
              <c:numCache>
                <c:formatCode>0.00</c:formatCode>
                <c:ptCount val="14"/>
                <c:pt idx="0">
                  <c:v>1.355043227665706</c:v>
                </c:pt>
                <c:pt idx="1">
                  <c:v>1.0</c:v>
                </c:pt>
                <c:pt idx="2">
                  <c:v>0.880858840426502</c:v>
                </c:pt>
                <c:pt idx="3">
                  <c:v>0.931843205282605</c:v>
                </c:pt>
                <c:pt idx="4">
                  <c:v>0.923247031247024</c:v>
                </c:pt>
                <c:pt idx="5">
                  <c:v>0.909619768793193</c:v>
                </c:pt>
                <c:pt idx="6">
                  <c:v>0.883537481515969</c:v>
                </c:pt>
                <c:pt idx="7">
                  <c:v>0.878282407429447</c:v>
                </c:pt>
                <c:pt idx="8">
                  <c:v>0.853143733871538</c:v>
                </c:pt>
                <c:pt idx="9">
                  <c:v>0.829404082146417</c:v>
                </c:pt>
                <c:pt idx="10">
                  <c:v>0.800103213565002</c:v>
                </c:pt>
                <c:pt idx="11">
                  <c:v>0.777858814925488</c:v>
                </c:pt>
                <c:pt idx="12">
                  <c:v>0.736885181875915</c:v>
                </c:pt>
                <c:pt idx="13">
                  <c:v>0.700012115699169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0F-D54D-867E-4D3502625BD5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3g'!$C$40:$N$40</c:f>
              <c:numCache>
                <c:formatCode>0.000</c:formatCode>
                <c:ptCount val="12"/>
                <c:pt idx="0">
                  <c:v>1.355043227665706</c:v>
                </c:pt>
                <c:pt idx="1">
                  <c:v>1.0</c:v>
                </c:pt>
                <c:pt idx="2">
                  <c:v>0.774119196575568</c:v>
                </c:pt>
                <c:pt idx="3">
                  <c:v>0.697522622756268</c:v>
                </c:pt>
                <c:pt idx="4">
                  <c:v>0.629114262777629</c:v>
                </c:pt>
                <c:pt idx="5">
                  <c:v>0.626849753366218</c:v>
                </c:pt>
                <c:pt idx="6">
                  <c:v>0.561634018155757</c:v>
                </c:pt>
                <c:pt idx="7">
                  <c:v>0.510365787474221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0F-D54D-867E-4D350262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951360"/>
        <c:axId val="-24873184"/>
      </c:scatterChart>
      <c:valAx>
        <c:axId val="-2495136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873184"/>
        <c:crosses val="autoZero"/>
        <c:crossBetween val="midCat"/>
        <c:majorUnit val="4.0"/>
        <c:minorUnit val="1.0"/>
      </c:valAx>
      <c:valAx>
        <c:axId val="-2487318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95136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590940753765003"/>
          <c:y val="0.11919994375703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3g'!$C$52:$P$52</c:f>
              <c:numCache>
                <c:formatCode>0</c:formatCode>
                <c:ptCount val="14"/>
                <c:pt idx="0">
                  <c:v>75.08138020833333</c:v>
                </c:pt>
                <c:pt idx="1">
                  <c:v>101.738515775096</c:v>
                </c:pt>
                <c:pt idx="2">
                  <c:v>115.4992276921867</c:v>
                </c:pt>
                <c:pt idx="3">
                  <c:v>109.1798654519794</c:v>
                </c:pt>
                <c:pt idx="4">
                  <c:v>110.1964180027511</c:v>
                </c:pt>
                <c:pt idx="5">
                  <c:v>111.847300669459</c:v>
                </c:pt>
                <c:pt idx="6">
                  <c:v>115.1490660028748</c:v>
                </c:pt>
                <c:pt idx="7">
                  <c:v>115.8380435660368</c:v>
                </c:pt>
                <c:pt idx="8">
                  <c:v>119.2513192512239</c:v>
                </c:pt>
                <c:pt idx="9">
                  <c:v>122.664594936411</c:v>
                </c:pt>
                <c:pt idx="10">
                  <c:v>127.156739343393</c:v>
                </c:pt>
                <c:pt idx="11">
                  <c:v>130.7930357321227</c:v>
                </c:pt>
                <c:pt idx="12">
                  <c:v>138.0656285095822</c:v>
                </c:pt>
                <c:pt idx="13">
                  <c:v>145.3382212870417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49-804B-8865-BCF961AE3F17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3g'!$C$58:$P$58</c:f>
              <c:numCache>
                <c:formatCode>0</c:formatCode>
                <c:ptCount val="14"/>
                <c:pt idx="0">
                  <c:v>75.08138020833333</c:v>
                </c:pt>
                <c:pt idx="1">
                  <c:v>101.738515775096</c:v>
                </c:pt>
                <c:pt idx="2">
                  <c:v>115.4992276921867</c:v>
                </c:pt>
                <c:pt idx="3">
                  <c:v>109.1798654519794</c:v>
                </c:pt>
                <c:pt idx="4">
                  <c:v>110.1964180027511</c:v>
                </c:pt>
                <c:pt idx="5">
                  <c:v>111.847300669459</c:v>
                </c:pt>
                <c:pt idx="6">
                  <c:v>115.1490660028748</c:v>
                </c:pt>
                <c:pt idx="7">
                  <c:v>115.8380435660368</c:v>
                </c:pt>
                <c:pt idx="8">
                  <c:v>119.2513192512239</c:v>
                </c:pt>
                <c:pt idx="9">
                  <c:v>122.664594936411</c:v>
                </c:pt>
                <c:pt idx="10">
                  <c:v>127.156739343393</c:v>
                </c:pt>
                <c:pt idx="11">
                  <c:v>130.7930357321227</c:v>
                </c:pt>
                <c:pt idx="12">
                  <c:v>138.0656285095822</c:v>
                </c:pt>
                <c:pt idx="13">
                  <c:v>145.3382212870417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49-804B-8865-BCF961AE3F17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3g'!$C$34:$N$34</c:f>
              <c:numCache>
                <c:formatCode>0</c:formatCode>
                <c:ptCount val="12"/>
                <c:pt idx="0">
                  <c:v>44.12333170572917</c:v>
                </c:pt>
                <c:pt idx="1">
                  <c:v>59.78902180989584</c:v>
                </c:pt>
                <c:pt idx="2">
                  <c:v>77.23490397135415</c:v>
                </c:pt>
                <c:pt idx="3">
                  <c:v>85.71624755859374</c:v>
                </c:pt>
                <c:pt idx="4">
                  <c:v>95.03682454427084</c:v>
                </c:pt>
                <c:pt idx="5">
                  <c:v>95.38014729817707</c:v>
                </c:pt>
                <c:pt idx="6">
                  <c:v>106.4554850260417</c:v>
                </c:pt>
                <c:pt idx="7">
                  <c:v>117.1493530273437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49-804B-8865-BCF961AE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15248"/>
        <c:axId val="10410800"/>
      </c:scatterChart>
      <c:valAx>
        <c:axId val="3461524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10410800"/>
        <c:crosses val="autoZero"/>
        <c:crossBetween val="midCat"/>
        <c:majorUnit val="4.0"/>
        <c:minorUnit val="4.0"/>
      </c:valAx>
      <c:valAx>
        <c:axId val="10410800"/>
        <c:scaling>
          <c:orientation val="minMax"/>
          <c:max val="2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4615248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597431468326733"/>
          <c:y val="0.48089528399697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27g'!$C$53:$P$53</c:f>
              <c:numCache>
                <c:formatCode>0.00</c:formatCode>
                <c:ptCount val="14"/>
                <c:pt idx="0">
                  <c:v>1.475625</c:v>
                </c:pt>
                <c:pt idx="1">
                  <c:v>1.0</c:v>
                </c:pt>
                <c:pt idx="2">
                  <c:v>0.947138915840531</c:v>
                </c:pt>
                <c:pt idx="3">
                  <c:v>0.929676118559724</c:v>
                </c:pt>
                <c:pt idx="4">
                  <c:v>0.921309776027355</c:v>
                </c:pt>
                <c:pt idx="5">
                  <c:v>0.907711107746509</c:v>
                </c:pt>
                <c:pt idx="6">
                  <c:v>0.881683549101447</c:v>
                </c:pt>
                <c:pt idx="7">
                  <c:v>0.885078909143353</c:v>
                </c:pt>
                <c:pt idx="8">
                  <c:v>0.859745702441575</c:v>
                </c:pt>
                <c:pt idx="9">
                  <c:v>0.83582234376494</c:v>
                </c:pt>
                <c:pt idx="10">
                  <c:v>0.820991355091571</c:v>
                </c:pt>
                <c:pt idx="11">
                  <c:v>0.798166226192414</c:v>
                </c:pt>
                <c:pt idx="12">
                  <c:v>0.756122902343596</c:v>
                </c:pt>
                <c:pt idx="13">
                  <c:v>0.718287198082462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D8-E041-83FD-5523F59E614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27g'!$C$59:$P$59</c:f>
              <c:numCache>
                <c:formatCode>0.00</c:formatCode>
                <c:ptCount val="14"/>
                <c:pt idx="0">
                  <c:v>1.475625</c:v>
                </c:pt>
                <c:pt idx="1">
                  <c:v>1.0</c:v>
                </c:pt>
                <c:pt idx="2">
                  <c:v>0.947138915840531</c:v>
                </c:pt>
                <c:pt idx="3">
                  <c:v>0.929676118559724</c:v>
                </c:pt>
                <c:pt idx="4">
                  <c:v>0.921309776027355</c:v>
                </c:pt>
                <c:pt idx="5">
                  <c:v>0.907711107746509</c:v>
                </c:pt>
                <c:pt idx="6">
                  <c:v>0.881683549101447</c:v>
                </c:pt>
                <c:pt idx="7">
                  <c:v>0.885078909143353</c:v>
                </c:pt>
                <c:pt idx="8">
                  <c:v>0.859745702441575</c:v>
                </c:pt>
                <c:pt idx="9">
                  <c:v>0.83582234376494</c:v>
                </c:pt>
                <c:pt idx="10">
                  <c:v>0.820991355091571</c:v>
                </c:pt>
                <c:pt idx="11">
                  <c:v>0.798166226192414</c:v>
                </c:pt>
                <c:pt idx="12">
                  <c:v>0.756122902343596</c:v>
                </c:pt>
                <c:pt idx="13">
                  <c:v>0.718287198082462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D8-E041-83FD-5523F59E614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27g'!$C$40:$N$40</c:f>
              <c:numCache>
                <c:formatCode>0.000</c:formatCode>
                <c:ptCount val="12"/>
                <c:pt idx="0">
                  <c:v>1.475625</c:v>
                </c:pt>
                <c:pt idx="1">
                  <c:v>1.0</c:v>
                </c:pt>
                <c:pt idx="2">
                  <c:v>0.89669578427649</c:v>
                </c:pt>
                <c:pt idx="3">
                  <c:v>0.753350350989151</c:v>
                </c:pt>
                <c:pt idx="4">
                  <c:v>0.738504848295277</c:v>
                </c:pt>
                <c:pt idx="5">
                  <c:v>0.656197887715397</c:v>
                </c:pt>
                <c:pt idx="6">
                  <c:v>0.633485376978803</c:v>
                </c:pt>
                <c:pt idx="7">
                  <c:v>0.640010843046896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CD8-E041-83FD-5523F59E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6576"/>
        <c:axId val="-24511872"/>
      </c:scatterChart>
      <c:valAx>
        <c:axId val="1428657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511872"/>
        <c:crosses val="autoZero"/>
        <c:crossBetween val="midCat"/>
        <c:majorUnit val="4.0"/>
        <c:minorUnit val="1.0"/>
      </c:valAx>
      <c:valAx>
        <c:axId val="-2451187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1428657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27g'!$C$52:$P$52</c:f>
              <c:numCache>
                <c:formatCode>0</c:formatCode>
                <c:ptCount val="14"/>
                <c:pt idx="0">
                  <c:v>27.78682002314815</c:v>
                </c:pt>
                <c:pt idx="1">
                  <c:v>41.00292629665798</c:v>
                </c:pt>
                <c:pt idx="2">
                  <c:v>43.29135421520531</c:v>
                </c:pt>
                <c:pt idx="3">
                  <c:v>44.10452788674478</c:v>
                </c:pt>
                <c:pt idx="4">
                  <c:v>44.50503767957471</c:v>
                </c:pt>
                <c:pt idx="5">
                  <c:v>45.17177981709644</c:v>
                </c:pt>
                <c:pt idx="6">
                  <c:v>46.50526409213987</c:v>
                </c:pt>
                <c:pt idx="7">
                  <c:v>46.32685952978334</c:v>
                </c:pt>
                <c:pt idx="8">
                  <c:v>47.69192353066094</c:v>
                </c:pt>
                <c:pt idx="9">
                  <c:v>49.05698753153853</c:v>
                </c:pt>
                <c:pt idx="10">
                  <c:v>49.9431888562147</c:v>
                </c:pt>
                <c:pt idx="11">
                  <c:v>51.3714123087606</c:v>
                </c:pt>
                <c:pt idx="12">
                  <c:v>54.22785921385242</c:v>
                </c:pt>
                <c:pt idx="13">
                  <c:v>57.08430611894423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98-1241-9436-F4835A44DC5A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27g'!$C$58:$P$58</c:f>
              <c:numCache>
                <c:formatCode>0</c:formatCode>
                <c:ptCount val="14"/>
                <c:pt idx="0">
                  <c:v>27.78682002314815</c:v>
                </c:pt>
                <c:pt idx="1">
                  <c:v>41.00292629665798</c:v>
                </c:pt>
                <c:pt idx="2">
                  <c:v>43.29135421520531</c:v>
                </c:pt>
                <c:pt idx="3">
                  <c:v>44.10452788674478</c:v>
                </c:pt>
                <c:pt idx="4">
                  <c:v>44.50503767957471</c:v>
                </c:pt>
                <c:pt idx="5">
                  <c:v>45.17177981709644</c:v>
                </c:pt>
                <c:pt idx="6">
                  <c:v>46.50526409213987</c:v>
                </c:pt>
                <c:pt idx="7">
                  <c:v>46.32685952978334</c:v>
                </c:pt>
                <c:pt idx="8">
                  <c:v>47.69192353066094</c:v>
                </c:pt>
                <c:pt idx="9">
                  <c:v>49.05698753153853</c:v>
                </c:pt>
                <c:pt idx="10">
                  <c:v>49.9431888562147</c:v>
                </c:pt>
                <c:pt idx="11">
                  <c:v>51.3714123087606</c:v>
                </c:pt>
                <c:pt idx="12">
                  <c:v>54.22785921385242</c:v>
                </c:pt>
                <c:pt idx="13">
                  <c:v>57.08430611894423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98-1241-9436-F4835A44DC5A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27g'!$C$34:$N$34</c:f>
              <c:numCache>
                <c:formatCode>0</c:formatCode>
                <c:ptCount val="12"/>
                <c:pt idx="0">
                  <c:v>22.60561342592593</c:v>
                </c:pt>
                <c:pt idx="1">
                  <c:v>33.35740831163194</c:v>
                </c:pt>
                <c:pt idx="2">
                  <c:v>37.20036259403935</c:v>
                </c:pt>
                <c:pt idx="3">
                  <c:v>44.2787452980324</c:v>
                </c:pt>
                <c:pt idx="4">
                  <c:v>45.16884132667824</c:v>
                </c:pt>
                <c:pt idx="5">
                  <c:v>50.83437319155092</c:v>
                </c:pt>
                <c:pt idx="6">
                  <c:v>52.65695077401621</c:v>
                </c:pt>
                <c:pt idx="7">
                  <c:v>52.12006745515046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98-1241-9436-F4835A44D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242640"/>
        <c:axId val="-14637120"/>
      </c:scatterChart>
      <c:valAx>
        <c:axId val="-2424264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7120"/>
        <c:crosses val="autoZero"/>
        <c:crossBetween val="midCat"/>
        <c:majorUnit val="4.0"/>
        <c:minorUnit val="4.0"/>
      </c:valAx>
      <c:valAx>
        <c:axId val="-14637120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242640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3g'!$C$53:$P$53</c:f>
              <c:numCache>
                <c:formatCode>0.00</c:formatCode>
                <c:ptCount val="14"/>
                <c:pt idx="0">
                  <c:v>1.271951219512195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0.871107876276616</c:v>
                </c:pt>
                <c:pt idx="7">
                  <c:v>0.848657955624123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B8-9440-9AE6-81632A0D87F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3g'!$C$59:$P$59</c:f>
              <c:numCache>
                <c:formatCode>0.00</c:formatCode>
                <c:ptCount val="14"/>
                <c:pt idx="0">
                  <c:v>1.271951219512195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0.871107876276616</c:v>
                </c:pt>
                <c:pt idx="7">
                  <c:v>0.848657955624123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B8-9440-9AE6-81632A0D87F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'1432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3g'!$C$40:$N$40</c:f>
              <c:numCache>
                <c:formatCode>0.000</c:formatCode>
                <c:ptCount val="12"/>
                <c:pt idx="0">
                  <c:v>1.271951219512195</c:v>
                </c:pt>
                <c:pt idx="1">
                  <c:v>1.0</c:v>
                </c:pt>
                <c:pt idx="2">
                  <c:v>0.845133191532462</c:v>
                </c:pt>
                <c:pt idx="3">
                  <c:v>0.761313868613138</c:v>
                </c:pt>
                <c:pt idx="4">
                  <c:v>0.698242677824268</c:v>
                </c:pt>
                <c:pt idx="5">
                  <c:v>0.675080906148867</c:v>
                </c:pt>
                <c:pt idx="6">
                  <c:v>0.625487256371814</c:v>
                </c:pt>
                <c:pt idx="7">
                  <c:v>0.547147540983607</c:v>
                </c:pt>
                <c:pt idx="8">
                  <c:v>0.461249309010503</c:v>
                </c:pt>
                <c:pt idx="9">
                  <c:v>0.37602523659306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3B8-9440-9AE6-81632A0D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616"/>
        <c:axId val="-24516016"/>
      </c:scatterChart>
      <c:valAx>
        <c:axId val="695361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516016"/>
        <c:crosses val="autoZero"/>
        <c:crossBetween val="midCat"/>
        <c:majorUnit val="4.0"/>
        <c:minorUnit val="1.0"/>
      </c:valAx>
      <c:valAx>
        <c:axId val="-2451601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695361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138.5192970337907</c:v>
                </c:pt>
                <c:pt idx="2">
                  <c:v>144.0128453663948</c:v>
                </c:pt>
                <c:pt idx="3">
                  <c:v>149.4857665932056</c:v>
                </c:pt>
                <c:pt idx="4">
                  <c:v>152.1757309475143</c:v>
                </c:pt>
                <c:pt idx="5">
                  <c:v>154.4555171789378</c:v>
                </c:pt>
                <c:pt idx="6">
                  <c:v>159.0150896417846</c:v>
                </c:pt>
                <c:pt idx="7">
                  <c:v>163.2215854642171</c:v>
                </c:pt>
                <c:pt idx="8">
                  <c:v>168.0310612790007</c:v>
                </c:pt>
                <c:pt idx="9">
                  <c:v>172.8405370937842</c:v>
                </c:pt>
                <c:pt idx="10">
                  <c:v>185.6589730742849</c:v>
                </c:pt>
                <c:pt idx="11">
                  <c:v>190.9682555929418</c:v>
                </c:pt>
                <c:pt idx="12">
                  <c:v>201.5868206302557</c:v>
                </c:pt>
                <c:pt idx="13">
                  <c:v>212.2053856675695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78-3F49-B3D7-7CB9FFC6B81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138.5192970337907</c:v>
                </c:pt>
                <c:pt idx="2">
                  <c:v>144.0128453663948</c:v>
                </c:pt>
                <c:pt idx="3">
                  <c:v>149.4857665932056</c:v>
                </c:pt>
                <c:pt idx="4">
                  <c:v>152.1757309475143</c:v>
                </c:pt>
                <c:pt idx="5">
                  <c:v>154.4555171789378</c:v>
                </c:pt>
                <c:pt idx="6">
                  <c:v>159.0150896417846</c:v>
                </c:pt>
                <c:pt idx="7">
                  <c:v>163.2215854642171</c:v>
                </c:pt>
                <c:pt idx="8">
                  <c:v>168.0310612790007</c:v>
                </c:pt>
                <c:pt idx="9">
                  <c:v>172.8405370937842</c:v>
                </c:pt>
                <c:pt idx="10">
                  <c:v>185.6589730742849</c:v>
                </c:pt>
                <c:pt idx="11">
                  <c:v>190.9682555929418</c:v>
                </c:pt>
                <c:pt idx="12">
                  <c:v>201.5868206302557</c:v>
                </c:pt>
                <c:pt idx="13">
                  <c:v>212.2053856675695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78-3F49-B3D7-7CB9FFC6B81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3g'!$C$34:$N$34</c:f>
              <c:numCache>
                <c:formatCode>0</c:formatCode>
                <c:ptCount val="12"/>
                <c:pt idx="0">
                  <c:v>83.41471354166665</c:v>
                </c:pt>
                <c:pt idx="1">
                  <c:v>106.0994466145833</c:v>
                </c:pt>
                <c:pt idx="2">
                  <c:v>125.5416870117187</c:v>
                </c:pt>
                <c:pt idx="3">
                  <c:v>139.3636067708333</c:v>
                </c:pt>
                <c:pt idx="4">
                  <c:v>151.9521077473958</c:v>
                </c:pt>
                <c:pt idx="5">
                  <c:v>157.16552734375</c:v>
                </c:pt>
                <c:pt idx="6">
                  <c:v>169.6268717447917</c:v>
                </c:pt>
                <c:pt idx="7">
                  <c:v>193.9137776692708</c:v>
                </c:pt>
                <c:pt idx="8">
                  <c:v>230.0262451171875</c:v>
                </c:pt>
                <c:pt idx="9">
                  <c:v>282.1604410807292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B78-3F49-B3D7-7CB9FFC6B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8384"/>
        <c:axId val="18760384"/>
      </c:scatterChart>
      <c:valAx>
        <c:axId val="1430838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18760384"/>
        <c:crosses val="autoZero"/>
        <c:crossBetween val="midCat"/>
        <c:majorUnit val="4.0"/>
        <c:minorUnit val="4.0"/>
      </c:valAx>
      <c:valAx>
        <c:axId val="18760384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14308384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'r438'!$C$51:$R$51</c:f>
              <c:numCache>
                <c:formatCode>0.00</c:formatCode>
                <c:ptCount val="16"/>
                <c:pt idx="0">
                  <c:v>1.029738485278939</c:v>
                </c:pt>
                <c:pt idx="1">
                  <c:v>1.0</c:v>
                </c:pt>
                <c:pt idx="2">
                  <c:v>0.965219418886389</c:v>
                </c:pt>
                <c:pt idx="3">
                  <c:v>0.935172983164046</c:v>
                </c:pt>
                <c:pt idx="4">
                  <c:v>0.928759782082658</c:v>
                </c:pt>
                <c:pt idx="5">
                  <c:v>0.915051150612803</c:v>
                </c:pt>
                <c:pt idx="6">
                  <c:v>0.88881312478878</c:v>
                </c:pt>
                <c:pt idx="7">
                  <c:v>0.881879465959518</c:v>
                </c:pt>
                <c:pt idx="8">
                  <c:v>0.856637835449049</c:v>
                </c:pt>
                <c:pt idx="9">
                  <c:v>0.832800956549597</c:v>
                </c:pt>
                <c:pt idx="10">
                  <c:v>0.800669278363892</c:v>
                </c:pt>
                <c:pt idx="11">
                  <c:v>0.778409142041003</c:v>
                </c:pt>
                <c:pt idx="12">
                  <c:v>0.737406520567238</c:v>
                </c:pt>
                <c:pt idx="13">
                  <c:v>0.689259364752639</c:v>
                </c:pt>
                <c:pt idx="14">
                  <c:v>0.652967633494582</c:v>
                </c:pt>
                <c:pt idx="15">
                  <c:v>0.620306493562066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07-7342-A91D-15BEF845F540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'r438'!$C$57:$R$57</c:f>
              <c:numCache>
                <c:formatCode>0.00</c:formatCode>
                <c:ptCount val="16"/>
                <c:pt idx="0">
                  <c:v>1.029738485278939</c:v>
                </c:pt>
                <c:pt idx="1">
                  <c:v>1.0</c:v>
                </c:pt>
                <c:pt idx="2">
                  <c:v>0.963436636758599</c:v>
                </c:pt>
                <c:pt idx="3">
                  <c:v>0.929961975544262</c:v>
                </c:pt>
                <c:pt idx="4">
                  <c:v>0.916534957167066</c:v>
                </c:pt>
                <c:pt idx="5">
                  <c:v>0.903021467224053</c:v>
                </c:pt>
                <c:pt idx="6">
                  <c:v>0.87715571101568</c:v>
                </c:pt>
                <c:pt idx="7">
                  <c:v>0.856568536991188</c:v>
                </c:pt>
                <c:pt idx="8">
                  <c:v>0.832149578229462</c:v>
                </c:pt>
                <c:pt idx="9">
                  <c:v>0.809084294860137</c:v>
                </c:pt>
                <c:pt idx="10">
                  <c:v>0.752256603342389</c:v>
                </c:pt>
                <c:pt idx="11">
                  <c:v>0.73163706022739</c:v>
                </c:pt>
                <c:pt idx="12">
                  <c:v>0.693612853905566</c:v>
                </c:pt>
                <c:pt idx="13">
                  <c:v>0.603973751506394</c:v>
                </c:pt>
                <c:pt idx="14">
                  <c:v>0.5735774438142</c:v>
                </c:pt>
                <c:pt idx="15">
                  <c:v>0.546094058974909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07-7342-A91D-15BEF845F540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'r438'!$C$4:$N$4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'r438'!$C$38:$N$38</c:f>
              <c:numCache>
                <c:formatCode>0.000</c:formatCode>
                <c:ptCount val="12"/>
                <c:pt idx="0">
                  <c:v>1.029738485278939</c:v>
                </c:pt>
                <c:pt idx="1">
                  <c:v>1.0</c:v>
                </c:pt>
                <c:pt idx="2">
                  <c:v>0.962620190194941</c:v>
                </c:pt>
                <c:pt idx="3">
                  <c:v>0.938157325888185</c:v>
                </c:pt>
                <c:pt idx="4">
                  <c:v>0.930969087045427</c:v>
                </c:pt>
                <c:pt idx="5">
                  <c:v>0.917529611616596</c:v>
                </c:pt>
                <c:pt idx="6">
                  <c:v>0.889392110615272</c:v>
                </c:pt>
                <c:pt idx="7">
                  <c:v>0.872971592329458</c:v>
                </c:pt>
                <c:pt idx="8">
                  <c:v>0.845649007668416</c:v>
                </c:pt>
                <c:pt idx="9">
                  <c:v>0.821080143528442</c:v>
                </c:pt>
                <c:pt idx="10">
                  <c:v>0.753170313921249</c:v>
                </c:pt>
                <c:pt idx="11">
                  <c:v>0.729159101362965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07-7342-A91D-15BEF845F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4352"/>
        <c:axId val="40762176"/>
      </c:scatterChart>
      <c:valAx>
        <c:axId val="4138435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40762176"/>
        <c:crosses val="autoZero"/>
        <c:crossBetween val="midCat"/>
        <c:majorUnit val="4.0"/>
        <c:minorUnit val="1.0"/>
      </c:valAx>
      <c:valAx>
        <c:axId val="4076217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4138435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27g'!$C$53:$P$53</c:f>
              <c:numCache>
                <c:formatCode>0.00</c:formatCode>
                <c:ptCount val="14"/>
                <c:pt idx="0">
                  <c:v>1.301046025104602</c:v>
                </c:pt>
                <c:pt idx="1">
                  <c:v>1.0</c:v>
                </c:pt>
                <c:pt idx="2">
                  <c:v>0.967134895292328</c:v>
                </c:pt>
                <c:pt idx="3">
                  <c:v>0.942207057897086</c:v>
                </c:pt>
                <c:pt idx="4">
                  <c:v>0.945919741395761</c:v>
                </c:pt>
                <c:pt idx="5">
                  <c:v>0.93195782639361</c:v>
                </c:pt>
                <c:pt idx="6">
                  <c:v>0.905235021335729</c:v>
                </c:pt>
                <c:pt idx="7">
                  <c:v>0.919947977409231</c:v>
                </c:pt>
                <c:pt idx="8">
                  <c:v>0.893616729397518</c:v>
                </c:pt>
                <c:pt idx="9">
                  <c:v>0.8687508725795</c:v>
                </c:pt>
                <c:pt idx="10">
                  <c:v>0.873487097567737</c:v>
                </c:pt>
                <c:pt idx="11">
                  <c:v>0.849202486688356</c:v>
                </c:pt>
                <c:pt idx="12">
                  <c:v>0.804470833068558</c:v>
                </c:pt>
                <c:pt idx="13">
                  <c:v>0.764215842203516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F7-C54C-889E-01AF6A1AC48D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27g'!$C$59:$P$59</c:f>
              <c:numCache>
                <c:formatCode>0.00</c:formatCode>
                <c:ptCount val="14"/>
                <c:pt idx="0">
                  <c:v>1.301046025104602</c:v>
                </c:pt>
                <c:pt idx="1">
                  <c:v>1.0</c:v>
                </c:pt>
                <c:pt idx="2">
                  <c:v>0.967134895292328</c:v>
                </c:pt>
                <c:pt idx="3">
                  <c:v>0.942207057897086</c:v>
                </c:pt>
                <c:pt idx="4">
                  <c:v>0.945919741395761</c:v>
                </c:pt>
                <c:pt idx="5">
                  <c:v>0.93195782639361</c:v>
                </c:pt>
                <c:pt idx="6">
                  <c:v>0.905235021335729</c:v>
                </c:pt>
                <c:pt idx="7">
                  <c:v>0.919947977409231</c:v>
                </c:pt>
                <c:pt idx="8">
                  <c:v>0.893616729397518</c:v>
                </c:pt>
                <c:pt idx="9">
                  <c:v>0.8687508725795</c:v>
                </c:pt>
                <c:pt idx="10">
                  <c:v>0.873487097567737</c:v>
                </c:pt>
                <c:pt idx="11">
                  <c:v>0.849202486688356</c:v>
                </c:pt>
                <c:pt idx="12">
                  <c:v>0.804470833068558</c:v>
                </c:pt>
                <c:pt idx="13">
                  <c:v>0.764215842203516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F7-C54C-889E-01AF6A1AC48D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27g'!$C$40:$N$40</c:f>
              <c:numCache>
                <c:formatCode>0.000</c:formatCode>
                <c:ptCount val="12"/>
                <c:pt idx="0">
                  <c:v>1.301046025104602</c:v>
                </c:pt>
                <c:pt idx="1">
                  <c:v>1.0</c:v>
                </c:pt>
                <c:pt idx="2">
                  <c:v>0.858385093167702</c:v>
                </c:pt>
                <c:pt idx="3">
                  <c:v>0.670078655317315</c:v>
                </c:pt>
                <c:pt idx="4">
                  <c:v>0.708314350797266</c:v>
                </c:pt>
                <c:pt idx="5">
                  <c:v>0.761106351731734</c:v>
                </c:pt>
                <c:pt idx="6">
                  <c:v>0.646734608985025</c:v>
                </c:pt>
                <c:pt idx="7">
                  <c:v>0.75574188844331</c:v>
                </c:pt>
                <c:pt idx="8">
                  <c:v>0.693002005794517</c:v>
                </c:pt>
                <c:pt idx="9">
                  <c:v>0.437957746478873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F7-C54C-889E-01AF6A1A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772656"/>
        <c:axId val="9977712"/>
      </c:scatterChart>
      <c:valAx>
        <c:axId val="-3677265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9977712"/>
        <c:crosses val="autoZero"/>
        <c:crossBetween val="midCat"/>
        <c:majorUnit val="4.0"/>
        <c:minorUnit val="1.0"/>
      </c:valAx>
      <c:valAx>
        <c:axId val="997771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677265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27g'!$C$52:$P$52</c:f>
              <c:numCache>
                <c:formatCode>0</c:formatCode>
                <c:ptCount val="14"/>
                <c:pt idx="0">
                  <c:v>82.470703125</c:v>
                </c:pt>
                <c:pt idx="1">
                  <c:v>107.298180488363</c:v>
                </c:pt>
                <c:pt idx="2">
                  <c:v>110.9443791250348</c:v>
                </c:pt>
                <c:pt idx="3">
                  <c:v>113.8796186985078</c:v>
                </c:pt>
                <c:pt idx="4">
                  <c:v>113.4326473935706</c:v>
                </c:pt>
                <c:pt idx="5">
                  <c:v>115.1320128975942</c:v>
                </c:pt>
                <c:pt idx="6">
                  <c:v>118.5307439056412</c:v>
                </c:pt>
                <c:pt idx="7">
                  <c:v>116.635052332565</c:v>
                </c:pt>
                <c:pt idx="8">
                  <c:v>120.0718126222906</c:v>
                </c:pt>
                <c:pt idx="9">
                  <c:v>123.5085729120163</c:v>
                </c:pt>
                <c:pt idx="10">
                  <c:v>122.8388842687424</c:v>
                </c:pt>
                <c:pt idx="11">
                  <c:v>126.3517031218253</c:v>
                </c:pt>
                <c:pt idx="12">
                  <c:v>133.3773408279911</c:v>
                </c:pt>
                <c:pt idx="13">
                  <c:v>140.4029785341569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97-BE45-9C48-3047D272119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27g'!$C$58:$P$58</c:f>
              <c:numCache>
                <c:formatCode>0</c:formatCode>
                <c:ptCount val="14"/>
                <c:pt idx="0">
                  <c:v>82.470703125</c:v>
                </c:pt>
                <c:pt idx="1">
                  <c:v>107.298180488363</c:v>
                </c:pt>
                <c:pt idx="2">
                  <c:v>110.9443791250348</c:v>
                </c:pt>
                <c:pt idx="3">
                  <c:v>113.8796186985078</c:v>
                </c:pt>
                <c:pt idx="4">
                  <c:v>113.4326473935706</c:v>
                </c:pt>
                <c:pt idx="5">
                  <c:v>115.1320128975942</c:v>
                </c:pt>
                <c:pt idx="6">
                  <c:v>118.5307439056412</c:v>
                </c:pt>
                <c:pt idx="7">
                  <c:v>116.635052332565</c:v>
                </c:pt>
                <c:pt idx="8">
                  <c:v>120.0718126222906</c:v>
                </c:pt>
                <c:pt idx="9">
                  <c:v>123.5085729120163</c:v>
                </c:pt>
                <c:pt idx="10">
                  <c:v>122.8388842687424</c:v>
                </c:pt>
                <c:pt idx="11">
                  <c:v>126.3517031218253</c:v>
                </c:pt>
                <c:pt idx="12">
                  <c:v>133.3773408279911</c:v>
                </c:pt>
                <c:pt idx="13">
                  <c:v>140.4029785341569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97-BE45-9C48-3047D272119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27g'!$C$34:$N$34</c:f>
              <c:numCache>
                <c:formatCode>0</c:formatCode>
                <c:ptCount val="12"/>
                <c:pt idx="0">
                  <c:v>67.5342701099537</c:v>
                </c:pt>
                <c:pt idx="1">
                  <c:v>87.8651936848958</c:v>
                </c:pt>
                <c:pt idx="2">
                  <c:v>102.3610432942708</c:v>
                </c:pt>
                <c:pt idx="3">
                  <c:v>131.1266863787616</c:v>
                </c:pt>
                <c:pt idx="4">
                  <c:v>124.0483036747685</c:v>
                </c:pt>
                <c:pt idx="5">
                  <c:v>115.4440420645254</c:v>
                </c:pt>
                <c:pt idx="6">
                  <c:v>135.8597366898148</c:v>
                </c:pt>
                <c:pt idx="7">
                  <c:v>116.2634955512153</c:v>
                </c:pt>
                <c:pt idx="8">
                  <c:v>126.789234302662</c:v>
                </c:pt>
                <c:pt idx="9">
                  <c:v>200.6248191550926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97-BE45-9C48-3047D2721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918688"/>
        <c:axId val="-24161504"/>
      </c:scatterChart>
      <c:valAx>
        <c:axId val="-2491868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161504"/>
        <c:crosses val="autoZero"/>
        <c:crossBetween val="midCat"/>
        <c:majorUnit val="4.0"/>
        <c:minorUnit val="4.0"/>
      </c:valAx>
      <c:valAx>
        <c:axId val="-24161504"/>
        <c:scaling>
          <c:orientation val="minMax"/>
          <c:max val="2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918688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607216204138866"/>
          <c:y val="0.47377784627455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1g'!$C$53:$P$53</c:f>
              <c:numCache>
                <c:formatCode>0.00</c:formatCode>
                <c:ptCount val="14"/>
                <c:pt idx="0">
                  <c:v>1.217611940298507</c:v>
                </c:pt>
                <c:pt idx="1">
                  <c:v>1.0</c:v>
                </c:pt>
                <c:pt idx="2">
                  <c:v>0.959463342784243</c:v>
                </c:pt>
                <c:pt idx="3">
                  <c:v>0.919290983299005</c:v>
                </c:pt>
                <c:pt idx="4">
                  <c:v>0.893704054447821</c:v>
                </c:pt>
                <c:pt idx="5">
                  <c:v>0.880512850692133</c:v>
                </c:pt>
                <c:pt idx="6">
                  <c:v>0.855265170385549</c:v>
                </c:pt>
                <c:pt idx="7">
                  <c:v>0.81670853397156</c:v>
                </c:pt>
                <c:pt idx="8">
                  <c:v>0.203465291828072</c:v>
                </c:pt>
                <c:pt idx="9">
                  <c:v>0.771256928602708</c:v>
                </c:pt>
                <c:pt idx="10">
                  <c:v>0.694368303547691</c:v>
                </c:pt>
                <c:pt idx="11">
                  <c:v>0.6750635375064</c:v>
                </c:pt>
                <c:pt idx="12">
                  <c:v>0.639504635119232</c:v>
                </c:pt>
                <c:pt idx="13">
                  <c:v>0.607504403182069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E0-8049-B320-9D5EBE49BAA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1g'!$C$59:$P$59</c:f>
              <c:numCache>
                <c:formatCode>0.00</c:formatCode>
                <c:ptCount val="14"/>
                <c:pt idx="0">
                  <c:v>1.217611940298507</c:v>
                </c:pt>
                <c:pt idx="1">
                  <c:v>1.0</c:v>
                </c:pt>
                <c:pt idx="2">
                  <c:v>0.959463342784243</c:v>
                </c:pt>
                <c:pt idx="3">
                  <c:v>0.919290983299005</c:v>
                </c:pt>
                <c:pt idx="4">
                  <c:v>0.893704054447821</c:v>
                </c:pt>
                <c:pt idx="5">
                  <c:v>0.880512850692133</c:v>
                </c:pt>
                <c:pt idx="6">
                  <c:v>0.855265170385549</c:v>
                </c:pt>
                <c:pt idx="7">
                  <c:v>0.81670853397156</c:v>
                </c:pt>
                <c:pt idx="8">
                  <c:v>0.203465291828072</c:v>
                </c:pt>
                <c:pt idx="9">
                  <c:v>0.771256928602708</c:v>
                </c:pt>
                <c:pt idx="10">
                  <c:v>0.694368303547691</c:v>
                </c:pt>
                <c:pt idx="11">
                  <c:v>0.6750635375064</c:v>
                </c:pt>
                <c:pt idx="12">
                  <c:v>0.639504635119232</c:v>
                </c:pt>
                <c:pt idx="13">
                  <c:v>0.607504403182069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E0-8049-B320-9D5EBE49BAA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1g'!$C$40:$N$40</c:f>
              <c:numCache>
                <c:formatCode>0.000</c:formatCode>
                <c:ptCount val="12"/>
                <c:pt idx="0">
                  <c:v>1.217611940298507</c:v>
                </c:pt>
                <c:pt idx="1">
                  <c:v>1.0</c:v>
                </c:pt>
                <c:pt idx="2">
                  <c:v>0.794352482960078</c:v>
                </c:pt>
                <c:pt idx="3">
                  <c:v>0.634074304368102</c:v>
                </c:pt>
                <c:pt idx="4">
                  <c:v>0.372851919561243</c:v>
                </c:pt>
                <c:pt idx="5">
                  <c:v>0.36681654676259</c:v>
                </c:pt>
                <c:pt idx="6">
                  <c:v>0.492038600723764</c:v>
                </c:pt>
                <c:pt idx="7">
                  <c:v>0.472982374768089</c:v>
                </c:pt>
                <c:pt idx="8">
                  <c:v>0.301255539143279</c:v>
                </c:pt>
                <c:pt idx="9">
                  <c:v>0.407492507492508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E0-8049-B320-9D5EBE49B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80720"/>
        <c:axId val="-24402144"/>
      </c:scatterChart>
      <c:valAx>
        <c:axId val="-1388072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402144"/>
        <c:crosses val="autoZero"/>
        <c:crossBetween val="midCat"/>
        <c:majorUnit val="4.0"/>
        <c:minorUnit val="1.0"/>
      </c:valAx>
      <c:valAx>
        <c:axId val="-2440214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388072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1g'!$C$52:$P$52</c:f>
              <c:numCache>
                <c:formatCode>0</c:formatCode>
                <c:ptCount val="14"/>
                <c:pt idx="0">
                  <c:v>226.708984375</c:v>
                </c:pt>
                <c:pt idx="1">
                  <c:v>276.0435663479478</c:v>
                </c:pt>
                <c:pt idx="2">
                  <c:v>287.7062145458352</c:v>
                </c:pt>
                <c:pt idx="3">
                  <c:v>300.2787706644598</c:v>
                </c:pt>
                <c:pt idx="4">
                  <c:v>308.8758129429127</c:v>
                </c:pt>
                <c:pt idx="5">
                  <c:v>313.5031659458027</c:v>
                </c:pt>
                <c:pt idx="6">
                  <c:v>322.7578719515829</c:v>
                </c:pt>
                <c:pt idx="7">
                  <c:v>337.9952025303072</c:v>
                </c:pt>
                <c:pt idx="8">
                  <c:v>452.2369456198696</c:v>
                </c:pt>
                <c:pt idx="9">
                  <c:v>357.9138884989441</c:v>
                </c:pt>
                <c:pt idx="10">
                  <c:v>397.5463236694073</c:v>
                </c:pt>
                <c:pt idx="11">
                  <c:v>408.9149406108023</c:v>
                </c:pt>
                <c:pt idx="12">
                  <c:v>431.6521744935923</c:v>
                </c:pt>
                <c:pt idx="13">
                  <c:v>454.3894083763824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1F-C04B-BB68-A420B91BD719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1g'!$C$58:$P$58</c:f>
              <c:numCache>
                <c:formatCode>0</c:formatCode>
                <c:ptCount val="14"/>
                <c:pt idx="0">
                  <c:v>226.708984375</c:v>
                </c:pt>
                <c:pt idx="1">
                  <c:v>276.0435663479478</c:v>
                </c:pt>
                <c:pt idx="2">
                  <c:v>287.7062145458352</c:v>
                </c:pt>
                <c:pt idx="3">
                  <c:v>300.2787706644598</c:v>
                </c:pt>
                <c:pt idx="4">
                  <c:v>308.8758129429127</c:v>
                </c:pt>
                <c:pt idx="5">
                  <c:v>313.5031659458027</c:v>
                </c:pt>
                <c:pt idx="6">
                  <c:v>322.7578719515829</c:v>
                </c:pt>
                <c:pt idx="7">
                  <c:v>337.9952025303072</c:v>
                </c:pt>
                <c:pt idx="8">
                  <c:v>452.2369456198696</c:v>
                </c:pt>
                <c:pt idx="9">
                  <c:v>357.9138884989441</c:v>
                </c:pt>
                <c:pt idx="10">
                  <c:v>397.5463236694073</c:v>
                </c:pt>
                <c:pt idx="11">
                  <c:v>408.9149406108023</c:v>
                </c:pt>
                <c:pt idx="12">
                  <c:v>431.6521744935923</c:v>
                </c:pt>
                <c:pt idx="13">
                  <c:v>454.3894083763824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1F-C04B-BB68-A420B91BD719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1g'!$C$34:$N$34</c:f>
              <c:numCache>
                <c:formatCode>0</c:formatCode>
                <c:ptCount val="12"/>
                <c:pt idx="0">
                  <c:v>127.7923583984375</c:v>
                </c:pt>
                <c:pt idx="1">
                  <c:v>155.6015014648437</c:v>
                </c:pt>
                <c:pt idx="2">
                  <c:v>195.8847045898437</c:v>
                </c:pt>
                <c:pt idx="3">
                  <c:v>245.3994750976562</c:v>
                </c:pt>
                <c:pt idx="4">
                  <c:v>417.3278808593749</c:v>
                </c:pt>
                <c:pt idx="5">
                  <c:v>424.1943359374999</c:v>
                </c:pt>
                <c:pt idx="6">
                  <c:v>316.2384033203125</c:v>
                </c:pt>
                <c:pt idx="7">
                  <c:v>328.9794921875</c:v>
                </c:pt>
                <c:pt idx="8">
                  <c:v>172.1700032552083</c:v>
                </c:pt>
                <c:pt idx="9">
                  <c:v>381.8511962890624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1F-C04B-BB68-A420B91B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288848"/>
        <c:axId val="34939440"/>
      </c:scatterChart>
      <c:valAx>
        <c:axId val="-2428884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4939440"/>
        <c:crosses val="autoZero"/>
        <c:crossBetween val="midCat"/>
        <c:majorUnit val="4.0"/>
        <c:minorUnit val="4.0"/>
      </c:valAx>
      <c:valAx>
        <c:axId val="34939440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288848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309760235450021"/>
          <c:y val="0.5058063160254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3g'!$C$53:$P$53</c:f>
              <c:numCache>
                <c:formatCode>0.00</c:formatCode>
                <c:ptCount val="14"/>
                <c:pt idx="0">
                  <c:v>1.212462908011869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DF-7F43-A8C3-AACBAAFEC5C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3g'!$C$59:$P$59</c:f>
              <c:numCache>
                <c:formatCode>0.00</c:formatCode>
                <c:ptCount val="14"/>
                <c:pt idx="0">
                  <c:v>1.212462908011869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DF-7F43-A8C3-AACBAAFEC5C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3g'!$C$40:$N$40</c:f>
              <c:numCache>
                <c:formatCode>0.000</c:formatCode>
                <c:ptCount val="12"/>
                <c:pt idx="0">
                  <c:v>1.212462908011869</c:v>
                </c:pt>
                <c:pt idx="1">
                  <c:v>1.0</c:v>
                </c:pt>
                <c:pt idx="2">
                  <c:v>0.834985184428323</c:v>
                </c:pt>
                <c:pt idx="3">
                  <c:v>0.674814203137903</c:v>
                </c:pt>
                <c:pt idx="4">
                  <c:v>0.723826395039858</c:v>
                </c:pt>
                <c:pt idx="5">
                  <c:v>0.562422573984859</c:v>
                </c:pt>
                <c:pt idx="6">
                  <c:v>0.397470817120623</c:v>
                </c:pt>
                <c:pt idx="7">
                  <c:v>0.574683544303797</c:v>
                </c:pt>
                <c:pt idx="8">
                  <c:v>0.493776435045317</c:v>
                </c:pt>
                <c:pt idx="9">
                  <c:v>0.452742382271468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DF-7F43-A8C3-AACBAAFE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604816"/>
        <c:axId val="14328448"/>
      </c:scatterChart>
      <c:valAx>
        <c:axId val="-2460481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14328448"/>
        <c:crosses val="autoZero"/>
        <c:crossBetween val="midCat"/>
        <c:majorUnit val="4.0"/>
        <c:minorUnit val="1.0"/>
      </c:valAx>
      <c:valAx>
        <c:axId val="1432844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60481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132.0408417563056</c:v>
                </c:pt>
                <c:pt idx="2">
                  <c:v>137.2774604917375</c:v>
                </c:pt>
                <c:pt idx="3">
                  <c:v>142.4944168373777</c:v>
                </c:pt>
                <c:pt idx="4">
                  <c:v>145.0585733501756</c:v>
                </c:pt>
                <c:pt idx="5">
                  <c:v>147.2317354977438</c:v>
                </c:pt>
                <c:pt idx="6">
                  <c:v>151.5780597928801</c:v>
                </c:pt>
                <c:pt idx="7">
                  <c:v>155.5878206069483</c:v>
                </c:pt>
                <c:pt idx="8">
                  <c:v>160.1723604406705</c:v>
                </c:pt>
                <c:pt idx="9">
                  <c:v>164.7569002743928</c:v>
                </c:pt>
                <c:pt idx="10">
                  <c:v>176.9758265403248</c:v>
                </c:pt>
                <c:pt idx="11">
                  <c:v>182.0367974512188</c:v>
                </c:pt>
                <c:pt idx="12">
                  <c:v>192.1587392730067</c:v>
                </c:pt>
                <c:pt idx="13">
                  <c:v>202.2806810947948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29-1949-8776-459D1FE8986E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132.0408417563056</c:v>
                </c:pt>
                <c:pt idx="2">
                  <c:v>137.2774604917375</c:v>
                </c:pt>
                <c:pt idx="3">
                  <c:v>142.4944168373777</c:v>
                </c:pt>
                <c:pt idx="4">
                  <c:v>145.0585733501756</c:v>
                </c:pt>
                <c:pt idx="5">
                  <c:v>147.2317354977438</c:v>
                </c:pt>
                <c:pt idx="6">
                  <c:v>151.5780597928801</c:v>
                </c:pt>
                <c:pt idx="7">
                  <c:v>155.5878206069483</c:v>
                </c:pt>
                <c:pt idx="8">
                  <c:v>160.1723604406705</c:v>
                </c:pt>
                <c:pt idx="9">
                  <c:v>164.7569002743928</c:v>
                </c:pt>
                <c:pt idx="10">
                  <c:v>176.9758265403248</c:v>
                </c:pt>
                <c:pt idx="11">
                  <c:v>182.0367974512188</c:v>
                </c:pt>
                <c:pt idx="12">
                  <c:v>192.1587392730067</c:v>
                </c:pt>
                <c:pt idx="13">
                  <c:v>202.2806810947948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29-1949-8776-459D1FE8986E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3g'!$C$34:$N$34</c:f>
              <c:numCache>
                <c:formatCode>0</c:formatCode>
                <c:ptCount val="12"/>
                <c:pt idx="0">
                  <c:v>85.70353190104167</c:v>
                </c:pt>
                <c:pt idx="1">
                  <c:v>103.912353515625</c:v>
                </c:pt>
                <c:pt idx="2">
                  <c:v>124.4481404622396</c:v>
                </c:pt>
                <c:pt idx="3">
                  <c:v>153.9866129557291</c:v>
                </c:pt>
                <c:pt idx="4">
                  <c:v>143.5597737630208</c:v>
                </c:pt>
                <c:pt idx="5">
                  <c:v>184.7585042317708</c:v>
                </c:pt>
                <c:pt idx="6">
                  <c:v>261.4339192708333</c:v>
                </c:pt>
                <c:pt idx="7">
                  <c:v>180.816650390625</c:v>
                </c:pt>
                <c:pt idx="8">
                  <c:v>210.4441324869792</c:v>
                </c:pt>
                <c:pt idx="9">
                  <c:v>229.5176188151042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D29-1949-8776-459D1FE89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735248"/>
        <c:axId val="10249040"/>
      </c:scatterChart>
      <c:valAx>
        <c:axId val="-2473524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10249040"/>
        <c:crosses val="autoZero"/>
        <c:crossBetween val="midCat"/>
        <c:majorUnit val="4.0"/>
        <c:minorUnit val="4.0"/>
      </c:valAx>
      <c:valAx>
        <c:axId val="10249040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735248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27g'!$C$53:$P$53</c:f>
              <c:numCache>
                <c:formatCode>0.00</c:formatCode>
                <c:ptCount val="14"/>
                <c:pt idx="0">
                  <c:v>1.154048140043764</c:v>
                </c:pt>
                <c:pt idx="1">
                  <c:v>1.0</c:v>
                </c:pt>
                <c:pt idx="2">
                  <c:v>0.966014844231896</c:v>
                </c:pt>
                <c:pt idx="3">
                  <c:v>0.939623357957445</c:v>
                </c:pt>
                <c:pt idx="4">
                  <c:v>0.94037545067991</c:v>
                </c:pt>
                <c:pt idx="5">
                  <c:v>0.92649537022707</c:v>
                </c:pt>
                <c:pt idx="6">
                  <c:v>0.899929194736688</c:v>
                </c:pt>
                <c:pt idx="7">
                  <c:v>0.910220939141295</c:v>
                </c:pt>
                <c:pt idx="8">
                  <c:v>0.884168103673924</c:v>
                </c:pt>
                <c:pt idx="9">
                  <c:v>0.85956516513691</c:v>
                </c:pt>
                <c:pt idx="10">
                  <c:v>0.856396383957479</c:v>
                </c:pt>
                <c:pt idx="11">
                  <c:v>0.832586927583335</c:v>
                </c:pt>
                <c:pt idx="12">
                  <c:v>0.788730496829975</c:v>
                </c:pt>
                <c:pt idx="13">
                  <c:v>0.74926313811448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CB-944E-BF79-DBCDB5398C41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27g'!$C$59:$P$59</c:f>
              <c:numCache>
                <c:formatCode>0.00</c:formatCode>
                <c:ptCount val="14"/>
                <c:pt idx="0">
                  <c:v>1.154048140043764</c:v>
                </c:pt>
                <c:pt idx="1">
                  <c:v>1.0</c:v>
                </c:pt>
                <c:pt idx="2">
                  <c:v>0.966014844231896</c:v>
                </c:pt>
                <c:pt idx="3">
                  <c:v>0.939623357957445</c:v>
                </c:pt>
                <c:pt idx="4">
                  <c:v>0.94037545067991</c:v>
                </c:pt>
                <c:pt idx="5">
                  <c:v>0.92649537022707</c:v>
                </c:pt>
                <c:pt idx="6">
                  <c:v>0.899929194736688</c:v>
                </c:pt>
                <c:pt idx="7">
                  <c:v>0.910220939141295</c:v>
                </c:pt>
                <c:pt idx="8">
                  <c:v>0.884168103673924</c:v>
                </c:pt>
                <c:pt idx="9">
                  <c:v>0.85956516513691</c:v>
                </c:pt>
                <c:pt idx="10">
                  <c:v>0.856396383957479</c:v>
                </c:pt>
                <c:pt idx="11">
                  <c:v>0.832586927583335</c:v>
                </c:pt>
                <c:pt idx="12">
                  <c:v>0.788730496829975</c:v>
                </c:pt>
                <c:pt idx="13">
                  <c:v>0.74926313811448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CB-944E-BF79-DBCDB5398C41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27g'!$C$40:$N$40</c:f>
              <c:numCache>
                <c:formatCode>0.000</c:formatCode>
                <c:ptCount val="12"/>
                <c:pt idx="0">
                  <c:v>1.154048140043764</c:v>
                </c:pt>
                <c:pt idx="1">
                  <c:v>1.0</c:v>
                </c:pt>
                <c:pt idx="2">
                  <c:v>0.779025110782865</c:v>
                </c:pt>
                <c:pt idx="3">
                  <c:v>0.614972014925373</c:v>
                </c:pt>
                <c:pt idx="4">
                  <c:v>0.637958146848917</c:v>
                </c:pt>
                <c:pt idx="5">
                  <c:v>0.691218872870249</c:v>
                </c:pt>
                <c:pt idx="6">
                  <c:v>0.576834736957235</c:v>
                </c:pt>
                <c:pt idx="7">
                  <c:v>0.632374100719424</c:v>
                </c:pt>
                <c:pt idx="8">
                  <c:v>0.571211957110365</c:v>
                </c:pt>
                <c:pt idx="9">
                  <c:v>0.537012524182873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CB-944E-BF79-DBCDB5398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6672"/>
        <c:axId val="-34538528"/>
      </c:scatterChart>
      <c:valAx>
        <c:axId val="1024667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4538528"/>
        <c:crosses val="autoZero"/>
        <c:crossBetween val="midCat"/>
        <c:majorUnit val="4.0"/>
        <c:minorUnit val="1.0"/>
      </c:valAx>
      <c:valAx>
        <c:axId val="-3453852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1024667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27g'!$C$52:$P$52</c:f>
              <c:numCache>
                <c:formatCode>0</c:formatCode>
                <c:ptCount val="14"/>
                <c:pt idx="0">
                  <c:v>56.54477719907408</c:v>
                </c:pt>
                <c:pt idx="1">
                  <c:v>65.25539495578046</c:v>
                </c:pt>
                <c:pt idx="2">
                  <c:v>67.55113065334595</c:v>
                </c:pt>
                <c:pt idx="3">
                  <c:v>69.44845975054596</c:v>
                </c:pt>
                <c:pt idx="4">
                  <c:v>69.39291631720022</c:v>
                </c:pt>
                <c:pt idx="5">
                  <c:v>70.43251056914328</c:v>
                </c:pt>
                <c:pt idx="6">
                  <c:v>72.51169907302944</c:v>
                </c:pt>
                <c:pt idx="7">
                  <c:v>71.69181915035107</c:v>
                </c:pt>
                <c:pt idx="8">
                  <c:v>73.80428527632827</c:v>
                </c:pt>
                <c:pt idx="9">
                  <c:v>75.91675140230545</c:v>
                </c:pt>
                <c:pt idx="10">
                  <c:v>76.19765353775763</c:v>
                </c:pt>
                <c:pt idx="11">
                  <c:v>78.37667490791694</c:v>
                </c:pt>
                <c:pt idx="12">
                  <c:v>82.7347176482355</c:v>
                </c:pt>
                <c:pt idx="13">
                  <c:v>87.09276038855407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B5-0445-9418-FE923F44834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27g'!$C$58:$P$58</c:f>
              <c:numCache>
                <c:formatCode>0</c:formatCode>
                <c:ptCount val="14"/>
                <c:pt idx="0">
                  <c:v>56.54477719907408</c:v>
                </c:pt>
                <c:pt idx="1">
                  <c:v>65.25539495578046</c:v>
                </c:pt>
                <c:pt idx="2">
                  <c:v>67.55113065334595</c:v>
                </c:pt>
                <c:pt idx="3">
                  <c:v>69.44845975054596</c:v>
                </c:pt>
                <c:pt idx="4">
                  <c:v>69.39291631720022</c:v>
                </c:pt>
                <c:pt idx="5">
                  <c:v>70.43251056914328</c:v>
                </c:pt>
                <c:pt idx="6">
                  <c:v>72.51169907302944</c:v>
                </c:pt>
                <c:pt idx="7">
                  <c:v>71.69181915035107</c:v>
                </c:pt>
                <c:pt idx="8">
                  <c:v>73.80428527632827</c:v>
                </c:pt>
                <c:pt idx="9">
                  <c:v>75.91675140230545</c:v>
                </c:pt>
                <c:pt idx="10">
                  <c:v>76.19765353775763</c:v>
                </c:pt>
                <c:pt idx="11">
                  <c:v>78.37667490791694</c:v>
                </c:pt>
                <c:pt idx="12">
                  <c:v>82.7347176482355</c:v>
                </c:pt>
                <c:pt idx="13">
                  <c:v>87.09276038855407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B5-0445-9418-FE923F44834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27g'!$C$34:$N$34</c:f>
              <c:numCache>
                <c:formatCode>0</c:formatCode>
                <c:ptCount val="12"/>
                <c:pt idx="0">
                  <c:v>64.56728334780092</c:v>
                </c:pt>
                <c:pt idx="1">
                  <c:v>74.51375325520832</c:v>
                </c:pt>
                <c:pt idx="2">
                  <c:v>95.65000180844908</c:v>
                </c:pt>
                <c:pt idx="3">
                  <c:v>121.166087962963</c:v>
                </c:pt>
                <c:pt idx="4">
                  <c:v>116.800378870081</c:v>
                </c:pt>
                <c:pt idx="5">
                  <c:v>107.8005190248843</c:v>
                </c:pt>
                <c:pt idx="6">
                  <c:v>129.1769522207755</c:v>
                </c:pt>
                <c:pt idx="7">
                  <c:v>117.8317599826389</c:v>
                </c:pt>
                <c:pt idx="8">
                  <c:v>130.4485179759838</c:v>
                </c:pt>
                <c:pt idx="9">
                  <c:v>138.7560809100116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B5-0445-9418-FE923F44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591856"/>
        <c:axId val="14486608"/>
      </c:scatterChart>
      <c:valAx>
        <c:axId val="-3359185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14486608"/>
        <c:crosses val="autoZero"/>
        <c:crossBetween val="midCat"/>
        <c:majorUnit val="4.0"/>
        <c:minorUnit val="4.0"/>
      </c:valAx>
      <c:valAx>
        <c:axId val="14486608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3591856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SA'!$C$53:$P$53</c:f>
              <c:numCache>
                <c:formatCode>0.00</c:formatCode>
                <c:ptCount val="14"/>
                <c:pt idx="0">
                  <c:v>1.23672131147541</c:v>
                </c:pt>
                <c:pt idx="1">
                  <c:v>1.0</c:v>
                </c:pt>
                <c:pt idx="2">
                  <c:v>0.986344544413197</c:v>
                </c:pt>
                <c:pt idx="3">
                  <c:v>0.965068005129408</c:v>
                </c:pt>
                <c:pt idx="4">
                  <c:v>0.930311876511048</c:v>
                </c:pt>
                <c:pt idx="5">
                  <c:v>0.928866731848507</c:v>
                </c:pt>
                <c:pt idx="6">
                  <c:v>0.925989870116107</c:v>
                </c:pt>
                <c:pt idx="7">
                  <c:v>0.866735155822005</c:v>
                </c:pt>
                <c:pt idx="8">
                  <c:v>0.864051245914292</c:v>
                </c:pt>
                <c:pt idx="9">
                  <c:v>0.861383906548167</c:v>
                </c:pt>
                <c:pt idx="10">
                  <c:v>0.762268157456902</c:v>
                </c:pt>
                <c:pt idx="11">
                  <c:v>0.7599152510193</c:v>
                </c:pt>
                <c:pt idx="12">
                  <c:v>0.755252747322124</c:v>
                </c:pt>
                <c:pt idx="13">
                  <c:v>0.750647108843933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18-4540-BC43-1D43CE5C741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SA'!$C$59:$P$59</c:f>
              <c:numCache>
                <c:formatCode>0.00</c:formatCode>
                <c:ptCount val="14"/>
                <c:pt idx="0">
                  <c:v>1.23672131147541</c:v>
                </c:pt>
                <c:pt idx="1">
                  <c:v>1.0</c:v>
                </c:pt>
                <c:pt idx="2">
                  <c:v>0.986344544413197</c:v>
                </c:pt>
                <c:pt idx="3">
                  <c:v>0.965068005129408</c:v>
                </c:pt>
                <c:pt idx="4">
                  <c:v>0.930311876511048</c:v>
                </c:pt>
                <c:pt idx="5">
                  <c:v>0.928866731848507</c:v>
                </c:pt>
                <c:pt idx="6">
                  <c:v>0.925989870116107</c:v>
                </c:pt>
                <c:pt idx="7">
                  <c:v>0.866735155822005</c:v>
                </c:pt>
                <c:pt idx="8">
                  <c:v>0.864051245914292</c:v>
                </c:pt>
                <c:pt idx="9">
                  <c:v>0.861383906548167</c:v>
                </c:pt>
                <c:pt idx="10">
                  <c:v>0.762268157456902</c:v>
                </c:pt>
                <c:pt idx="11">
                  <c:v>0.7599152510193</c:v>
                </c:pt>
                <c:pt idx="12">
                  <c:v>0.755252747322124</c:v>
                </c:pt>
                <c:pt idx="13">
                  <c:v>0.750647108843933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18-4540-BC43-1D43CE5C741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27g SA'!$C$4:$N$4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 SA'!$C$40:$N$40</c:f>
              <c:numCache>
                <c:formatCode>0.000</c:formatCode>
                <c:ptCount val="12"/>
                <c:pt idx="0">
                  <c:v>1.23672131147541</c:v>
                </c:pt>
                <c:pt idx="1">
                  <c:v>1.0</c:v>
                </c:pt>
                <c:pt idx="2">
                  <c:v>0.833591160220994</c:v>
                </c:pt>
                <c:pt idx="3">
                  <c:v>0.821696982899466</c:v>
                </c:pt>
                <c:pt idx="4">
                  <c:v>0.779902822288845</c:v>
                </c:pt>
                <c:pt idx="5">
                  <c:v>0.764026736884748</c:v>
                </c:pt>
                <c:pt idx="6">
                  <c:v>0.695940959409594</c:v>
                </c:pt>
                <c:pt idx="7">
                  <c:v>0.649784668389319</c:v>
                </c:pt>
                <c:pt idx="8">
                  <c:v>0.636087689713322</c:v>
                </c:pt>
                <c:pt idx="9">
                  <c:v>0.592150706436421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18-4540-BC43-1D43CE5C7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1184"/>
        <c:axId val="13708944"/>
      </c:scatterChart>
      <c:valAx>
        <c:axId val="1370118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13708944"/>
        <c:crosses val="autoZero"/>
        <c:crossBetween val="midCat"/>
        <c:majorUnit val="4.0"/>
        <c:minorUnit val="1.0"/>
      </c:valAx>
      <c:valAx>
        <c:axId val="1370894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1370118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SA'!$C$52:$P$52</c:f>
              <c:numCache>
                <c:formatCode>0</c:formatCode>
                <c:ptCount val="14"/>
                <c:pt idx="0">
                  <c:v>90.44777199074074</c:v>
                </c:pt>
                <c:pt idx="1">
                  <c:v>111.8586871964177</c:v>
                </c:pt>
                <c:pt idx="2">
                  <c:v>113.4073157599969</c:v>
                </c:pt>
                <c:pt idx="3">
                  <c:v>115.9075698312248</c:v>
                </c:pt>
                <c:pt idx="4">
                  <c:v>120.2378363865693</c:v>
                </c:pt>
                <c:pt idx="5">
                  <c:v>120.4249041989172</c:v>
                </c:pt>
                <c:pt idx="6">
                  <c:v>120.7990398236129</c:v>
                </c:pt>
                <c:pt idx="7">
                  <c:v>129.0575171031707</c:v>
                </c:pt>
                <c:pt idx="8">
                  <c:v>129.4583946558111</c:v>
                </c:pt>
                <c:pt idx="9">
                  <c:v>129.8592722084515</c:v>
                </c:pt>
                <c:pt idx="10">
                  <c:v>146.7445361611372</c:v>
                </c:pt>
                <c:pt idx="11">
                  <c:v>147.1988975696671</c:v>
                </c:pt>
                <c:pt idx="12">
                  <c:v>148.1076203867268</c:v>
                </c:pt>
                <c:pt idx="13">
                  <c:v>149.0163432037866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9B-F644-A32D-8E34C860E322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SA'!$C$58:$P$58</c:f>
              <c:numCache>
                <c:formatCode>0</c:formatCode>
                <c:ptCount val="14"/>
                <c:pt idx="0">
                  <c:v>90.44777199074074</c:v>
                </c:pt>
                <c:pt idx="1">
                  <c:v>111.8586871964177</c:v>
                </c:pt>
                <c:pt idx="2">
                  <c:v>113.4073157599969</c:v>
                </c:pt>
                <c:pt idx="3">
                  <c:v>115.9075698312248</c:v>
                </c:pt>
                <c:pt idx="4">
                  <c:v>120.2378363865693</c:v>
                </c:pt>
                <c:pt idx="5">
                  <c:v>120.4249041989172</c:v>
                </c:pt>
                <c:pt idx="6">
                  <c:v>120.7990398236129</c:v>
                </c:pt>
                <c:pt idx="7">
                  <c:v>129.0575171031707</c:v>
                </c:pt>
                <c:pt idx="8">
                  <c:v>129.4583946558111</c:v>
                </c:pt>
                <c:pt idx="9">
                  <c:v>129.8592722084515</c:v>
                </c:pt>
                <c:pt idx="10">
                  <c:v>146.7445361611372</c:v>
                </c:pt>
                <c:pt idx="11">
                  <c:v>147.1988975696671</c:v>
                </c:pt>
                <c:pt idx="12">
                  <c:v>148.1076203867268</c:v>
                </c:pt>
                <c:pt idx="13">
                  <c:v>149.0163432037866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9B-F644-A32D-8E34C860E322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27g SA'!$C$4:$N$4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 SA'!$C$34:$N$34</c:f>
              <c:numCache>
                <c:formatCode>0</c:formatCode>
                <c:ptCount val="12"/>
                <c:pt idx="0">
                  <c:v>86.1839011863426</c:v>
                </c:pt>
                <c:pt idx="1">
                  <c:v>106.5854673032407</c:v>
                </c:pt>
                <c:pt idx="2">
                  <c:v>127.8630009403935</c:v>
                </c:pt>
                <c:pt idx="3">
                  <c:v>129.7138355396412</c:v>
                </c:pt>
                <c:pt idx="4">
                  <c:v>136.6650616681134</c:v>
                </c:pt>
                <c:pt idx="5">
                  <c:v>139.5048918547454</c:v>
                </c:pt>
                <c:pt idx="6">
                  <c:v>153.1530309606482</c:v>
                </c:pt>
                <c:pt idx="7">
                  <c:v>164.031982421875</c:v>
                </c:pt>
                <c:pt idx="8">
                  <c:v>167.564109519676</c:v>
                </c:pt>
                <c:pt idx="9">
                  <c:v>179.9971969039352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9B-F644-A32D-8E34C860E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032800"/>
        <c:axId val="-33789392"/>
      </c:scatterChart>
      <c:valAx>
        <c:axId val="-3403280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3789392"/>
        <c:crosses val="autoZero"/>
        <c:crossBetween val="midCat"/>
        <c:majorUnit val="4.0"/>
        <c:minorUnit val="4.0"/>
      </c:valAx>
      <c:valAx>
        <c:axId val="-33789392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4032800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'r438'!$C$50:$R$50</c:f>
              <c:numCache>
                <c:formatCode>0</c:formatCode>
                <c:ptCount val="16"/>
                <c:pt idx="0">
                  <c:v>3314.6484375</c:v>
                </c:pt>
                <c:pt idx="1">
                  <c:v>3413.221061263452</c:v>
                </c:pt>
                <c:pt idx="2">
                  <c:v>3536.21259008798</c:v>
                </c:pt>
                <c:pt idx="3">
                  <c:v>3649.828558685714</c:v>
                </c:pt>
                <c:pt idx="4">
                  <c:v>3675.031075968447</c:v>
                </c:pt>
                <c:pt idx="5">
                  <c:v>3730.087721301308</c:v>
                </c:pt>
                <c:pt idx="6">
                  <c:v>3840.201011967029</c:v>
                </c:pt>
                <c:pt idx="7">
                  <c:v>3870.39407653033</c:v>
                </c:pt>
                <c:pt idx="8">
                  <c:v>3984.438837533065</c:v>
                </c:pt>
                <c:pt idx="9">
                  <c:v>4098.483598535801</c:v>
                </c:pt>
                <c:pt idx="10">
                  <c:v>4262.959943009323</c:v>
                </c:pt>
                <c:pt idx="11">
                  <c:v>4384.867644686086</c:v>
                </c:pt>
                <c:pt idx="12">
                  <c:v>4628.683048039614</c:v>
                </c:pt>
                <c:pt idx="13">
                  <c:v>4952.01260339551</c:v>
                </c:pt>
                <c:pt idx="14">
                  <c:v>5227.243872711456</c:v>
                </c:pt>
                <c:pt idx="15">
                  <c:v>5502.475142027402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FA-9145-A07E-32FAC6807113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'r438'!$C$56:$R$56</c:f>
              <c:numCache>
                <c:formatCode>0</c:formatCode>
                <c:ptCount val="16"/>
                <c:pt idx="0">
                  <c:v>3314.7109375</c:v>
                </c:pt>
                <c:pt idx="1">
                  <c:v>3413.285419918781</c:v>
                </c:pt>
                <c:pt idx="2">
                  <c:v>3542.822942048881</c:v>
                </c:pt>
                <c:pt idx="3">
                  <c:v>3670.349444041674</c:v>
                </c:pt>
                <c:pt idx="4">
                  <c:v>3724.11918741099</c:v>
                </c:pt>
                <c:pt idx="5">
                  <c:v>3779.849697716981</c:v>
                </c:pt>
                <c:pt idx="6">
                  <c:v>3891.310718328966</c:v>
                </c:pt>
                <c:pt idx="7">
                  <c:v>3984.836323673998</c:v>
                </c:pt>
                <c:pt idx="8">
                  <c:v>4101.769092019634</c:v>
                </c:pt>
                <c:pt idx="9">
                  <c:v>4218.70186036527</c:v>
                </c:pt>
                <c:pt idx="10">
                  <c:v>4537.395091984626</c:v>
                </c:pt>
                <c:pt idx="11">
                  <c:v>4665.271355797563</c:v>
                </c:pt>
                <c:pt idx="12">
                  <c:v>4921.023883423436</c:v>
                </c:pt>
                <c:pt idx="13">
                  <c:v>5651.380397584459</c:v>
                </c:pt>
                <c:pt idx="14">
                  <c:v>5950.871075440082</c:v>
                </c:pt>
                <c:pt idx="15">
                  <c:v>6250.361753295703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FA-9145-A07E-32FAC6807113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'r438'!$C$4:$N$4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'r438'!$C$34:$N$34</c:f>
              <c:numCache>
                <c:formatCode>0</c:formatCode>
                <c:ptCount val="12"/>
                <c:pt idx="0">
                  <c:v>3312.15236497962</c:v>
                </c:pt>
                <c:pt idx="1">
                  <c:v>3410.650759327169</c:v>
                </c:pt>
                <c:pt idx="2">
                  <c:v>3543.0908203125</c:v>
                </c:pt>
                <c:pt idx="3">
                  <c:v>3635.478469560731</c:v>
                </c:pt>
                <c:pt idx="4">
                  <c:v>3663.548883402123</c:v>
                </c:pt>
                <c:pt idx="5">
                  <c:v>3717.210557725694</c:v>
                </c:pt>
                <c:pt idx="6">
                  <c:v>3834.81112393466</c:v>
                </c:pt>
                <c:pt idx="7">
                  <c:v>3906.943581321022</c:v>
                </c:pt>
                <c:pt idx="8">
                  <c:v>4033.17538174716</c:v>
                </c:pt>
                <c:pt idx="9">
                  <c:v>4153.858531605113</c:v>
                </c:pt>
                <c:pt idx="10">
                  <c:v>4528.392444957386</c:v>
                </c:pt>
                <c:pt idx="11">
                  <c:v>4677.512428977272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FA-9145-A07E-32FAC6807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7216"/>
        <c:axId val="39854272"/>
      </c:scatterChart>
      <c:valAx>
        <c:axId val="3984721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9854272"/>
        <c:crosses val="autoZero"/>
        <c:crossBetween val="midCat"/>
        <c:majorUnit val="4.0"/>
        <c:minorUnit val="4.0"/>
      </c:valAx>
      <c:valAx>
        <c:axId val="39854272"/>
        <c:scaling>
          <c:orientation val="minMax"/>
          <c:max val="60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9847216"/>
        <c:crosses val="autoZero"/>
        <c:crossBetween val="midCat"/>
        <c:minorUnit val="500.0"/>
        <c:dispUnits>
          <c:builtInUnit val="thousands"/>
          <c:dispUnitsLbl/>
        </c:dispUnits>
      </c:valAx>
    </c:plotArea>
    <c:legend>
      <c:legendPos val="r"/>
      <c:layout>
        <c:manualLayout>
          <c:xMode val="edge"/>
          <c:yMode val="edge"/>
          <c:x val="0.0984099419079464"/>
          <c:y val="0.114347241292347"/>
          <c:w val="0.308666348213323"/>
          <c:h val="0.2512365847507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99g'!$C$53:$P$53</c:f>
              <c:numCache>
                <c:formatCode>0.00</c:formatCode>
                <c:ptCount val="14"/>
                <c:pt idx="0">
                  <c:v>1.157668711656441</c:v>
                </c:pt>
                <c:pt idx="1">
                  <c:v>1.0</c:v>
                </c:pt>
                <c:pt idx="2">
                  <c:v>0.966796364989423</c:v>
                </c:pt>
                <c:pt idx="3">
                  <c:v>0.942090082127141</c:v>
                </c:pt>
                <c:pt idx="4">
                  <c:v>0.946225299941957</c:v>
                </c:pt>
                <c:pt idx="5">
                  <c:v>0.932258874850563</c:v>
                </c:pt>
                <c:pt idx="6">
                  <c:v>0.905527437578862</c:v>
                </c:pt>
                <c:pt idx="7">
                  <c:v>0.922728397752297</c:v>
                </c:pt>
                <c:pt idx="8">
                  <c:v>0.896317567047401</c:v>
                </c:pt>
                <c:pt idx="9">
                  <c:v>0.871376556486082</c:v>
                </c:pt>
                <c:pt idx="10">
                  <c:v>0.880725943261982</c:v>
                </c:pt>
                <c:pt idx="11">
                  <c:v>0.856240078636106</c:v>
                </c:pt>
                <c:pt idx="12">
                  <c:v>0.811137720584492</c:v>
                </c:pt>
                <c:pt idx="13">
                  <c:v>0.770549124714744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ED-7A48-AA1B-D9B0FE5EE44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99g'!$C$59:$P$59</c:f>
              <c:numCache>
                <c:formatCode>0.00</c:formatCode>
                <c:ptCount val="14"/>
                <c:pt idx="0">
                  <c:v>1.157668711656441</c:v>
                </c:pt>
                <c:pt idx="1">
                  <c:v>1.0</c:v>
                </c:pt>
                <c:pt idx="2">
                  <c:v>0.966796364989423</c:v>
                </c:pt>
                <c:pt idx="3">
                  <c:v>0.942090082127141</c:v>
                </c:pt>
                <c:pt idx="4">
                  <c:v>0.946225299941957</c:v>
                </c:pt>
                <c:pt idx="5">
                  <c:v>0.932258874850563</c:v>
                </c:pt>
                <c:pt idx="6">
                  <c:v>0.905527437578862</c:v>
                </c:pt>
                <c:pt idx="7">
                  <c:v>0.922728397752297</c:v>
                </c:pt>
                <c:pt idx="8">
                  <c:v>0.896317567047401</c:v>
                </c:pt>
                <c:pt idx="9">
                  <c:v>0.871376556486082</c:v>
                </c:pt>
                <c:pt idx="10">
                  <c:v>0.880725943261982</c:v>
                </c:pt>
                <c:pt idx="11">
                  <c:v>0.856240078636106</c:v>
                </c:pt>
                <c:pt idx="12">
                  <c:v>0.811137720584492</c:v>
                </c:pt>
                <c:pt idx="13">
                  <c:v>0.770549124714744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ED-7A48-AA1B-D9B0FE5EE44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99g'!$C$40:$N$40</c:f>
              <c:numCache>
                <c:formatCode>0.000</c:formatCode>
                <c:ptCount val="12"/>
                <c:pt idx="0">
                  <c:v>1.157668711656441</c:v>
                </c:pt>
                <c:pt idx="1">
                  <c:v>1.0</c:v>
                </c:pt>
                <c:pt idx="2">
                  <c:v>0.840909090909091</c:v>
                </c:pt>
                <c:pt idx="3">
                  <c:v>0.691208791208791</c:v>
                </c:pt>
                <c:pt idx="4">
                  <c:v>0.668201133144476</c:v>
                </c:pt>
                <c:pt idx="5">
                  <c:v>0.600381800827235</c:v>
                </c:pt>
                <c:pt idx="6">
                  <c:v>0.553210202286719</c:v>
                </c:pt>
                <c:pt idx="7">
                  <c:v>0.563451776649746</c:v>
                </c:pt>
                <c:pt idx="8">
                  <c:v>0.533653846153846</c:v>
                </c:pt>
                <c:pt idx="9">
                  <c:v>0.500397772474145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3ED-7A48-AA1B-D9B0FE5EE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525664"/>
        <c:axId val="-13820384"/>
      </c:scatterChart>
      <c:valAx>
        <c:axId val="-3452566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3820384"/>
        <c:crosses val="autoZero"/>
        <c:crossBetween val="midCat"/>
        <c:majorUnit val="4.0"/>
        <c:minorUnit val="1.0"/>
      </c:valAx>
      <c:valAx>
        <c:axId val="-1382038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452566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99g'!$C$52:$P$52</c:f>
              <c:numCache>
                <c:formatCode>0</c:formatCode>
                <c:ptCount val="14"/>
                <c:pt idx="0">
                  <c:v>51.78493923611111</c:v>
                </c:pt>
                <c:pt idx="1">
                  <c:v>59.94980388867584</c:v>
                </c:pt>
                <c:pt idx="2">
                  <c:v>62.00871875364543</c:v>
                </c:pt>
                <c:pt idx="3">
                  <c:v>63.63489545852713</c:v>
                </c:pt>
                <c:pt idx="4">
                  <c:v>63.35679662375679</c:v>
                </c:pt>
                <c:pt idx="5">
                  <c:v>64.30596211624751</c:v>
                </c:pt>
                <c:pt idx="6">
                  <c:v>66.204293101229</c:v>
                </c:pt>
                <c:pt idx="7">
                  <c:v>64.97015160117481</c:v>
                </c:pt>
                <c:pt idx="8">
                  <c:v>66.88455754154091</c:v>
                </c:pt>
                <c:pt idx="9">
                  <c:v>68.798963481907</c:v>
                </c:pt>
                <c:pt idx="10">
                  <c:v>68.06862491939</c:v>
                </c:pt>
                <c:pt idx="11">
                  <c:v>70.01518077052539</c:v>
                </c:pt>
                <c:pt idx="12">
                  <c:v>73.90829247279612</c:v>
                </c:pt>
                <c:pt idx="13">
                  <c:v>77.80140417506688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E-F743-931D-A54DE4D20561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99g'!$C$58:$P$58</c:f>
              <c:numCache>
                <c:formatCode>0</c:formatCode>
                <c:ptCount val="14"/>
                <c:pt idx="0">
                  <c:v>51.78493923611111</c:v>
                </c:pt>
                <c:pt idx="1">
                  <c:v>59.94980388867584</c:v>
                </c:pt>
                <c:pt idx="2">
                  <c:v>62.00871875364543</c:v>
                </c:pt>
                <c:pt idx="3">
                  <c:v>63.63489545852713</c:v>
                </c:pt>
                <c:pt idx="4">
                  <c:v>63.35679662375679</c:v>
                </c:pt>
                <c:pt idx="5">
                  <c:v>64.30596211624751</c:v>
                </c:pt>
                <c:pt idx="6">
                  <c:v>66.204293101229</c:v>
                </c:pt>
                <c:pt idx="7">
                  <c:v>64.97015160117481</c:v>
                </c:pt>
                <c:pt idx="8">
                  <c:v>66.88455754154091</c:v>
                </c:pt>
                <c:pt idx="9">
                  <c:v>68.798963481907</c:v>
                </c:pt>
                <c:pt idx="10">
                  <c:v>68.06862491939</c:v>
                </c:pt>
                <c:pt idx="11">
                  <c:v>70.01518077052539</c:v>
                </c:pt>
                <c:pt idx="12">
                  <c:v>73.90829247279612</c:v>
                </c:pt>
                <c:pt idx="13">
                  <c:v>77.80140417506688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9E-F743-931D-A54DE4D20561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99g'!$C$34:$N$34</c:f>
              <c:numCache>
                <c:formatCode>0</c:formatCode>
                <c:ptCount val="12"/>
                <c:pt idx="0">
                  <c:v>62.8076418481692</c:v>
                </c:pt>
                <c:pt idx="1">
                  <c:v>72.71044182054922</c:v>
                </c:pt>
                <c:pt idx="2">
                  <c:v>86.46647135416667</c:v>
                </c:pt>
                <c:pt idx="3">
                  <c:v>105.1931670217803</c:v>
                </c:pt>
                <c:pt idx="4">
                  <c:v>108.8152028093434</c:v>
                </c:pt>
                <c:pt idx="5">
                  <c:v>121.1070051096907</c:v>
                </c:pt>
                <c:pt idx="6">
                  <c:v>131.4336603338068</c:v>
                </c:pt>
                <c:pt idx="7">
                  <c:v>129.0446580058396</c:v>
                </c:pt>
                <c:pt idx="8">
                  <c:v>136.2501972853535</c:v>
                </c:pt>
                <c:pt idx="9">
                  <c:v>145.3052867542614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9E-F743-931D-A54DE4D2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656"/>
        <c:axId val="10049712"/>
      </c:scatterChart>
      <c:valAx>
        <c:axId val="1004265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10049712"/>
        <c:crosses val="autoZero"/>
        <c:crossBetween val="midCat"/>
        <c:majorUnit val="4.0"/>
        <c:minorUnit val="4.0"/>
      </c:valAx>
      <c:valAx>
        <c:axId val="10049712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10042656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1g'!$C$53:$P$53</c:f>
              <c:numCache>
                <c:formatCode>0.00</c:formatCode>
                <c:ptCount val="14"/>
                <c:pt idx="0">
                  <c:v>1.563125</c:v>
                </c:pt>
                <c:pt idx="1">
                  <c:v>1.0</c:v>
                </c:pt>
                <c:pt idx="2">
                  <c:v>0.955386918085567</c:v>
                </c:pt>
                <c:pt idx="3">
                  <c:v>0.90921937630415</c:v>
                </c:pt>
                <c:pt idx="4">
                  <c:v>0.872835701947785</c:v>
                </c:pt>
                <c:pt idx="5">
                  <c:v>0.859952518155198</c:v>
                </c:pt>
                <c:pt idx="6">
                  <c:v>0.835294381433901</c:v>
                </c:pt>
                <c:pt idx="7">
                  <c:v>0.78210761926203</c:v>
                </c:pt>
                <c:pt idx="8">
                  <c:v>0.759721712449521</c:v>
                </c:pt>
                <c:pt idx="9">
                  <c:v>0.738581630016143</c:v>
                </c:pt>
                <c:pt idx="10">
                  <c:v>0.64451906788172</c:v>
                </c:pt>
                <c:pt idx="11">
                  <c:v>0.626600205872845</c:v>
                </c:pt>
                <c:pt idx="12">
                  <c:v>0.593594104493535</c:v>
                </c:pt>
                <c:pt idx="13">
                  <c:v>0.563891193869933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51-244B-98A2-3EF94887B00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1g'!$C$59:$P$59</c:f>
              <c:numCache>
                <c:formatCode>0.00</c:formatCode>
                <c:ptCount val="14"/>
                <c:pt idx="0">
                  <c:v>1.563125</c:v>
                </c:pt>
                <c:pt idx="1">
                  <c:v>1.0</c:v>
                </c:pt>
                <c:pt idx="2">
                  <c:v>0.955386918085567</c:v>
                </c:pt>
                <c:pt idx="3">
                  <c:v>0.90921937630415</c:v>
                </c:pt>
                <c:pt idx="4">
                  <c:v>0.872835701947785</c:v>
                </c:pt>
                <c:pt idx="5">
                  <c:v>0.859952518155198</c:v>
                </c:pt>
                <c:pt idx="6">
                  <c:v>0.835294381433901</c:v>
                </c:pt>
                <c:pt idx="7">
                  <c:v>0.78210761926203</c:v>
                </c:pt>
                <c:pt idx="8">
                  <c:v>0.759721712449521</c:v>
                </c:pt>
                <c:pt idx="9">
                  <c:v>0.738581630016143</c:v>
                </c:pt>
                <c:pt idx="10">
                  <c:v>0.64451906788172</c:v>
                </c:pt>
                <c:pt idx="11">
                  <c:v>0.626600205872845</c:v>
                </c:pt>
                <c:pt idx="12">
                  <c:v>0.593594104493535</c:v>
                </c:pt>
                <c:pt idx="13">
                  <c:v>0.563891193869933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51-244B-98A2-3EF94887B00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1g'!$C$40:$N$40</c:f>
              <c:numCache>
                <c:formatCode>0.000</c:formatCode>
                <c:ptCount val="12"/>
                <c:pt idx="0">
                  <c:v>1.563125</c:v>
                </c:pt>
                <c:pt idx="1">
                  <c:v>1.0</c:v>
                </c:pt>
                <c:pt idx="2">
                  <c:v>0.819462647444299</c:v>
                </c:pt>
                <c:pt idx="3">
                  <c:v>0.630292338709677</c:v>
                </c:pt>
                <c:pt idx="4">
                  <c:v>0.556519804183356</c:v>
                </c:pt>
                <c:pt idx="5">
                  <c:v>0.544524276072284</c:v>
                </c:pt>
                <c:pt idx="6">
                  <c:v>0.487524366471735</c:v>
                </c:pt>
                <c:pt idx="7">
                  <c:v>1.493134328358209</c:v>
                </c:pt>
                <c:pt idx="8">
                  <c:v>0.331346051934287</c:v>
                </c:pt>
                <c:pt idx="9">
                  <c:v>0.221916592724046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51-244B-98A2-3EF94887B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255952"/>
        <c:axId val="-24330176"/>
      </c:scatterChart>
      <c:valAx>
        <c:axId val="-2425595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330176"/>
        <c:crosses val="autoZero"/>
        <c:crossBetween val="midCat"/>
        <c:majorUnit val="4.0"/>
        <c:minorUnit val="1.0"/>
      </c:valAx>
      <c:valAx>
        <c:axId val="-2433017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25595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1g'!$C$52:$P$52</c:f>
              <c:numCache>
                <c:formatCode>0</c:formatCode>
                <c:ptCount val="14"/>
                <c:pt idx="0">
                  <c:v>125.48828125</c:v>
                </c:pt>
                <c:pt idx="1">
                  <c:v>196.1538696289063</c:v>
                </c:pt>
                <c:pt idx="2">
                  <c:v>205.3135393793807</c:v>
                </c:pt>
                <c:pt idx="3">
                  <c:v>215.7387696974128</c:v>
                </c:pt>
                <c:pt idx="4">
                  <c:v>224.7317212061529</c:v>
                </c:pt>
                <c:pt idx="5">
                  <c:v>228.0984885650465</c:v>
                </c:pt>
                <c:pt idx="6">
                  <c:v>234.8320232828339</c:v>
                </c:pt>
                <c:pt idx="7">
                  <c:v>250.8016349642398</c:v>
                </c:pt>
                <c:pt idx="8">
                  <c:v>258.1917383886004</c:v>
                </c:pt>
                <c:pt idx="9">
                  <c:v>265.5818418129611</c:v>
                </c:pt>
                <c:pt idx="10">
                  <c:v>304.3414530365823</c:v>
                </c:pt>
                <c:pt idx="11">
                  <c:v>313.0446938740895</c:v>
                </c:pt>
                <c:pt idx="12">
                  <c:v>330.4511755491041</c:v>
                </c:pt>
                <c:pt idx="13">
                  <c:v>347.8576572241185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2C-E145-AD91-C451F2152F6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1g'!$C$58:$P$58</c:f>
              <c:numCache>
                <c:formatCode>0</c:formatCode>
                <c:ptCount val="14"/>
                <c:pt idx="0">
                  <c:v>125.48828125</c:v>
                </c:pt>
                <c:pt idx="1">
                  <c:v>196.1538696289063</c:v>
                </c:pt>
                <c:pt idx="2">
                  <c:v>205.3135393793807</c:v>
                </c:pt>
                <c:pt idx="3">
                  <c:v>215.7387696974128</c:v>
                </c:pt>
                <c:pt idx="4">
                  <c:v>224.7317212061529</c:v>
                </c:pt>
                <c:pt idx="5">
                  <c:v>228.0984885650465</c:v>
                </c:pt>
                <c:pt idx="6">
                  <c:v>234.8320232828339</c:v>
                </c:pt>
                <c:pt idx="7">
                  <c:v>250.8016349642398</c:v>
                </c:pt>
                <c:pt idx="8">
                  <c:v>258.1917383886004</c:v>
                </c:pt>
                <c:pt idx="9">
                  <c:v>265.5818418129611</c:v>
                </c:pt>
                <c:pt idx="10">
                  <c:v>304.3414530365823</c:v>
                </c:pt>
                <c:pt idx="11">
                  <c:v>313.0446938740895</c:v>
                </c:pt>
                <c:pt idx="12">
                  <c:v>330.4511755491041</c:v>
                </c:pt>
                <c:pt idx="13">
                  <c:v>347.8576572241185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2C-E145-AD91-C451F2152F6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1g'!$C$34:$N$34</c:f>
              <c:numCache>
                <c:formatCode>0</c:formatCode>
                <c:ptCount val="12"/>
                <c:pt idx="0">
                  <c:v>122.0703125</c:v>
                </c:pt>
                <c:pt idx="1">
                  <c:v>190.8111572265625</c:v>
                </c:pt>
                <c:pt idx="2">
                  <c:v>232.84912109375</c:v>
                </c:pt>
                <c:pt idx="3">
                  <c:v>302.734375</c:v>
                </c:pt>
                <c:pt idx="4">
                  <c:v>342.864990234375</c:v>
                </c:pt>
                <c:pt idx="5">
                  <c:v>350.4180908203125</c:v>
                </c:pt>
                <c:pt idx="6">
                  <c:v>391.387939453125</c:v>
                </c:pt>
                <c:pt idx="7">
                  <c:v>127.7923583984375</c:v>
                </c:pt>
                <c:pt idx="8">
                  <c:v>575.86669921875</c:v>
                </c:pt>
                <c:pt idx="9">
                  <c:v>859.832763671875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2C-E145-AD91-C451F2152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3136"/>
        <c:axId val="-14110528"/>
      </c:scatterChart>
      <c:valAx>
        <c:axId val="1384313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10528"/>
        <c:crosses val="autoZero"/>
        <c:crossBetween val="midCat"/>
        <c:majorUnit val="4.0"/>
        <c:minorUnit val="4.0"/>
      </c:valAx>
      <c:valAx>
        <c:axId val="-14110528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13843136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3g'!$C$53:$P$53</c:f>
              <c:numCache>
                <c:formatCode>0.00</c:formatCode>
                <c:ptCount val="14"/>
                <c:pt idx="0">
                  <c:v>1.429515418502203</c:v>
                </c:pt>
                <c:pt idx="1">
                  <c:v>1.0</c:v>
                </c:pt>
                <c:pt idx="2">
                  <c:v>0.957064376865155</c:v>
                </c:pt>
                <c:pt idx="3">
                  <c:v>0.915880708410166</c:v>
                </c:pt>
                <c:pt idx="4">
                  <c:v>0.888359456842307</c:v>
                </c:pt>
                <c:pt idx="5">
                  <c:v>0.875247140136147</c:v>
                </c:pt>
                <c:pt idx="6">
                  <c:v>0.850150447945863</c:v>
                </c:pt>
                <c:pt idx="7">
                  <c:v>0.813773862918318</c:v>
                </c:pt>
                <c:pt idx="8">
                  <c:v>0.790481587772177</c:v>
                </c:pt>
                <c:pt idx="9">
                  <c:v>0.768485578373299</c:v>
                </c:pt>
                <c:pt idx="10">
                  <c:v>0.694588848422724</c:v>
                </c:pt>
                <c:pt idx="11">
                  <c:v>0.675277950812361</c:v>
                </c:pt>
                <c:pt idx="12">
                  <c:v>0.63970775422636</c:v>
                </c:pt>
                <c:pt idx="13">
                  <c:v>0.607697358393298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35-9243-A322-036F654123F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3g'!$C$59:$P$59</c:f>
              <c:numCache>
                <c:formatCode>0.00</c:formatCode>
                <c:ptCount val="14"/>
                <c:pt idx="0">
                  <c:v>1.429515418502203</c:v>
                </c:pt>
                <c:pt idx="1">
                  <c:v>1.0</c:v>
                </c:pt>
                <c:pt idx="2">
                  <c:v>0.957064376865155</c:v>
                </c:pt>
                <c:pt idx="3">
                  <c:v>0.915880708410166</c:v>
                </c:pt>
                <c:pt idx="4">
                  <c:v>0.888359456842307</c:v>
                </c:pt>
                <c:pt idx="5">
                  <c:v>0.875247140136147</c:v>
                </c:pt>
                <c:pt idx="6">
                  <c:v>0.850150447945863</c:v>
                </c:pt>
                <c:pt idx="7">
                  <c:v>0.813773862918318</c:v>
                </c:pt>
                <c:pt idx="8">
                  <c:v>0.790481587772177</c:v>
                </c:pt>
                <c:pt idx="9">
                  <c:v>0.768485578373299</c:v>
                </c:pt>
                <c:pt idx="10">
                  <c:v>0.694588848422724</c:v>
                </c:pt>
                <c:pt idx="11">
                  <c:v>0.675277950812361</c:v>
                </c:pt>
                <c:pt idx="12">
                  <c:v>0.63970775422636</c:v>
                </c:pt>
                <c:pt idx="13">
                  <c:v>0.607697358393298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35-9243-A322-036F654123F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3g'!$C$40:$N$40</c:f>
              <c:numCache>
                <c:formatCode>0.000</c:formatCode>
                <c:ptCount val="12"/>
                <c:pt idx="0">
                  <c:v>1.429515418502203</c:v>
                </c:pt>
                <c:pt idx="1">
                  <c:v>1.0</c:v>
                </c:pt>
                <c:pt idx="2">
                  <c:v>0.750983568618375</c:v>
                </c:pt>
                <c:pt idx="3">
                  <c:v>0.658215010141988</c:v>
                </c:pt>
                <c:pt idx="4">
                  <c:v>0.590429403202329</c:v>
                </c:pt>
                <c:pt idx="5">
                  <c:v>0.5059245400686</c:v>
                </c:pt>
                <c:pt idx="6">
                  <c:v>0.498387344493933</c:v>
                </c:pt>
                <c:pt idx="7">
                  <c:v>0.468592057761733</c:v>
                </c:pt>
                <c:pt idx="8">
                  <c:v>0.262753036437247</c:v>
                </c:pt>
                <c:pt idx="9">
                  <c:v>0.35340884338924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35-9243-A322-036F65412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58480"/>
        <c:axId val="-14051376"/>
      </c:scatterChart>
      <c:valAx>
        <c:axId val="-1405848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051376"/>
        <c:crosses val="autoZero"/>
        <c:crossBetween val="midCat"/>
        <c:majorUnit val="4.0"/>
        <c:minorUnit val="1.0"/>
      </c:valAx>
      <c:valAx>
        <c:axId val="-1405137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05848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3g'!$C$52:$P$52</c:f>
              <c:numCache>
                <c:formatCode>0</c:formatCode>
                <c:ptCount val="14"/>
                <c:pt idx="0">
                  <c:v>58.49609375</c:v>
                </c:pt>
                <c:pt idx="1">
                  <c:v>83.62106793777532</c:v>
                </c:pt>
                <c:pt idx="2">
                  <c:v>87.37245890571589</c:v>
                </c:pt>
                <c:pt idx="3">
                  <c:v>91.30126573244368</c:v>
                </c:pt>
                <c:pt idx="4">
                  <c:v>94.12976615908191</c:v>
                </c:pt>
                <c:pt idx="5">
                  <c:v>95.53994992176477</c:v>
                </c:pt>
                <c:pt idx="6">
                  <c:v>98.36031744713051</c:v>
                </c:pt>
                <c:pt idx="7">
                  <c:v>102.7571316162666</c:v>
                </c:pt>
                <c:pt idx="8">
                  <c:v>105.7849660653647</c:v>
                </c:pt>
                <c:pt idx="9">
                  <c:v>108.8128005144628</c:v>
                </c:pt>
                <c:pt idx="10">
                  <c:v>120.38930387043</c:v>
                </c:pt>
                <c:pt idx="11">
                  <c:v>123.8320721669928</c:v>
                </c:pt>
                <c:pt idx="12">
                  <c:v>130.7176087601184</c:v>
                </c:pt>
                <c:pt idx="13">
                  <c:v>137.6031453532439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4-6144-A6AB-B6F028FFD89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3g'!$C$58:$P$58</c:f>
              <c:numCache>
                <c:formatCode>0</c:formatCode>
                <c:ptCount val="14"/>
                <c:pt idx="0">
                  <c:v>58.49609375</c:v>
                </c:pt>
                <c:pt idx="1">
                  <c:v>83.62106793777532</c:v>
                </c:pt>
                <c:pt idx="2">
                  <c:v>87.37245890571589</c:v>
                </c:pt>
                <c:pt idx="3">
                  <c:v>91.30126573244368</c:v>
                </c:pt>
                <c:pt idx="4">
                  <c:v>94.12976615908191</c:v>
                </c:pt>
                <c:pt idx="5">
                  <c:v>95.53994992176477</c:v>
                </c:pt>
                <c:pt idx="6">
                  <c:v>98.36031744713051</c:v>
                </c:pt>
                <c:pt idx="7">
                  <c:v>102.7571316162666</c:v>
                </c:pt>
                <c:pt idx="8">
                  <c:v>105.7849660653647</c:v>
                </c:pt>
                <c:pt idx="9">
                  <c:v>108.8128005144628</c:v>
                </c:pt>
                <c:pt idx="10">
                  <c:v>120.38930387043</c:v>
                </c:pt>
                <c:pt idx="11">
                  <c:v>123.8320721669928</c:v>
                </c:pt>
                <c:pt idx="12">
                  <c:v>130.7176087601184</c:v>
                </c:pt>
                <c:pt idx="13">
                  <c:v>137.6031453532439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4-6144-A6AB-B6F028FFD89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3g'!$C$34:$N$34</c:f>
              <c:numCache>
                <c:formatCode>0</c:formatCode>
                <c:ptCount val="12"/>
                <c:pt idx="0">
                  <c:v>57.72908528645833</c:v>
                </c:pt>
                <c:pt idx="1">
                  <c:v>82.52461751302083</c:v>
                </c:pt>
                <c:pt idx="2">
                  <c:v>109.8887125651042</c:v>
                </c:pt>
                <c:pt idx="3">
                  <c:v>125.3763834635417</c:v>
                </c:pt>
                <c:pt idx="4">
                  <c:v>139.7705078125</c:v>
                </c:pt>
                <c:pt idx="5">
                  <c:v>163.116455078125</c:v>
                </c:pt>
                <c:pt idx="6">
                  <c:v>165.5832926432292</c:v>
                </c:pt>
                <c:pt idx="7">
                  <c:v>176.1118570963542</c:v>
                </c:pt>
                <c:pt idx="8">
                  <c:v>314.0767415364582</c:v>
                </c:pt>
                <c:pt idx="9">
                  <c:v>233.5103352864583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F4-6144-A6AB-B6F028FFD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51088"/>
        <c:axId val="-13944032"/>
      </c:scatterChart>
      <c:valAx>
        <c:axId val="-1395108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3944032"/>
        <c:crosses val="autoZero"/>
        <c:crossBetween val="midCat"/>
        <c:majorUnit val="4.0"/>
        <c:minorUnit val="4.0"/>
      </c:valAx>
      <c:valAx>
        <c:axId val="-13944032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3951088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27g'!$C$53:$P$53</c:f>
              <c:numCache>
                <c:formatCode>0.00</c:formatCode>
                <c:ptCount val="14"/>
                <c:pt idx="0">
                  <c:v>1.177227722772277</c:v>
                </c:pt>
                <c:pt idx="1">
                  <c:v>1.0</c:v>
                </c:pt>
                <c:pt idx="2">
                  <c:v>0.959984488461828</c:v>
                </c:pt>
                <c:pt idx="3">
                  <c:v>0.927655185996731</c:v>
                </c:pt>
                <c:pt idx="4">
                  <c:v>0.916602264435131</c:v>
                </c:pt>
                <c:pt idx="5">
                  <c:v>0.903073079720221</c:v>
                </c:pt>
                <c:pt idx="6">
                  <c:v>0.877178511126093</c:v>
                </c:pt>
                <c:pt idx="7">
                  <c:v>0.875161497865776</c:v>
                </c:pt>
                <c:pt idx="8">
                  <c:v>0.850112152667471</c:v>
                </c:pt>
                <c:pt idx="9">
                  <c:v>0.82645685798455</c:v>
                </c:pt>
                <c:pt idx="10">
                  <c:v>0.802609525123429</c:v>
                </c:pt>
                <c:pt idx="11">
                  <c:v>0.780295446232074</c:v>
                </c:pt>
                <c:pt idx="12">
                  <c:v>0.739193463879108</c:v>
                </c:pt>
                <c:pt idx="13">
                  <c:v>0.702204893364438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12-3748-B3D9-278A79CBD91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27g'!$C$59:$P$59</c:f>
              <c:numCache>
                <c:formatCode>0.00</c:formatCode>
                <c:ptCount val="14"/>
                <c:pt idx="0">
                  <c:v>1.177227722772277</c:v>
                </c:pt>
                <c:pt idx="1">
                  <c:v>1.0</c:v>
                </c:pt>
                <c:pt idx="2">
                  <c:v>0.959984488461828</c:v>
                </c:pt>
                <c:pt idx="3">
                  <c:v>0.927655185996731</c:v>
                </c:pt>
                <c:pt idx="4">
                  <c:v>0.916602264435131</c:v>
                </c:pt>
                <c:pt idx="5">
                  <c:v>0.903073079720221</c:v>
                </c:pt>
                <c:pt idx="6">
                  <c:v>0.877178511126093</c:v>
                </c:pt>
                <c:pt idx="7">
                  <c:v>0.875161497865776</c:v>
                </c:pt>
                <c:pt idx="8">
                  <c:v>0.850112152667471</c:v>
                </c:pt>
                <c:pt idx="9">
                  <c:v>0.82645685798455</c:v>
                </c:pt>
                <c:pt idx="10">
                  <c:v>0.802609525123429</c:v>
                </c:pt>
                <c:pt idx="11">
                  <c:v>0.780295446232074</c:v>
                </c:pt>
                <c:pt idx="12">
                  <c:v>0.739193463879108</c:v>
                </c:pt>
                <c:pt idx="13">
                  <c:v>0.702204893364438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12-3748-B3D9-278A79CBD91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27g'!$C$40:$N$40</c:f>
              <c:numCache>
                <c:formatCode>0.000</c:formatCode>
                <c:ptCount val="12"/>
                <c:pt idx="0">
                  <c:v>1.177227722772277</c:v>
                </c:pt>
                <c:pt idx="1">
                  <c:v>1.0</c:v>
                </c:pt>
                <c:pt idx="2">
                  <c:v>0.684119677790564</c:v>
                </c:pt>
                <c:pt idx="3">
                  <c:v>0.577184466019418</c:v>
                </c:pt>
                <c:pt idx="4">
                  <c:v>0.591836734693878</c:v>
                </c:pt>
                <c:pt idx="5">
                  <c:v>0.614788004136505</c:v>
                </c:pt>
                <c:pt idx="6">
                  <c:v>0.538252602987777</c:v>
                </c:pt>
                <c:pt idx="7">
                  <c:v>0.54919168591224</c:v>
                </c:pt>
                <c:pt idx="8">
                  <c:v>0.517406440382942</c:v>
                </c:pt>
                <c:pt idx="9">
                  <c:v>0.487295081967213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912-3748-B3D9-278A79CBD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524112"/>
        <c:axId val="-14180640"/>
      </c:scatterChart>
      <c:valAx>
        <c:axId val="-2452411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80640"/>
        <c:crosses val="autoZero"/>
        <c:crossBetween val="midCat"/>
        <c:majorUnit val="4.0"/>
        <c:minorUnit val="1.0"/>
      </c:valAx>
      <c:valAx>
        <c:axId val="-1418064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52411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27g'!$C$52:$P$52</c:f>
              <c:numCache>
                <c:formatCode>0</c:formatCode>
                <c:ptCount val="14"/>
                <c:pt idx="0">
                  <c:v>28.72178819444444</c:v>
                </c:pt>
                <c:pt idx="1">
                  <c:v>33.81208531009351</c:v>
                </c:pt>
                <c:pt idx="2">
                  <c:v>35.22149130166699</c:v>
                </c:pt>
                <c:pt idx="3">
                  <c:v>36.44897998792912</c:v>
                </c:pt>
                <c:pt idx="4">
                  <c:v>36.8885029221815</c:v>
                </c:pt>
                <c:pt idx="5">
                  <c:v>37.44113967007934</c:v>
                </c:pt>
                <c:pt idx="6">
                  <c:v>38.54641316587504</c:v>
                </c:pt>
                <c:pt idx="7">
                  <c:v>38.6352523420532</c:v>
                </c:pt>
                <c:pt idx="8">
                  <c:v>39.773675983808</c:v>
                </c:pt>
                <c:pt idx="9">
                  <c:v>40.91209962556278</c:v>
                </c:pt>
                <c:pt idx="10">
                  <c:v>42.12769005562667</c:v>
                </c:pt>
                <c:pt idx="11">
                  <c:v>43.33241398929964</c:v>
                </c:pt>
                <c:pt idx="12">
                  <c:v>45.74186185664558</c:v>
                </c:pt>
                <c:pt idx="13">
                  <c:v>48.15130972399152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EC-C94D-8173-34741617F86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27g'!$C$58:$P$58</c:f>
              <c:numCache>
                <c:formatCode>0</c:formatCode>
                <c:ptCount val="14"/>
                <c:pt idx="0">
                  <c:v>28.72178819444444</c:v>
                </c:pt>
                <c:pt idx="1">
                  <c:v>33.81208531009351</c:v>
                </c:pt>
                <c:pt idx="2">
                  <c:v>35.22149130166699</c:v>
                </c:pt>
                <c:pt idx="3">
                  <c:v>36.44897998792912</c:v>
                </c:pt>
                <c:pt idx="4">
                  <c:v>36.8885029221815</c:v>
                </c:pt>
                <c:pt idx="5">
                  <c:v>37.44113967007934</c:v>
                </c:pt>
                <c:pt idx="6">
                  <c:v>38.54641316587504</c:v>
                </c:pt>
                <c:pt idx="7">
                  <c:v>38.6352523420532</c:v>
                </c:pt>
                <c:pt idx="8">
                  <c:v>39.773675983808</c:v>
                </c:pt>
                <c:pt idx="9">
                  <c:v>40.91209962556278</c:v>
                </c:pt>
                <c:pt idx="10">
                  <c:v>42.12769005562667</c:v>
                </c:pt>
                <c:pt idx="11">
                  <c:v>43.33241398929964</c:v>
                </c:pt>
                <c:pt idx="12">
                  <c:v>45.74186185664558</c:v>
                </c:pt>
                <c:pt idx="13">
                  <c:v>48.15130972399152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EC-C94D-8173-34741617F86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27g'!$C$34:$N$34</c:f>
              <c:numCache>
                <c:formatCode>0</c:formatCode>
                <c:ptCount val="12"/>
                <c:pt idx="0">
                  <c:v>28.53958695023148</c:v>
                </c:pt>
                <c:pt idx="1">
                  <c:v>33.5975929542824</c:v>
                </c:pt>
                <c:pt idx="2">
                  <c:v>49.11069516782408</c:v>
                </c:pt>
                <c:pt idx="3">
                  <c:v>58.20945457175926</c:v>
                </c:pt>
                <c:pt idx="4">
                  <c:v>56.76834671585648</c:v>
                </c:pt>
                <c:pt idx="5">
                  <c:v>54.64907045717592</c:v>
                </c:pt>
                <c:pt idx="6">
                  <c:v>62.41975007233796</c:v>
                </c:pt>
                <c:pt idx="7">
                  <c:v>61.17644133391204</c:v>
                </c:pt>
                <c:pt idx="8">
                  <c:v>64.9346245659722</c:v>
                </c:pt>
                <c:pt idx="9">
                  <c:v>68.94712094907407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EC-C94D-8173-34741617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997136"/>
        <c:axId val="-36990080"/>
      </c:scatterChart>
      <c:valAx>
        <c:axId val="-3699713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6990080"/>
        <c:crosses val="autoZero"/>
        <c:crossBetween val="midCat"/>
        <c:majorUnit val="4.0"/>
        <c:minorUnit val="4.0"/>
      </c:valAx>
      <c:valAx>
        <c:axId val="-36990080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6997136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99g'!$C$53:$P$53</c:f>
              <c:numCache>
                <c:formatCode>0.00</c:formatCode>
                <c:ptCount val="14"/>
                <c:pt idx="0">
                  <c:v>1.217664670658683</c:v>
                </c:pt>
                <c:pt idx="1">
                  <c:v>1.0</c:v>
                </c:pt>
                <c:pt idx="2">
                  <c:v>0.960532948677872</c:v>
                </c:pt>
                <c:pt idx="3">
                  <c:v>0.929892412761111</c:v>
                </c:pt>
                <c:pt idx="4">
                  <c:v>0.922088396532241</c:v>
                </c:pt>
                <c:pt idx="5">
                  <c:v>0.908478235697817</c:v>
                </c:pt>
                <c:pt idx="6">
                  <c:v>0.88242868055236</c:v>
                </c:pt>
                <c:pt idx="7">
                  <c:v>0.887693333479437</c:v>
                </c:pt>
                <c:pt idx="8">
                  <c:v>0.862285295311868</c:v>
                </c:pt>
                <c:pt idx="9">
                  <c:v>0.83829126970319</c:v>
                </c:pt>
                <c:pt idx="10">
                  <c:v>0.826668952127397</c:v>
                </c:pt>
                <c:pt idx="11">
                  <c:v>0.80368597517859</c:v>
                </c:pt>
                <c:pt idx="12">
                  <c:v>0.7613518991198</c:v>
                </c:pt>
                <c:pt idx="13">
                  <c:v>0.723254540602469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60-FE4D-865B-19668567216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99g'!$C$59:$P$59</c:f>
              <c:numCache>
                <c:formatCode>0.00</c:formatCode>
                <c:ptCount val="14"/>
                <c:pt idx="0">
                  <c:v>1.217664670658683</c:v>
                </c:pt>
                <c:pt idx="1">
                  <c:v>1.0</c:v>
                </c:pt>
                <c:pt idx="2">
                  <c:v>0.960532948677872</c:v>
                </c:pt>
                <c:pt idx="3">
                  <c:v>0.929892412761111</c:v>
                </c:pt>
                <c:pt idx="4">
                  <c:v>0.922088396532241</c:v>
                </c:pt>
                <c:pt idx="5">
                  <c:v>0.908478235697817</c:v>
                </c:pt>
                <c:pt idx="6">
                  <c:v>0.88242868055236</c:v>
                </c:pt>
                <c:pt idx="7">
                  <c:v>0.887693333479437</c:v>
                </c:pt>
                <c:pt idx="8">
                  <c:v>0.862285295311868</c:v>
                </c:pt>
                <c:pt idx="9">
                  <c:v>0.83829126970319</c:v>
                </c:pt>
                <c:pt idx="10">
                  <c:v>0.826668952127397</c:v>
                </c:pt>
                <c:pt idx="11">
                  <c:v>0.80368597517859</c:v>
                </c:pt>
                <c:pt idx="12">
                  <c:v>0.7613518991198</c:v>
                </c:pt>
                <c:pt idx="13">
                  <c:v>0.723254540602469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60-FE4D-865B-19668567216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99g'!$C$40:$N$40</c:f>
              <c:numCache>
                <c:formatCode>0.000</c:formatCode>
                <c:ptCount val="12"/>
                <c:pt idx="0">
                  <c:v>1.217664670658683</c:v>
                </c:pt>
                <c:pt idx="1">
                  <c:v>1.0</c:v>
                </c:pt>
                <c:pt idx="2">
                  <c:v>0.7765896505633</c:v>
                </c:pt>
                <c:pt idx="3">
                  <c:v>0.631031807602793</c:v>
                </c:pt>
                <c:pt idx="4">
                  <c:v>0.606471816283925</c:v>
                </c:pt>
                <c:pt idx="5">
                  <c:v>0.577206925915413</c:v>
                </c:pt>
                <c:pt idx="6">
                  <c:v>0.537039482371583</c:v>
                </c:pt>
                <c:pt idx="7">
                  <c:v>0.547670347427956</c:v>
                </c:pt>
                <c:pt idx="8">
                  <c:v>0.504590570719603</c:v>
                </c:pt>
                <c:pt idx="9">
                  <c:v>0.496338784476446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60-FE4D-865B-19668567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919296"/>
        <c:axId val="-36912192"/>
      </c:scatterChart>
      <c:valAx>
        <c:axId val="-3691929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6912192"/>
        <c:crosses val="autoZero"/>
        <c:crossBetween val="midCat"/>
        <c:majorUnit val="4.0"/>
        <c:minorUnit val="1.0"/>
      </c:valAx>
      <c:valAx>
        <c:axId val="-3691219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691929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99g'!$C$52:$P$52</c:f>
              <c:numCache>
                <c:formatCode>0</c:formatCode>
                <c:ptCount val="14"/>
                <c:pt idx="0">
                  <c:v>26.01503314393939</c:v>
                </c:pt>
                <c:pt idx="1">
                  <c:v>31.67758676538967</c:v>
                </c:pt>
                <c:pt idx="2">
                  <c:v>32.9791776627677</c:v>
                </c:pt>
                <c:pt idx="3">
                  <c:v>34.06586216929124</c:v>
                </c:pt>
                <c:pt idx="4">
                  <c:v>34.35417567829904</c:v>
                </c:pt>
                <c:pt idx="5">
                  <c:v>34.86884497685033</c:v>
                </c:pt>
                <c:pt idx="6">
                  <c:v>35.89818357395293</c:v>
                </c:pt>
                <c:pt idx="7">
                  <c:v>35.68528180923132</c:v>
                </c:pt>
                <c:pt idx="8">
                  <c:v>36.7367818257096</c:v>
                </c:pt>
                <c:pt idx="9">
                  <c:v>37.78828184218786</c:v>
                </c:pt>
                <c:pt idx="10">
                  <c:v>38.31955546881102</c:v>
                </c:pt>
                <c:pt idx="11">
                  <c:v>39.41537832404064</c:v>
                </c:pt>
                <c:pt idx="12">
                  <c:v>41.6070240344999</c:v>
                </c:pt>
                <c:pt idx="13">
                  <c:v>43.79866974495915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1F-7844-BFB5-E144CA9F314A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99g'!$C$58:$P$58</c:f>
              <c:numCache>
                <c:formatCode>0</c:formatCode>
                <c:ptCount val="14"/>
                <c:pt idx="0">
                  <c:v>26.01503314393939</c:v>
                </c:pt>
                <c:pt idx="1">
                  <c:v>31.67758676538967</c:v>
                </c:pt>
                <c:pt idx="2">
                  <c:v>32.9791776627677</c:v>
                </c:pt>
                <c:pt idx="3">
                  <c:v>34.06586216929124</c:v>
                </c:pt>
                <c:pt idx="4">
                  <c:v>34.35417567829904</c:v>
                </c:pt>
                <c:pt idx="5">
                  <c:v>34.86884497685033</c:v>
                </c:pt>
                <c:pt idx="6">
                  <c:v>35.89818357395293</c:v>
                </c:pt>
                <c:pt idx="7">
                  <c:v>35.68528180923132</c:v>
                </c:pt>
                <c:pt idx="8">
                  <c:v>36.7367818257096</c:v>
                </c:pt>
                <c:pt idx="9">
                  <c:v>37.78828184218786</c:v>
                </c:pt>
                <c:pt idx="10">
                  <c:v>38.31955546881102</c:v>
                </c:pt>
                <c:pt idx="11">
                  <c:v>39.41537832404064</c:v>
                </c:pt>
                <c:pt idx="12">
                  <c:v>41.6070240344999</c:v>
                </c:pt>
                <c:pt idx="13">
                  <c:v>43.79866974495915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1F-7844-BFB5-E144CA9F314A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99g'!$C$34:$N$34</c:f>
              <c:numCache>
                <c:formatCode>0</c:formatCode>
                <c:ptCount val="12"/>
                <c:pt idx="0">
                  <c:v>25.73957346906566</c:v>
                </c:pt>
                <c:pt idx="1">
                  <c:v>31.3421692511048</c:v>
                </c:pt>
                <c:pt idx="2">
                  <c:v>40.35872642440025</c:v>
                </c:pt>
                <c:pt idx="3">
                  <c:v>49.66812904434974</c:v>
                </c:pt>
                <c:pt idx="4">
                  <c:v>51.67951487531565</c:v>
                </c:pt>
                <c:pt idx="5">
                  <c:v>54.29971097695706</c:v>
                </c:pt>
                <c:pt idx="6">
                  <c:v>58.36101493450126</c:v>
                </c:pt>
                <c:pt idx="7">
                  <c:v>57.22816544349747</c:v>
                </c:pt>
                <c:pt idx="8">
                  <c:v>62.11406052714646</c:v>
                </c:pt>
                <c:pt idx="9">
                  <c:v>63.14672604955807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51F-7844-BFB5-E144CA9F3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39584"/>
        <c:axId val="-14132528"/>
      </c:scatterChart>
      <c:valAx>
        <c:axId val="-1413958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32528"/>
        <c:crosses val="autoZero"/>
        <c:crossBetween val="midCat"/>
        <c:majorUnit val="4.0"/>
        <c:minorUnit val="4.0"/>
      </c:valAx>
      <c:valAx>
        <c:axId val="-14132528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39584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'r701'!$C$51:$R$51</c:f>
              <c:numCache>
                <c:formatCode>0.00</c:formatCode>
                <c:ptCount val="16"/>
                <c:pt idx="0">
                  <c:v>1.058712007735842</c:v>
                </c:pt>
                <c:pt idx="1">
                  <c:v>1.0</c:v>
                </c:pt>
                <c:pt idx="2">
                  <c:v>0.965390970599071</c:v>
                </c:pt>
                <c:pt idx="3">
                  <c:v>0.93568871407003</c:v>
                </c:pt>
                <c:pt idx="4">
                  <c:v>0.929948332794493</c:v>
                </c:pt>
                <c:pt idx="5">
                  <c:v>0.9162221581407</c:v>
                </c:pt>
                <c:pt idx="6">
                  <c:v>0.889950555039891</c:v>
                </c:pt>
                <c:pt idx="7">
                  <c:v>0.884267202893581</c:v>
                </c:pt>
                <c:pt idx="8">
                  <c:v>0.85895722928661</c:v>
                </c:pt>
                <c:pt idx="9">
                  <c:v>0.835055810732547</c:v>
                </c:pt>
                <c:pt idx="10">
                  <c:v>0.804910659741715</c:v>
                </c:pt>
                <c:pt idx="11">
                  <c:v>0.782532604909625</c:v>
                </c:pt>
                <c:pt idx="12">
                  <c:v>0.741312780453481</c:v>
                </c:pt>
                <c:pt idx="13">
                  <c:v>0.695940624929759</c:v>
                </c:pt>
                <c:pt idx="14">
                  <c:v>0.65929710374876</c:v>
                </c:pt>
                <c:pt idx="15">
                  <c:v>0.626319366632761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2D-214E-836A-419EF274524B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'r701'!$C$57:$R$57</c:f>
              <c:numCache>
                <c:formatCode>0.00</c:formatCode>
                <c:ptCount val="16"/>
                <c:pt idx="0">
                  <c:v>1.058712007735842</c:v>
                </c:pt>
                <c:pt idx="1">
                  <c:v>1.0</c:v>
                </c:pt>
                <c:pt idx="2">
                  <c:v>0.962627163580089</c:v>
                </c:pt>
                <c:pt idx="3">
                  <c:v>0.927620720212076</c:v>
                </c:pt>
                <c:pt idx="4">
                  <c:v>0.911072798527304</c:v>
                </c:pt>
                <c:pt idx="5">
                  <c:v>0.897647760975595</c:v>
                </c:pt>
                <c:pt idx="6">
                  <c:v>0.871950648263853</c:v>
                </c:pt>
                <c:pt idx="7">
                  <c:v>0.845409169719926</c:v>
                </c:pt>
                <c:pt idx="8">
                  <c:v>0.821359802742208</c:v>
                </c:pt>
                <c:pt idx="9">
                  <c:v>0.798640854703675</c:v>
                </c:pt>
                <c:pt idx="10">
                  <c:v>0.731495570377113</c:v>
                </c:pt>
                <c:pt idx="11">
                  <c:v>0.711590786316962</c:v>
                </c:pt>
                <c:pt idx="12">
                  <c:v>0.67486327023059</c:v>
                </c:pt>
                <c:pt idx="13">
                  <c:v>0.569897545229991</c:v>
                </c:pt>
                <c:pt idx="14">
                  <c:v>0.541832853691964</c:v>
                </c:pt>
                <c:pt idx="15">
                  <c:v>0.516402532228482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2D-214E-836A-419EF274524B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'r701'!$C$4:$N$4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'r701'!$C$38:$N$38</c:f>
              <c:numCache>
                <c:formatCode>0.000</c:formatCode>
                <c:ptCount val="12"/>
                <c:pt idx="0">
                  <c:v>1.058712007735842</c:v>
                </c:pt>
                <c:pt idx="1">
                  <c:v>1.0</c:v>
                </c:pt>
                <c:pt idx="2">
                  <c:v>0.953804324947801</c:v>
                </c:pt>
                <c:pt idx="3">
                  <c:v>0.930724481197755</c:v>
                </c:pt>
                <c:pt idx="4">
                  <c:v>0.915478458169004</c:v>
                </c:pt>
                <c:pt idx="5">
                  <c:v>0.902881914475767</c:v>
                </c:pt>
                <c:pt idx="6">
                  <c:v>0.874021095386878</c:v>
                </c:pt>
                <c:pt idx="7">
                  <c:v>0.847249261655925</c:v>
                </c:pt>
                <c:pt idx="8">
                  <c:v>0.822070837623139</c:v>
                </c:pt>
                <c:pt idx="9">
                  <c:v>0.798011063322689</c:v>
                </c:pt>
                <c:pt idx="10">
                  <c:v>0.731983111124857</c:v>
                </c:pt>
                <c:pt idx="11">
                  <c:v>0.709963912285668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2D-214E-836A-419EF274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0208"/>
        <c:axId val="40567312"/>
      </c:scatterChart>
      <c:valAx>
        <c:axId val="4056020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40567312"/>
        <c:crosses val="autoZero"/>
        <c:crossBetween val="midCat"/>
        <c:majorUnit val="4.0"/>
        <c:minorUnit val="1.0"/>
      </c:valAx>
      <c:valAx>
        <c:axId val="4056731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4056020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'r701'!$C$50:$R$50</c:f>
              <c:numCache>
                <c:formatCode>0</c:formatCode>
                <c:ptCount val="16"/>
                <c:pt idx="0">
                  <c:v>2133.7890625</c:v>
                </c:pt>
                <c:pt idx="1">
                  <c:v>2259.068102444154</c:v>
                </c:pt>
                <c:pt idx="2">
                  <c:v>2340.055139569303</c:v>
                </c:pt>
                <c:pt idx="3">
                  <c:v>2414.33723467469</c:v>
                </c:pt>
                <c:pt idx="4">
                  <c:v>2429.240445709127</c:v>
                </c:pt>
                <c:pt idx="5">
                  <c:v>2465.633561000649</c:v>
                </c:pt>
                <c:pt idx="6">
                  <c:v>2538.419791583695</c:v>
                </c:pt>
                <c:pt idx="7">
                  <c:v>2554.734694503903</c:v>
                </c:pt>
                <c:pt idx="8">
                  <c:v>2630.012328227775</c:v>
                </c:pt>
                <c:pt idx="9">
                  <c:v>2705.289961951647</c:v>
                </c:pt>
                <c:pt idx="10">
                  <c:v>2806.607261443226</c:v>
                </c:pt>
                <c:pt idx="11">
                  <c:v>2886.867701448751</c:v>
                </c:pt>
                <c:pt idx="12">
                  <c:v>3047.388581459802</c:v>
                </c:pt>
                <c:pt idx="13">
                  <c:v>3246.064422050602</c:v>
                </c:pt>
                <c:pt idx="14">
                  <c:v>3426.479639602698</c:v>
                </c:pt>
                <c:pt idx="15">
                  <c:v>3606.894857154793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14-2B40-9AAF-4FC299DCCEF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'r701'!$C$56:$R$56</c:f>
              <c:numCache>
                <c:formatCode>0</c:formatCode>
                <c:ptCount val="16"/>
                <c:pt idx="0">
                  <c:v>2133.8515625</c:v>
                </c:pt>
                <c:pt idx="1">
                  <c:v>2259.134271944637</c:v>
                </c:pt>
                <c:pt idx="2">
                  <c:v>2346.842430191491</c:v>
                </c:pt>
                <c:pt idx="3">
                  <c:v>2435.407298176938</c:v>
                </c:pt>
                <c:pt idx="4">
                  <c:v>2479.641885474351</c:v>
                </c:pt>
                <c:pt idx="5">
                  <c:v>2516.726905762379</c:v>
                </c:pt>
                <c:pt idx="6">
                  <c:v>2590.896946338438</c:v>
                </c:pt>
                <c:pt idx="7">
                  <c:v>2672.237719745885</c:v>
                </c:pt>
                <c:pt idx="8">
                  <c:v>2750.480683863816</c:v>
                </c:pt>
                <c:pt idx="9">
                  <c:v>2828.723647981746</c:v>
                </c:pt>
                <c:pt idx="10">
                  <c:v>3088.37724168305</c:v>
                </c:pt>
                <c:pt idx="11">
                  <c:v>3174.766052884725</c:v>
                </c:pt>
                <c:pt idx="12">
                  <c:v>3347.543675288073</c:v>
                </c:pt>
                <c:pt idx="13">
                  <c:v>3964.105988617533</c:v>
                </c:pt>
                <c:pt idx="14">
                  <c:v>4169.43021551988</c:v>
                </c:pt>
                <c:pt idx="15">
                  <c:v>4374.754442422227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14-2B40-9AAF-4FC299DCCEF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'r701'!$C$4:$N$4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'r701'!$C$34:$N$34</c:f>
              <c:numCache>
                <c:formatCode>0</c:formatCode>
                <c:ptCount val="12"/>
                <c:pt idx="0">
                  <c:v>2132.623091987942</c:v>
                </c:pt>
                <c:pt idx="1">
                  <c:v>2257.833675462372</c:v>
                </c:pt>
                <c:pt idx="2">
                  <c:v>2367.1875</c:v>
                </c:pt>
                <c:pt idx="3">
                  <c:v>2425.888349425118</c:v>
                </c:pt>
                <c:pt idx="4">
                  <c:v>2466.28815273069</c:v>
                </c:pt>
                <c:pt idx="5">
                  <c:v>2500.696535463686</c:v>
                </c:pt>
                <c:pt idx="6">
                  <c:v>2583.271373401988</c:v>
                </c:pt>
                <c:pt idx="7">
                  <c:v>2664.898959073153</c:v>
                </c:pt>
                <c:pt idx="8">
                  <c:v>2746.519608931108</c:v>
                </c:pt>
                <c:pt idx="9">
                  <c:v>2829.326282848011</c:v>
                </c:pt>
                <c:pt idx="10">
                  <c:v>3084.543401544744</c:v>
                </c:pt>
                <c:pt idx="11">
                  <c:v>3180.20907315341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14-2B40-9AAF-4FC299DCC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66240"/>
        <c:axId val="39973296"/>
      </c:scatterChart>
      <c:valAx>
        <c:axId val="3996624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9973296"/>
        <c:crosses val="autoZero"/>
        <c:crossBetween val="midCat"/>
        <c:majorUnit val="4.0"/>
        <c:minorUnit val="4.0"/>
      </c:valAx>
      <c:valAx>
        <c:axId val="39973296"/>
        <c:scaling>
          <c:orientation val="minMax"/>
          <c:max val="60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39966240"/>
        <c:crosses val="autoZero"/>
        <c:crossBetween val="midCat"/>
        <c:minorUnit val="500.0"/>
        <c:dispUnits>
          <c:builtInUnit val="thousands"/>
          <c:dispUnitsLbl/>
        </c:dispUnits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Cases'!$C$54:$N$54</c:f>
              <c:numCache>
                <c:formatCode>0.00</c:formatCode>
                <c:ptCount val="12"/>
                <c:pt idx="0">
                  <c:v>1.332449811298576</c:v>
                </c:pt>
                <c:pt idx="1">
                  <c:v>1.0</c:v>
                </c:pt>
                <c:pt idx="2">
                  <c:v>0.666666666666666</c:v>
                </c:pt>
                <c:pt idx="3">
                  <c:v>0.4</c:v>
                </c:pt>
                <c:pt idx="4">
                  <c:v>0.222222222222222</c:v>
                </c:pt>
                <c:pt idx="5">
                  <c:v>0.117647058823529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7-EE47-9352-27BCF11D3F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Cases'!$C$60:$N$60</c:f>
              <c:numCache>
                <c:formatCode>0.00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27-EE47-9352-27BCF11D3F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Cases'!$C$40:$N$40</c:f>
              <c:numCache>
                <c:formatCode>0.000</c:formatCode>
                <c:ptCount val="12"/>
                <c:pt idx="0">
                  <c:v>1.097560975609756</c:v>
                </c:pt>
                <c:pt idx="1">
                  <c:v>1.0</c:v>
                </c:pt>
                <c:pt idx="2">
                  <c:v>0.48771676300578</c:v>
                </c:pt>
                <c:pt idx="3">
                  <c:v>0.27</c:v>
                </c:pt>
                <c:pt idx="4">
                  <c:v>0.126168224299065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27-EE47-9352-27BCF11D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059376"/>
        <c:axId val="40087072"/>
      </c:scatterChart>
      <c:valAx>
        <c:axId val="-2305937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40087072"/>
        <c:crosses val="autoZero"/>
        <c:crossBetween val="midCat"/>
        <c:majorUnit val="4.0"/>
        <c:minorUnit val="1.0"/>
      </c:valAx>
      <c:valAx>
        <c:axId val="4008707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305937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08416481920342"/>
          <c:y val="0.133485658042745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Cases'!$C$53:$N$53</c:f>
              <c:numCache>
                <c:formatCode>0</c:formatCode>
                <c:ptCount val="12"/>
                <c:pt idx="0">
                  <c:v>76.93440682595057</c:v>
                </c:pt>
                <c:pt idx="1">
                  <c:v>102.5112358576057</c:v>
                </c:pt>
                <c:pt idx="2">
                  <c:v>153.7668537864086</c:v>
                </c:pt>
                <c:pt idx="3">
                  <c:v>256.2780896440142</c:v>
                </c:pt>
                <c:pt idx="4">
                  <c:v>461.3005613592256</c:v>
                </c:pt>
                <c:pt idx="5">
                  <c:v>871.3455047896484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A-4244-B785-EBFD165150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Cases'!$C$59:$N$59</c:f>
              <c:numCache>
                <c:formatCode>0.00%</c:formatCode>
                <c:ptCount val="12"/>
                <c:pt idx="0">
                  <c:v>0.731410274217272</c:v>
                </c:pt>
                <c:pt idx="1">
                  <c:v>0.114839153654254</c:v>
                </c:pt>
                <c:pt idx="2">
                  <c:v>0.11505967205145</c:v>
                </c:pt>
                <c:pt idx="3">
                  <c:v>0.113516043271076</c:v>
                </c:pt>
                <c:pt idx="4">
                  <c:v>0.114986165919051</c:v>
                </c:pt>
                <c:pt idx="5">
                  <c:v>0.115072643721873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A-4244-B785-EBFD165150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Cases'!$C$34:$N$34</c:f>
              <c:numCache>
                <c:formatCode>0</c:formatCode>
                <c:ptCount val="12"/>
                <c:pt idx="0">
                  <c:v>83.41471354166667</c:v>
                </c:pt>
                <c:pt idx="1">
                  <c:v>91.552734375</c:v>
                </c:pt>
                <c:pt idx="2">
                  <c:v>187.7170138888889</c:v>
                </c:pt>
                <c:pt idx="3">
                  <c:v>339.084201388889</c:v>
                </c:pt>
                <c:pt idx="4">
                  <c:v>725.6401909722221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EA-4244-B785-EBFD1651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4352"/>
        <c:axId val="40071408"/>
      </c:scatterChart>
      <c:valAx>
        <c:axId val="4006435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40071408"/>
        <c:crosses val="autoZero"/>
        <c:crossBetween val="midCat"/>
        <c:majorUnit val="4.0"/>
        <c:minorUnit val="4.0"/>
      </c:valAx>
      <c:valAx>
        <c:axId val="40071408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40064352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28742622925559"/>
          <c:y val="0.5413935046375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1g'!$C$53:$N$53</c:f>
              <c:numCache>
                <c:formatCode>0.00</c:formatCode>
                <c:ptCount val="12"/>
                <c:pt idx="0">
                  <c:v>1.355342575981936</c:v>
                </c:pt>
                <c:pt idx="1">
                  <c:v>1.0</c:v>
                </c:pt>
                <c:pt idx="2">
                  <c:v>0.96154398100886</c:v>
                </c:pt>
                <c:pt idx="3">
                  <c:v>0.925670922508846</c:v>
                </c:pt>
                <c:pt idx="4">
                  <c:v>0.908052140206117</c:v>
                </c:pt>
                <c:pt idx="5">
                  <c:v>0.894649156586838</c:v>
                </c:pt>
                <c:pt idx="6">
                  <c:v>0.868996134175746</c:v>
                </c:pt>
                <c:pt idx="7">
                  <c:v>0.844303469825826</c:v>
                </c:pt>
                <c:pt idx="8">
                  <c:v>0.820137359777144</c:v>
                </c:pt>
                <c:pt idx="9">
                  <c:v>0.797316146287693</c:v>
                </c:pt>
                <c:pt idx="10">
                  <c:v>0.738823832193005</c:v>
                </c:pt>
                <c:pt idx="11">
                  <c:v>0.73098485254109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7-EE47-9352-27BCF11D3F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1g'!$C$59:$N$59</c:f>
              <c:numCache>
                <c:formatCode>0.00</c:formatCode>
                <c:ptCount val="12"/>
                <c:pt idx="0">
                  <c:v>1.372992034171385</c:v>
                </c:pt>
                <c:pt idx="1">
                  <c:v>1.0</c:v>
                </c:pt>
                <c:pt idx="2">
                  <c:v>0.947804301153792</c:v>
                </c:pt>
                <c:pt idx="3">
                  <c:v>0.887648806288816</c:v>
                </c:pt>
                <c:pt idx="4">
                  <c:v>0.827784749905843</c:v>
                </c:pt>
                <c:pt idx="5">
                  <c:v>0.815566524814982</c:v>
                </c:pt>
                <c:pt idx="6">
                  <c:v>0.792181104748603</c:v>
                </c:pt>
                <c:pt idx="7">
                  <c:v>0.705648242873215</c:v>
                </c:pt>
                <c:pt idx="8">
                  <c:v>0.685450797638919</c:v>
                </c:pt>
                <c:pt idx="9">
                  <c:v>0.666377384139401</c:v>
                </c:pt>
                <c:pt idx="10">
                  <c:v>0.540793537764257</c:v>
                </c:pt>
                <c:pt idx="11">
                  <c:v>0.535055675294609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27-EE47-9352-27BCF11D3F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1g'!$C$40:$N$40</c:f>
              <c:numCache>
                <c:formatCode>0.000</c:formatCode>
                <c:ptCount val="12"/>
                <c:pt idx="0">
                  <c:v>1.324778761061947</c:v>
                </c:pt>
                <c:pt idx="1">
                  <c:v>1.0</c:v>
                </c:pt>
                <c:pt idx="2">
                  <c:v>0.990516100573445</c:v>
                </c:pt>
                <c:pt idx="3">
                  <c:v>0.898379675935187</c:v>
                </c:pt>
                <c:pt idx="4">
                  <c:v>0.89515646800877</c:v>
                </c:pt>
                <c:pt idx="5">
                  <c:v>0.891425168717745</c:v>
                </c:pt>
                <c:pt idx="6">
                  <c:v>0.849442027614904</c:v>
                </c:pt>
                <c:pt idx="7">
                  <c:v>0.745641706790636</c:v>
                </c:pt>
                <c:pt idx="8">
                  <c:v>0.723537941034316</c:v>
                </c:pt>
                <c:pt idx="9">
                  <c:v>0.674020711391265</c:v>
                </c:pt>
                <c:pt idx="10">
                  <c:v>0.655142231947483</c:v>
                </c:pt>
                <c:pt idx="11">
                  <c:v>0.619277440706012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27-EE47-9352-27BCF11D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118816"/>
        <c:axId val="-38945600"/>
      </c:scatterChart>
      <c:valAx>
        <c:axId val="-3911881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8945600"/>
        <c:crosses val="autoZero"/>
        <c:crossBetween val="midCat"/>
        <c:majorUnit val="4.0"/>
        <c:minorUnit val="1.0"/>
      </c:valAx>
      <c:valAx>
        <c:axId val="-3894560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911881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1g'!$C$52:$N$52</c:f>
              <c:numCache>
                <c:formatCode>0</c:formatCode>
                <c:ptCount val="12"/>
                <c:pt idx="0">
                  <c:v>117.7167037778847</c:v>
                </c:pt>
                <c:pt idx="1">
                  <c:v>159.5464605344208</c:v>
                </c:pt>
                <c:pt idx="2">
                  <c:v>165.9273664913625</c:v>
                </c:pt>
                <c:pt idx="3">
                  <c:v>172.3576453087692</c:v>
                </c:pt>
                <c:pt idx="4">
                  <c:v>175.7018715887897</c:v>
                </c:pt>
                <c:pt idx="5">
                  <c:v>178.3341093654008</c:v>
                </c:pt>
                <c:pt idx="6">
                  <c:v>183.598584918623</c:v>
                </c:pt>
                <c:pt idx="7">
                  <c:v>188.9681450288652</c:v>
                </c:pt>
                <c:pt idx="8">
                  <c:v>194.5362671659957</c:v>
                </c:pt>
                <c:pt idx="9">
                  <c:v>200.1043893031261</c:v>
                </c:pt>
                <c:pt idx="10">
                  <c:v>215.946553944868</c:v>
                </c:pt>
                <c:pt idx="11">
                  <c:v>218.2623346842232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A-4244-B785-EBFD165150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1g'!$C$58:$N$58</c:f>
              <c:numCache>
                <c:formatCode>0</c:formatCode>
                <c:ptCount val="12"/>
                <c:pt idx="0">
                  <c:v>117.7167037778847</c:v>
                </c:pt>
                <c:pt idx="1">
                  <c:v>161.6240965759483</c:v>
                </c:pt>
                <c:pt idx="2">
                  <c:v>170.5247553521315</c:v>
                </c:pt>
                <c:pt idx="3">
                  <c:v>182.0811287424413</c:v>
                </c:pt>
                <c:pt idx="4">
                  <c:v>195.2489419433402</c:v>
                </c:pt>
                <c:pt idx="5">
                  <c:v>198.1740197252629</c:v>
                </c:pt>
                <c:pt idx="6">
                  <c:v>204.0241752891083</c:v>
                </c:pt>
                <c:pt idx="7">
                  <c:v>229.0434337622061</c:v>
                </c:pt>
                <c:pt idx="8">
                  <c:v>235.7924115526211</c:v>
                </c:pt>
                <c:pt idx="9">
                  <c:v>242.541389343036</c:v>
                </c:pt>
                <c:pt idx="10">
                  <c:v>298.864696579277</c:v>
                </c:pt>
                <c:pt idx="11">
                  <c:v>302.0696799206097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A-4244-B785-EBFD165150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1g'!$C$34:$N$34</c:f>
              <c:numCache>
                <c:formatCode>0</c:formatCode>
                <c:ptCount val="12"/>
                <c:pt idx="0">
                  <c:v>129.3182373046875</c:v>
                </c:pt>
                <c:pt idx="1">
                  <c:v>171.3180541992187</c:v>
                </c:pt>
                <c:pt idx="2">
                  <c:v>172.9583740234375</c:v>
                </c:pt>
                <c:pt idx="3">
                  <c:v>190.6967163085937</c:v>
                </c:pt>
                <c:pt idx="4">
                  <c:v>191.3833618164063</c:v>
                </c:pt>
                <c:pt idx="5">
                  <c:v>192.1844482421875</c:v>
                </c:pt>
                <c:pt idx="6">
                  <c:v>201.6830444335937</c:v>
                </c:pt>
                <c:pt idx="7">
                  <c:v>229.7592163085937</c:v>
                </c:pt>
                <c:pt idx="8">
                  <c:v>236.7782592773437</c:v>
                </c:pt>
                <c:pt idx="9">
                  <c:v>254.1732788085937</c:v>
                </c:pt>
                <c:pt idx="10">
                  <c:v>261.4974975585937</c:v>
                </c:pt>
                <c:pt idx="11">
                  <c:v>276.641845703125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EA-4244-B785-EBFD1651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9248"/>
        <c:axId val="-38967344"/>
      </c:scatterChart>
      <c:valAx>
        <c:axId val="4041924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8967344"/>
        <c:crosses val="autoZero"/>
        <c:crossBetween val="midCat"/>
        <c:majorUnit val="4.0"/>
        <c:minorUnit val="4.0"/>
      </c:valAx>
      <c:valAx>
        <c:axId val="-38967344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40419248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28742622925559"/>
          <c:y val="0.5413935046375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143933</xdr:colOff>
      <xdr:row>0</xdr:row>
      <xdr:rowOff>118533</xdr:rowOff>
    </xdr:from>
    <xdr:ext cx="10684933" cy="6062134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50366123-6A11-CF42-A3BD-1297B3DB8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000DC04-4B86-CE4E-9E18-08692EFBE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FDA9350-545C-A04C-85F8-F52ABD3AC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51447B6-E127-2A48-8A6E-F21600E88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90D8464-5DB0-E04D-8B3A-0A0F8D99C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00F7EC6-0223-5F42-A707-016B6060A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296C14B-3EBD-C948-9227-F210F3A31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ABD9FF4-7771-CF4E-971A-CFD9E44F8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7D847E8-FAB8-4C4F-A184-064E0F126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F8C551A-305F-0948-927F-400AEBF46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1AECA8F-970B-FD40-8D6C-EBC1652EF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9883B66-5D37-DF4A-8007-D1F24392C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4ACFA73-2193-0845-83A0-D297A76AC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1C48FF1-9941-4544-97A9-A3884BA59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79CAB1E-C724-6B4B-872D-E7DABE3EC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5442D4A-BEA5-9444-B745-78610508D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A19FE5E-DB3B-034D-B3D8-8F3DB2E0E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379A279-B369-2945-9972-2C795BEDE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E6D8B9E-3FD9-B342-A790-D7F710E67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93B0BE5-DB20-BA45-A24A-FC045C86F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825A753-6499-5D4C-9700-EF2976028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304800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83D82C5-C04C-2A4A-A3AB-5EF1A8D77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CC9385B-CEA5-4743-A284-4924DCCDE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304800</xdr:colOff>
      <xdr:row>2</xdr:row>
      <xdr:rowOff>50800</xdr:rowOff>
    </xdr:from>
    <xdr:ext cx="6489700" cy="35687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2</xdr:row>
      <xdr:rowOff>33020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9DA45F9-9E31-CC4E-B709-ED7FDC30D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A367E2A-EA03-AC4B-9458-C786DA0A5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2</xdr:row>
      <xdr:rowOff>33020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9DA45F9-9E31-CC4E-B709-ED7FDC30D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A367E2A-EA03-AC4B-9458-C786DA0A5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E433FEE-FF2D-234D-B630-7FB810575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1D94EED-ADEF-F94A-8FA7-A8BBB3871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D70020C-B2D8-BE46-9D1D-DA6A0A877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BA4C700-AB81-3E4D-A925-862C13CBD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9FE5D92-CBE3-1844-9542-E50AC03E9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D2C0CCA-F1E8-1144-81D5-C86753906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71DC506-3607-1041-A83E-4768754E1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BCE2FB3-0954-BF4A-81B1-9D1C8172B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9.vml"/><Relationship Id="rId3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10.vml"/><Relationship Id="rId3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1.vml"/><Relationship Id="rId3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vmlDrawing" Target="../drawings/vmlDrawing12.vml"/><Relationship Id="rId3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vmlDrawing" Target="../drawings/vmlDrawing13.vml"/><Relationship Id="rId3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vmlDrawing" Target="../drawings/vmlDrawing14.vml"/><Relationship Id="rId3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vmlDrawing" Target="../drawings/vmlDrawing15.vml"/><Relationship Id="rId3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vmlDrawing" Target="../drawings/vmlDrawing16.vml"/><Relationship Id="rId3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vmlDrawing" Target="../drawings/vmlDrawing17.vml"/><Relationship Id="rId3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Relationship Id="rId2" Type="http://schemas.openxmlformats.org/officeDocument/2006/relationships/vmlDrawing" Target="../drawings/vmlDrawing18.vml"/><Relationship Id="rId3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Relationship Id="rId2" Type="http://schemas.openxmlformats.org/officeDocument/2006/relationships/vmlDrawing" Target="../drawings/vmlDrawing19.vml"/><Relationship Id="rId3" Type="http://schemas.openxmlformats.org/officeDocument/2006/relationships/comments" Target="../comments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2"/>
  <sheetViews>
    <sheetView zoomScale="150" zoomScaleNormal="150" zoomScalePageLayoutView="150" workbookViewId="0">
      <selection activeCell="N20" sqref="N20"/>
    </sheetView>
  </sheetViews>
  <sheetFormatPr baseColWidth="10" defaultColWidth="11" defaultRowHeight="13" x14ac:dyDescent="0.15"/>
  <cols>
    <col min="6" max="6" width="12.1640625" customWidth="1"/>
    <col min="10" max="10" width="14.33203125" customWidth="1"/>
  </cols>
  <sheetData>
    <row r="1" spans="1:14" ht="18" x14ac:dyDescent="0.2">
      <c r="A1" s="83"/>
      <c r="B1" s="83"/>
      <c r="C1" s="83"/>
      <c r="D1" s="83"/>
      <c r="E1" s="83"/>
      <c r="F1" s="83"/>
      <c r="G1" s="83"/>
      <c r="H1" s="83"/>
      <c r="I1" s="84"/>
      <c r="J1" s="84"/>
      <c r="K1" s="84"/>
      <c r="L1" s="84"/>
      <c r="M1" s="84"/>
      <c r="N1" s="85"/>
    </row>
    <row r="2" spans="1:14" x14ac:dyDescent="0.15">
      <c r="A2" s="2"/>
      <c r="B2" s="50"/>
      <c r="C2" s="86"/>
      <c r="D2" s="88"/>
      <c r="E2" s="89"/>
      <c r="F2" s="88"/>
      <c r="G2" s="89"/>
      <c r="H2" s="88"/>
      <c r="I2" s="89"/>
      <c r="J2" s="90"/>
      <c r="K2" s="87"/>
      <c r="L2" s="2"/>
      <c r="M2" s="2"/>
      <c r="N2" s="85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 enableFormatConditionsCalculation="0"/>
  <dimension ref="A1:AD77"/>
  <sheetViews>
    <sheetView topLeftCell="N1" zoomScale="125" zoomScaleNormal="125" zoomScalePageLayoutView="125" workbookViewId="0">
      <selection activeCell="Q8" sqref="Q8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6.56</v>
      </c>
      <c r="D30" s="1">
        <v>8.3439999999999994</v>
      </c>
      <c r="E30" s="1">
        <v>9.8729999999999993</v>
      </c>
      <c r="F30" s="1">
        <v>10.96</v>
      </c>
      <c r="G30" s="1">
        <v>11.95</v>
      </c>
      <c r="H30" s="1">
        <v>12.36</v>
      </c>
      <c r="I30" s="1">
        <v>13.34</v>
      </c>
      <c r="J30" s="1">
        <v>15.25</v>
      </c>
      <c r="K30" s="1">
        <v>18.09</v>
      </c>
      <c r="L30" s="1">
        <v>22.19</v>
      </c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0.65599999999999992</v>
      </c>
      <c r="D33" s="17">
        <f t="shared" si="11"/>
        <v>0.83439999999999992</v>
      </c>
      <c r="E33" s="17">
        <f t="shared" si="11"/>
        <v>0.98729999999999996</v>
      </c>
      <c r="F33" s="17">
        <f t="shared" si="11"/>
        <v>1.0960000000000001</v>
      </c>
      <c r="G33" s="17">
        <f t="shared" si="11"/>
        <v>1.1949999999999998</v>
      </c>
      <c r="H33" s="17">
        <f t="shared" si="11"/>
        <v>1.236</v>
      </c>
      <c r="I33" s="17">
        <f>I30/I32</f>
        <v>1.3340000000000001</v>
      </c>
      <c r="J33" s="17">
        <f>J30/J32</f>
        <v>1.5249999999999999</v>
      </c>
      <c r="K33" s="17">
        <f>K30/K32</f>
        <v>1.8089999999999999</v>
      </c>
      <c r="L33" s="17">
        <f>L30/L32</f>
        <v>2.2190000000000003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83.414713541666657</v>
      </c>
      <c r="D34" s="13">
        <f t="shared" si="12"/>
        <v>106.09944661458331</v>
      </c>
      <c r="E34" s="13">
        <f t="shared" si="12"/>
        <v>125.54168701171875</v>
      </c>
      <c r="F34" s="13">
        <f t="shared" si="12"/>
        <v>139.36360677083334</v>
      </c>
      <c r="G34" s="13">
        <f t="shared" si="12"/>
        <v>151.95210774739581</v>
      </c>
      <c r="H34" s="13">
        <f t="shared" si="12"/>
        <v>157.16552734375</v>
      </c>
      <c r="I34" s="13">
        <f t="shared" si="12"/>
        <v>169.62687174479166</v>
      </c>
      <c r="J34" s="13">
        <f t="shared" si="12"/>
        <v>193.91377766927084</v>
      </c>
      <c r="K34" s="13">
        <f t="shared" si="12"/>
        <v>230.0262451171875</v>
      </c>
      <c r="L34" s="13">
        <f t="shared" si="12"/>
        <v>282.16044108072924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/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1.2719512195121951</v>
      </c>
      <c r="D40" s="37">
        <f t="shared" ref="D40:O40" si="13">$D$33/D33</f>
        <v>1</v>
      </c>
      <c r="E40" s="37">
        <f t="shared" si="13"/>
        <v>0.84513319153246225</v>
      </c>
      <c r="F40" s="37">
        <f t="shared" si="13"/>
        <v>0.76131386861313854</v>
      </c>
      <c r="G40" s="37">
        <f t="shared" si="13"/>
        <v>0.69824267782426785</v>
      </c>
      <c r="H40" s="37">
        <f t="shared" si="13"/>
        <v>0.67508090614886729</v>
      </c>
      <c r="I40" s="37">
        <f t="shared" si="13"/>
        <v>0.62548725637181402</v>
      </c>
      <c r="J40" s="37">
        <f t="shared" si="13"/>
        <v>0.54714754098360652</v>
      </c>
      <c r="K40" s="37">
        <f t="shared" si="13"/>
        <v>0.46124930901050298</v>
      </c>
      <c r="L40" s="37">
        <f t="shared" si="13"/>
        <v>0.37602523659305986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1.2410322770211046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1.0893600780487804</v>
      </c>
      <c r="E50" s="17">
        <f t="shared" ref="E50:P50" si="15">$C$48*(E47*($C$43+ 3*E15+E16*E28+E12*E21*E22*E23*($C$44 + E25*($C$45 + E9*$C$46)) ) )/1000000000</f>
        <v>1.1325631000718464</v>
      </c>
      <c r="F50" s="17">
        <f t="shared" si="15"/>
        <v>1.1756039039342785</v>
      </c>
      <c r="G50" s="17">
        <f t="shared" si="15"/>
        <v>1.1967586444051559</v>
      </c>
      <c r="H50" s="17">
        <f t="shared" si="15"/>
        <v>1.2146876128606638</v>
      </c>
      <c r="I50" s="17">
        <f t="shared" si="15"/>
        <v>1.2505455497716795</v>
      </c>
      <c r="J50" s="17">
        <f t="shared" si="15"/>
        <v>1.2836267789979519</v>
      </c>
      <c r="K50" s="17">
        <f t="shared" si="15"/>
        <v>1.3214500358376704</v>
      </c>
      <c r="L50" s="17">
        <f t="shared" si="15"/>
        <v>1.3592732926773892</v>
      </c>
      <c r="M50" s="17">
        <f t="shared" si="15"/>
        <v>1.46008157512756</v>
      </c>
      <c r="N50" s="17">
        <f t="shared" si="15"/>
        <v>1.5018354718246838</v>
      </c>
      <c r="O50" s="17">
        <f t="shared" si="15"/>
        <v>1.5853432652189321</v>
      </c>
      <c r="P50" s="17">
        <f t="shared" si="15"/>
        <v>1.6688510586131804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138.51929703379065</v>
      </c>
      <c r="E52" s="29">
        <f t="shared" si="16"/>
        <v>144.01284536639483</v>
      </c>
      <c r="F52" s="29">
        <f t="shared" si="16"/>
        <v>149.48576659320557</v>
      </c>
      <c r="G52" s="29">
        <f t="shared" si="16"/>
        <v>152.17573094751432</v>
      </c>
      <c r="H52" s="29">
        <f t="shared" si="16"/>
        <v>154.45551717893778</v>
      </c>
      <c r="I52" s="29">
        <f t="shared" si="16"/>
        <v>159.01508964178461</v>
      </c>
      <c r="J52" s="29">
        <f t="shared" si="16"/>
        <v>163.2215854642171</v>
      </c>
      <c r="K52" s="29">
        <f t="shared" si="16"/>
        <v>168.03106127900065</v>
      </c>
      <c r="L52" s="29">
        <f t="shared" si="16"/>
        <v>172.84053709378423</v>
      </c>
      <c r="M52" s="29">
        <f t="shared" si="16"/>
        <v>185.65897307428486</v>
      </c>
      <c r="N52" s="29">
        <f t="shared" si="16"/>
        <v>190.96825559294177</v>
      </c>
      <c r="O52" s="29">
        <f t="shared" si="16"/>
        <v>201.58682063025566</v>
      </c>
      <c r="P52" s="29">
        <f t="shared" si="16"/>
        <v>212.20538566756952</v>
      </c>
    </row>
    <row r="53" spans="1:16" s="12" customFormat="1" x14ac:dyDescent="0.15">
      <c r="B53" s="10" t="s">
        <v>58</v>
      </c>
      <c r="C53" s="17">
        <f>$D$50/C50</f>
        <v>1.2719512195121951</v>
      </c>
      <c r="D53" s="17">
        <f t="shared" ref="D53:P53" si="17">$D$50/D50</f>
        <v>1</v>
      </c>
      <c r="E53" s="17">
        <f t="shared" si="17"/>
        <v>0.96185376159586577</v>
      </c>
      <c r="F53" s="17">
        <f t="shared" si="17"/>
        <v>0.92663870407636939</v>
      </c>
      <c r="G53" s="17">
        <f t="shared" si="17"/>
        <v>0.91025879206432847</v>
      </c>
      <c r="H53" s="17">
        <f t="shared" si="17"/>
        <v>0.89682323793791774</v>
      </c>
      <c r="I53" s="17">
        <f t="shared" si="17"/>
        <v>0.87110787627661557</v>
      </c>
      <c r="J53" s="17">
        <f t="shared" si="17"/>
        <v>0.84865795562412349</v>
      </c>
      <c r="K53" s="17">
        <f t="shared" si="17"/>
        <v>0.82436720913040984</v>
      </c>
      <c r="L53" s="17">
        <f t="shared" si="17"/>
        <v>0.80142829548504191</v>
      </c>
      <c r="M53" s="17">
        <f t="shared" si="17"/>
        <v>0.74609535289397</v>
      </c>
      <c r="N53" s="17">
        <f t="shared" si="17"/>
        <v>0.72535247601073205</v>
      </c>
      <c r="O53" s="17">
        <f t="shared" si="17"/>
        <v>0.68714460896160712</v>
      </c>
      <c r="P53" s="17">
        <f t="shared" si="17"/>
        <v>0.65276051594085427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1.0893600780487804</v>
      </c>
      <c r="E56" s="57">
        <f t="shared" ref="E56:P56" si="18">$C$69*(E47*($C$62+ $C$63*3*E15+E16*E28+E12*E21*E22*E23*($C$66 + E25*($C$67 + E9*$C$68)) ) + $C$64*(E27)^2 + $C$65*((E27)^2)/(E10/E25) )/1000000000</f>
        <v>1.1325631000718464</v>
      </c>
      <c r="F56" s="57">
        <f t="shared" si="18"/>
        <v>1.1756039039342785</v>
      </c>
      <c r="G56" s="57">
        <f t="shared" si="18"/>
        <v>1.1967586444051559</v>
      </c>
      <c r="H56" s="57">
        <f t="shared" si="18"/>
        <v>1.2146876128606638</v>
      </c>
      <c r="I56" s="57">
        <f t="shared" si="18"/>
        <v>1.2505455497716795</v>
      </c>
      <c r="J56" s="57">
        <f t="shared" si="18"/>
        <v>1.2836267789979519</v>
      </c>
      <c r="K56" s="57">
        <f t="shared" si="18"/>
        <v>1.3214500358376704</v>
      </c>
      <c r="L56" s="57">
        <f t="shared" si="18"/>
        <v>1.3592732926773892</v>
      </c>
      <c r="M56" s="57">
        <f t="shared" si="18"/>
        <v>1.46008157512756</v>
      </c>
      <c r="N56" s="57">
        <f t="shared" si="18"/>
        <v>1.5018354718246838</v>
      </c>
      <c r="O56" s="57">
        <f t="shared" si="18"/>
        <v>1.5853432652189321</v>
      </c>
      <c r="P56" s="57">
        <f t="shared" si="18"/>
        <v>1.6688510586131804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138.51929703379065</v>
      </c>
      <c r="E58" s="29">
        <f t="shared" si="19"/>
        <v>144.01284536639483</v>
      </c>
      <c r="F58" s="29">
        <f t="shared" si="19"/>
        <v>149.48576659320557</v>
      </c>
      <c r="G58" s="29">
        <f t="shared" si="19"/>
        <v>152.17573094751432</v>
      </c>
      <c r="H58" s="29">
        <f t="shared" si="19"/>
        <v>154.45551717893778</v>
      </c>
      <c r="I58" s="29">
        <f t="shared" si="19"/>
        <v>159.01508964178461</v>
      </c>
      <c r="J58" s="29">
        <f t="shared" si="19"/>
        <v>163.2215854642171</v>
      </c>
      <c r="K58" s="29">
        <f t="shared" si="19"/>
        <v>168.03106127900065</v>
      </c>
      <c r="L58" s="29">
        <f t="shared" si="19"/>
        <v>172.84053709378423</v>
      </c>
      <c r="M58" s="29">
        <f t="shared" si="19"/>
        <v>185.65897307428486</v>
      </c>
      <c r="N58" s="29">
        <f t="shared" si="19"/>
        <v>190.96825559294177</v>
      </c>
      <c r="O58" s="29">
        <f t="shared" si="19"/>
        <v>201.58682063025566</v>
      </c>
      <c r="P58" s="29">
        <f t="shared" si="19"/>
        <v>212.20538566756952</v>
      </c>
    </row>
    <row r="59" spans="1:16" s="12" customFormat="1" x14ac:dyDescent="0.15">
      <c r="B59" s="10" t="s">
        <v>58</v>
      </c>
      <c r="C59" s="17">
        <f>$D$56/C56</f>
        <v>1.2719512195121951</v>
      </c>
      <c r="D59" s="17">
        <f t="shared" ref="D59:P59" si="20">$D$56/D56</f>
        <v>1</v>
      </c>
      <c r="E59" s="17">
        <f t="shared" si="20"/>
        <v>0.96185376159586577</v>
      </c>
      <c r="F59" s="17">
        <f t="shared" si="20"/>
        <v>0.92663870407636939</v>
      </c>
      <c r="G59" s="17">
        <f t="shared" si="20"/>
        <v>0.91025879206432847</v>
      </c>
      <c r="H59" s="17">
        <f t="shared" si="20"/>
        <v>0.89682323793791774</v>
      </c>
      <c r="I59" s="17">
        <f t="shared" si="20"/>
        <v>0.87110787627661557</v>
      </c>
      <c r="J59" s="17">
        <f t="shared" si="20"/>
        <v>0.84865795562412349</v>
      </c>
      <c r="K59" s="17">
        <f t="shared" si="20"/>
        <v>0.82436720913040984</v>
      </c>
      <c r="L59" s="17">
        <f t="shared" si="20"/>
        <v>0.80142829548504191</v>
      </c>
      <c r="M59" s="17">
        <f t="shared" si="20"/>
        <v>0.74609535289397</v>
      </c>
      <c r="N59" s="17">
        <f t="shared" si="20"/>
        <v>0.72535247601073205</v>
      </c>
      <c r="O59" s="17">
        <f t="shared" si="20"/>
        <v>0.68714460896160712</v>
      </c>
      <c r="P59" s="17">
        <f t="shared" si="20"/>
        <v>0.65276051594085427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1.2410322770211046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 enableFormatConditionsCalculation="0"/>
  <dimension ref="A1:AD77"/>
  <sheetViews>
    <sheetView topLeftCell="C1" zoomScale="125" zoomScaleNormal="125" zoomScalePageLayoutView="125" workbookViewId="0">
      <selection activeCell="R5" sqref="R5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  <c r="O12" s="2">
        <v>8</v>
      </c>
      <c r="P12" s="2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47.8</v>
      </c>
      <c r="D30" s="1">
        <v>62.19</v>
      </c>
      <c r="E30" s="1">
        <v>72.45</v>
      </c>
      <c r="F30" s="1">
        <v>92.81</v>
      </c>
      <c r="G30" s="1">
        <v>87.8</v>
      </c>
      <c r="H30" s="1">
        <v>81.709999999999994</v>
      </c>
      <c r="I30" s="74">
        <v>96.16</v>
      </c>
      <c r="J30" s="1">
        <v>82.29</v>
      </c>
      <c r="K30" s="1">
        <v>89.74</v>
      </c>
      <c r="L30" s="1">
        <v>142</v>
      </c>
      <c r="M30" s="1"/>
      <c r="N30" s="1"/>
      <c r="P30" s="70">
        <v>0</v>
      </c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8" s="52" customFormat="1" x14ac:dyDescent="0.15">
      <c r="B33" s="10" t="s">
        <v>34</v>
      </c>
      <c r="C33" s="17">
        <f t="shared" ref="C33:P33" si="11">C30/C32</f>
        <v>4.7799999999999994</v>
      </c>
      <c r="D33" s="17">
        <f t="shared" si="11"/>
        <v>6.2189999999999994</v>
      </c>
      <c r="E33" s="17">
        <f t="shared" si="11"/>
        <v>7.2450000000000001</v>
      </c>
      <c r="F33" s="17">
        <f t="shared" si="11"/>
        <v>9.2810000000000006</v>
      </c>
      <c r="G33" s="17">
        <f t="shared" si="11"/>
        <v>8.7799999999999994</v>
      </c>
      <c r="H33" s="17">
        <f t="shared" si="11"/>
        <v>8.1709999999999994</v>
      </c>
      <c r="I33" s="17">
        <f>I30/I32</f>
        <v>9.6159999999999997</v>
      </c>
      <c r="J33" s="17">
        <f>J30/J32</f>
        <v>8.229000000000001</v>
      </c>
      <c r="K33" s="17">
        <f>K30/K32</f>
        <v>8.9740000000000002</v>
      </c>
      <c r="L33" s="17">
        <f>L30/L32</f>
        <v>14.2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  <c r="R33" s="79"/>
    </row>
    <row r="34" spans="1:18" x14ac:dyDescent="0.15">
      <c r="B34" s="6" t="s">
        <v>56</v>
      </c>
      <c r="C34" s="13">
        <f t="shared" ref="C34:O34" si="12">1000000000*C33/C14</f>
        <v>67.534270109953695</v>
      </c>
      <c r="D34" s="13">
        <f t="shared" si="12"/>
        <v>87.865193684895814</v>
      </c>
      <c r="E34" s="13">
        <f t="shared" si="12"/>
        <v>102.36104329427083</v>
      </c>
      <c r="F34" s="13">
        <f t="shared" si="12"/>
        <v>131.12668637876158</v>
      </c>
      <c r="G34" s="13">
        <f t="shared" si="12"/>
        <v>124.04830367476852</v>
      </c>
      <c r="H34" s="13">
        <f t="shared" si="12"/>
        <v>115.44404206452545</v>
      </c>
      <c r="I34" s="13">
        <f t="shared" si="12"/>
        <v>135.85973668981481</v>
      </c>
      <c r="J34" s="13">
        <f t="shared" si="12"/>
        <v>116.26349555121529</v>
      </c>
      <c r="K34" s="13">
        <f t="shared" si="12"/>
        <v>126.78923430266204</v>
      </c>
      <c r="L34" s="13">
        <f t="shared" si="12"/>
        <v>200.62481915509258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8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8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2">
        <v>0</v>
      </c>
    </row>
    <row r="37" spans="1:18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8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8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8" x14ac:dyDescent="0.15">
      <c r="B40" s="10" t="s">
        <v>51</v>
      </c>
      <c r="C40" s="37">
        <f>$D$33/C33</f>
        <v>1.3010460251046025</v>
      </c>
      <c r="D40" s="37">
        <f t="shared" ref="D40:P40" si="13">$D$33/D33</f>
        <v>1</v>
      </c>
      <c r="E40" s="37">
        <f t="shared" si="13"/>
        <v>0.85838509316770173</v>
      </c>
      <c r="F40" s="37">
        <f t="shared" si="13"/>
        <v>0.67007865531731481</v>
      </c>
      <c r="G40" s="37">
        <f t="shared" si="13"/>
        <v>0.70831435079726646</v>
      </c>
      <c r="H40" s="37">
        <f t="shared" si="13"/>
        <v>0.76110635173173413</v>
      </c>
      <c r="I40" s="37">
        <f t="shared" si="13"/>
        <v>0.64673460898502488</v>
      </c>
      <c r="J40" s="37">
        <f t="shared" si="13"/>
        <v>0.75574188844331003</v>
      </c>
      <c r="K40" s="37">
        <f t="shared" si="13"/>
        <v>0.69300200579451743</v>
      </c>
      <c r="L40" s="37">
        <f t="shared" si="13"/>
        <v>0.4379577464788732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8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8" ht="18" customHeight="1" x14ac:dyDescent="0.15">
      <c r="A42" s="28" t="s">
        <v>63</v>
      </c>
      <c r="B42" s="10"/>
      <c r="C42" s="7"/>
    </row>
    <row r="43" spans="1:18" x14ac:dyDescent="0.15">
      <c r="B43" s="10" t="s">
        <v>53</v>
      </c>
      <c r="C43" s="59">
        <v>35000</v>
      </c>
    </row>
    <row r="44" spans="1:18" x14ac:dyDescent="0.15">
      <c r="B44" s="10" t="s">
        <v>60</v>
      </c>
      <c r="C44" s="34">
        <v>1000</v>
      </c>
    </row>
    <row r="45" spans="1:18" x14ac:dyDescent="0.15">
      <c r="B45" s="10" t="s">
        <v>61</v>
      </c>
      <c r="C45" s="1">
        <v>100</v>
      </c>
    </row>
    <row r="46" spans="1:18" x14ac:dyDescent="0.15">
      <c r="B46" s="10" t="s">
        <v>62</v>
      </c>
      <c r="C46" s="1">
        <v>75</v>
      </c>
    </row>
    <row r="47" spans="1:18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8" x14ac:dyDescent="0.15">
      <c r="B48" s="10" t="s">
        <v>52</v>
      </c>
      <c r="C48" s="35">
        <f>(D33/C33)/(D51/C51)</f>
        <v>1.2622526920756352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5.8371839999999997</v>
      </c>
      <c r="D50" s="17">
        <f>$C$48*(D47*($C$43+ 3*D15+D16*D28+D12*D21*D22*D23*($C$44 + D25*($C$45 + D9*$C$46)) ) )/1000000000</f>
        <v>7.5944450410041826</v>
      </c>
      <c r="E50" s="17">
        <f t="shared" ref="E50:P50" si="15">$C$48*(E47*($C$43+ 3*E15+E16*E28+E12*E21*E22*E23*($C$44 + E25*($C$45 + E9*$C$46)) ) )/1000000000</f>
        <v>7.8525188967653463</v>
      </c>
      <c r="F50" s="17">
        <f t="shared" si="15"/>
        <v>8.0602718663074366</v>
      </c>
      <c r="G50" s="17">
        <f t="shared" si="15"/>
        <v>8.0286357379518503</v>
      </c>
      <c r="H50" s="17">
        <f t="shared" si="15"/>
        <v>8.1489149250372712</v>
      </c>
      <c r="I50" s="17">
        <f t="shared" si="15"/>
        <v>8.3894732992081131</v>
      </c>
      <c r="J50" s="17">
        <f t="shared" si="15"/>
        <v>8.2552983728403362</v>
      </c>
      <c r="K50" s="17">
        <f t="shared" si="15"/>
        <v>8.4985484169755949</v>
      </c>
      <c r="L50" s="17">
        <f t="shared" si="15"/>
        <v>8.7417984611108537</v>
      </c>
      <c r="M50" s="17">
        <f t="shared" si="15"/>
        <v>8.6943986489912088</v>
      </c>
      <c r="N50" s="17">
        <f t="shared" si="15"/>
        <v>8.9430320330552995</v>
      </c>
      <c r="O50" s="17">
        <f t="shared" si="15"/>
        <v>9.4402988011834825</v>
      </c>
      <c r="P50" s="17">
        <f t="shared" si="15"/>
        <v>9.9375655693116673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5.8371839999999997</v>
      </c>
      <c r="D51" s="60">
        <f>(D47*($C$43+ 3*D15+D16*D28+D12*D21*D22*D23*($C$44 + D25*($C$45 + D9*$C$46)) ) )/1000000000</f>
        <v>6.0165805853944798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82.470703125</v>
      </c>
      <c r="D52" s="29">
        <f t="shared" ref="D52:P52" si="16">1000000000*D50/D14</f>
        <v>107.29818048836296</v>
      </c>
      <c r="E52" s="29">
        <f t="shared" si="16"/>
        <v>110.94437912503484</v>
      </c>
      <c r="F52" s="29">
        <f t="shared" si="16"/>
        <v>113.87961869850776</v>
      </c>
      <c r="G52" s="29">
        <f t="shared" si="16"/>
        <v>113.43264739357065</v>
      </c>
      <c r="H52" s="29">
        <f t="shared" si="16"/>
        <v>115.13201289759419</v>
      </c>
      <c r="I52" s="29">
        <f t="shared" si="16"/>
        <v>118.53074390564124</v>
      </c>
      <c r="J52" s="29">
        <f t="shared" si="16"/>
        <v>116.63505233256497</v>
      </c>
      <c r="K52" s="29">
        <f t="shared" si="16"/>
        <v>120.07181262229064</v>
      </c>
      <c r="L52" s="29">
        <f t="shared" si="16"/>
        <v>123.50857291201632</v>
      </c>
      <c r="M52" s="29">
        <f t="shared" si="16"/>
        <v>122.83888426874245</v>
      </c>
      <c r="N52" s="29">
        <f t="shared" si="16"/>
        <v>126.35170312182532</v>
      </c>
      <c r="O52" s="29">
        <f t="shared" si="16"/>
        <v>133.37734082799111</v>
      </c>
      <c r="P52" s="29">
        <f t="shared" si="16"/>
        <v>140.40297853415689</v>
      </c>
    </row>
    <row r="53" spans="1:16" s="12" customFormat="1" x14ac:dyDescent="0.15">
      <c r="B53" s="10" t="s">
        <v>58</v>
      </c>
      <c r="C53" s="17">
        <f>$D$50/C50</f>
        <v>1.3010460251046023</v>
      </c>
      <c r="D53" s="17">
        <f t="shared" ref="D53:P53" si="17">$D$50/D50</f>
        <v>1</v>
      </c>
      <c r="E53" s="17">
        <f t="shared" si="17"/>
        <v>0.96713489529232832</v>
      </c>
      <c r="F53" s="17">
        <f t="shared" si="17"/>
        <v>0.94220705789708581</v>
      </c>
      <c r="G53" s="17">
        <f t="shared" si="17"/>
        <v>0.9459197413957614</v>
      </c>
      <c r="H53" s="17">
        <f t="shared" si="17"/>
        <v>0.93195782639361002</v>
      </c>
      <c r="I53" s="17">
        <f t="shared" si="17"/>
        <v>0.90523502133572875</v>
      </c>
      <c r="J53" s="17">
        <f t="shared" si="17"/>
        <v>0.91994797740923095</v>
      </c>
      <c r="K53" s="17">
        <f t="shared" si="17"/>
        <v>0.89361672939751768</v>
      </c>
      <c r="L53" s="17">
        <f t="shared" si="17"/>
        <v>0.86875087257949979</v>
      </c>
      <c r="M53" s="17">
        <f t="shared" si="17"/>
        <v>0.87348709756773679</v>
      </c>
      <c r="N53" s="17">
        <f t="shared" si="17"/>
        <v>0.84920248668835585</v>
      </c>
      <c r="O53" s="17">
        <f t="shared" si="17"/>
        <v>0.80447083306855771</v>
      </c>
      <c r="P53" s="17">
        <f t="shared" si="17"/>
        <v>0.76421584220351635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5.8371839999999997</v>
      </c>
      <c r="D56" s="57">
        <f>$C$69*(D47*($C$62+ $C$63*3*D15+D16*D28+D12*D21*D22*D23*($C$66 + D25*($C$67 + D9*$C$68)) ) + $C$64*(D27)^2 + $C$65*((D27)^2)/(D10/D25) )/1000000000</f>
        <v>7.5944450410041826</v>
      </c>
      <c r="E56" s="57">
        <f t="shared" ref="E56:P56" si="18">$C$69*(E47*($C$62+ $C$63*3*E15+E16*E28+E12*E21*E22*E23*($C$66 + E25*($C$67 + E9*$C$68)) ) + $C$64*(E27)^2 + $C$65*((E27)^2)/(E10/E25) )/1000000000</f>
        <v>7.8525188967653463</v>
      </c>
      <c r="F56" s="57">
        <f t="shared" si="18"/>
        <v>8.0602718663074366</v>
      </c>
      <c r="G56" s="57">
        <f t="shared" si="18"/>
        <v>8.0286357379518503</v>
      </c>
      <c r="H56" s="57">
        <f t="shared" si="18"/>
        <v>8.1489149250372712</v>
      </c>
      <c r="I56" s="57">
        <f t="shared" si="18"/>
        <v>8.3894732992081131</v>
      </c>
      <c r="J56" s="57">
        <f t="shared" si="18"/>
        <v>8.2552983728403362</v>
      </c>
      <c r="K56" s="57">
        <f t="shared" si="18"/>
        <v>8.4985484169755949</v>
      </c>
      <c r="L56" s="57">
        <f t="shared" si="18"/>
        <v>8.7417984611108537</v>
      </c>
      <c r="M56" s="57">
        <f t="shared" si="18"/>
        <v>8.6943986489912088</v>
      </c>
      <c r="N56" s="57">
        <f t="shared" si="18"/>
        <v>8.9430320330552995</v>
      </c>
      <c r="O56" s="57">
        <f t="shared" si="18"/>
        <v>9.4402988011834825</v>
      </c>
      <c r="P56" s="57">
        <f t="shared" si="18"/>
        <v>9.9375655693116673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5.8371839999999997</v>
      </c>
      <c r="D57" s="60">
        <f>(D47*($C$43+ $C$63*3*D15+D16*D28+D12*D21*D22*D23*($C$44 + D25*($C$45 + D9*$C$46)) ) + $C$64*(D27)^2 + $C$65*((D27)^2)/(D10/D25) )/1000000000</f>
        <v>6.0165805853944798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82.470703125</v>
      </c>
      <c r="D58" s="29">
        <f t="shared" ref="D58:P58" si="19">1000000000*D56/D14</f>
        <v>107.29818048836296</v>
      </c>
      <c r="E58" s="29">
        <f t="shared" si="19"/>
        <v>110.94437912503484</v>
      </c>
      <c r="F58" s="29">
        <f t="shared" si="19"/>
        <v>113.87961869850776</v>
      </c>
      <c r="G58" s="29">
        <f t="shared" si="19"/>
        <v>113.43264739357065</v>
      </c>
      <c r="H58" s="29">
        <f t="shared" si="19"/>
        <v>115.13201289759419</v>
      </c>
      <c r="I58" s="29">
        <f t="shared" si="19"/>
        <v>118.53074390564124</v>
      </c>
      <c r="J58" s="29">
        <f t="shared" si="19"/>
        <v>116.63505233256497</v>
      </c>
      <c r="K58" s="29">
        <f t="shared" si="19"/>
        <v>120.07181262229064</v>
      </c>
      <c r="L58" s="29">
        <f t="shared" si="19"/>
        <v>123.50857291201632</v>
      </c>
      <c r="M58" s="29">
        <f t="shared" si="19"/>
        <v>122.83888426874245</v>
      </c>
      <c r="N58" s="29">
        <f t="shared" si="19"/>
        <v>126.35170312182532</v>
      </c>
      <c r="O58" s="29">
        <f t="shared" si="19"/>
        <v>133.37734082799111</v>
      </c>
      <c r="P58" s="29">
        <f t="shared" si="19"/>
        <v>140.40297853415689</v>
      </c>
    </row>
    <row r="59" spans="1:16" s="12" customFormat="1" x14ac:dyDescent="0.15">
      <c r="B59" s="10" t="s">
        <v>58</v>
      </c>
      <c r="C59" s="17">
        <f>$D$56/C56</f>
        <v>1.3010460251046023</v>
      </c>
      <c r="D59" s="17">
        <f t="shared" ref="D59:P59" si="20">$D$56/D56</f>
        <v>1</v>
      </c>
      <c r="E59" s="17">
        <f t="shared" si="20"/>
        <v>0.96713489529232832</v>
      </c>
      <c r="F59" s="17">
        <f t="shared" si="20"/>
        <v>0.94220705789708581</v>
      </c>
      <c r="G59" s="17">
        <f t="shared" si="20"/>
        <v>0.9459197413957614</v>
      </c>
      <c r="H59" s="17">
        <f t="shared" si="20"/>
        <v>0.93195782639361002</v>
      </c>
      <c r="I59" s="17">
        <f t="shared" si="20"/>
        <v>0.90523502133572875</v>
      </c>
      <c r="J59" s="17">
        <f t="shared" si="20"/>
        <v>0.91994797740923095</v>
      </c>
      <c r="K59" s="17">
        <f t="shared" si="20"/>
        <v>0.89361672939751768</v>
      </c>
      <c r="L59" s="17">
        <f t="shared" si="20"/>
        <v>0.86875087257949979</v>
      </c>
      <c r="M59" s="17">
        <f t="shared" si="20"/>
        <v>0.87348709756773679</v>
      </c>
      <c r="N59" s="17">
        <f t="shared" si="20"/>
        <v>0.84920248668835585</v>
      </c>
      <c r="O59" s="17">
        <f t="shared" si="20"/>
        <v>0.80447083306855771</v>
      </c>
      <c r="P59" s="17">
        <f t="shared" si="20"/>
        <v>0.76421584220351635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100</v>
      </c>
    </row>
    <row r="68" spans="1:16" x14ac:dyDescent="0.15">
      <c r="B68" s="10" t="s">
        <v>62</v>
      </c>
      <c r="C68" s="1">
        <v>75</v>
      </c>
    </row>
    <row r="69" spans="1:16" x14ac:dyDescent="0.15">
      <c r="B69" s="6" t="s">
        <v>52</v>
      </c>
      <c r="C69" s="35">
        <f>(D33/C33)/(D57/C57)</f>
        <v>1.2622526920756352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 enableFormatConditionsCalculation="0"/>
  <dimension ref="A1:AD77"/>
  <sheetViews>
    <sheetView zoomScale="125" zoomScaleNormal="125" zoomScalePageLayoutView="125" workbookViewId="0">
      <selection activeCell="R13" sqref="R13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3</v>
      </c>
      <c r="L9" s="1">
        <v>1</v>
      </c>
      <c r="M9" s="1">
        <v>1</v>
      </c>
      <c r="N9" s="1">
        <v>1</v>
      </c>
      <c r="O9" s="1">
        <v>1</v>
      </c>
      <c r="P9" s="1">
        <v>1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2621440</v>
      </c>
      <c r="D13" s="34">
        <f t="shared" ref="D13:P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128849018880</v>
      </c>
      <c r="L13" s="34">
        <f t="shared" si="2"/>
        <v>85899345920</v>
      </c>
      <c r="M13" s="34">
        <f t="shared" si="2"/>
        <v>171798691840</v>
      </c>
      <c r="N13" s="34">
        <f t="shared" si="2"/>
        <v>343597383680</v>
      </c>
      <c r="O13" s="34">
        <f t="shared" si="2"/>
        <v>687194767360</v>
      </c>
      <c r="P13" s="34">
        <f t="shared" si="2"/>
        <v>1030792151040</v>
      </c>
    </row>
    <row r="14" spans="1:16" x14ac:dyDescent="0.15">
      <c r="B14" s="6" t="s">
        <v>26</v>
      </c>
      <c r="C14" s="34">
        <f t="shared" ref="C14:P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7864320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  <c r="O14" s="34">
        <f t="shared" si="3"/>
        <v>2621440</v>
      </c>
      <c r="P14" s="34">
        <f t="shared" si="3"/>
        <v>2621440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1</v>
      </c>
      <c r="D24" s="7">
        <f t="shared" ref="D24:L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v>1</v>
      </c>
      <c r="L24" s="7">
        <f t="shared" si="7"/>
        <v>1</v>
      </c>
      <c r="M24" s="2">
        <v>1</v>
      </c>
      <c r="N24" s="2">
        <v>1</v>
      </c>
      <c r="O24" s="2">
        <v>1</v>
      </c>
      <c r="P24" s="2">
        <v>1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768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6144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11520</v>
      </c>
      <c r="E28" s="1">
        <f t="shared" ref="E28:P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  <c r="O28" s="1">
        <f t="shared" si="10"/>
        <v>560</v>
      </c>
      <c r="P28" s="1">
        <f t="shared" si="10"/>
        <v>560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3.35</v>
      </c>
      <c r="D30" s="1">
        <v>4.0789999999999997</v>
      </c>
      <c r="E30" s="1">
        <v>5.1349999999999998</v>
      </c>
      <c r="F30" s="1">
        <v>6.4329999999999998</v>
      </c>
      <c r="G30" s="1">
        <v>10.94</v>
      </c>
      <c r="H30" s="1">
        <v>11.12</v>
      </c>
      <c r="I30" s="1">
        <v>8.2899999999999991</v>
      </c>
      <c r="J30" s="1">
        <v>8.6240000000000006</v>
      </c>
      <c r="K30" s="1">
        <v>13.54</v>
      </c>
      <c r="L30" s="1">
        <v>10.01</v>
      </c>
      <c r="M30" s="1"/>
      <c r="N30" s="1"/>
      <c r="P30" s="70"/>
    </row>
    <row r="31" spans="1:30" s="12" customFormat="1" x14ac:dyDescent="0.15">
      <c r="B31" s="10" t="s">
        <v>36</v>
      </c>
      <c r="C31" s="1">
        <v>6.4</v>
      </c>
      <c r="D31" s="1">
        <v>13.35</v>
      </c>
      <c r="E31" s="1">
        <v>12.02</v>
      </c>
      <c r="F31" s="1">
        <v>15.1</v>
      </c>
      <c r="G31" s="1">
        <v>23.68</v>
      </c>
      <c r="H31" s="1">
        <v>21.9</v>
      </c>
      <c r="I31" s="1">
        <v>20.91</v>
      </c>
      <c r="J31" s="1">
        <v>20.329999999999998</v>
      </c>
      <c r="K31" s="1">
        <v>30.43</v>
      </c>
      <c r="L31" s="1">
        <v>31.09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0.33500000000000002</v>
      </c>
      <c r="D33" s="17">
        <f t="shared" si="11"/>
        <v>0.40789999999999998</v>
      </c>
      <c r="E33" s="17">
        <f t="shared" si="11"/>
        <v>0.51349999999999996</v>
      </c>
      <c r="F33" s="17">
        <f t="shared" si="11"/>
        <v>0.64329999999999998</v>
      </c>
      <c r="G33" s="17">
        <f t="shared" si="11"/>
        <v>1.0939999999999999</v>
      </c>
      <c r="H33" s="17">
        <f t="shared" si="11"/>
        <v>1.1119999999999999</v>
      </c>
      <c r="I33" s="17">
        <f>I30/I32</f>
        <v>0.82899999999999996</v>
      </c>
      <c r="J33" s="17">
        <f>J30/J32</f>
        <v>0.86240000000000006</v>
      </c>
      <c r="K33" s="17">
        <f>K30/K32</f>
        <v>1.3539999999999999</v>
      </c>
      <c r="L33" s="17">
        <f>L30/L32</f>
        <v>1.0009999999999999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127.7923583984375</v>
      </c>
      <c r="D34" s="13">
        <f t="shared" si="12"/>
        <v>155.60150146484375</v>
      </c>
      <c r="E34" s="13">
        <f t="shared" si="12"/>
        <v>195.88470458984372</v>
      </c>
      <c r="F34" s="13">
        <f t="shared" si="12"/>
        <v>245.39947509765625</v>
      </c>
      <c r="G34" s="13">
        <f t="shared" si="12"/>
        <v>417.32788085937489</v>
      </c>
      <c r="H34" s="13">
        <f t="shared" si="12"/>
        <v>424.19433593749989</v>
      </c>
      <c r="I34" s="13">
        <f t="shared" si="12"/>
        <v>316.2384033203125</v>
      </c>
      <c r="J34" s="13">
        <f t="shared" si="12"/>
        <v>328.9794921875</v>
      </c>
      <c r="K34" s="13">
        <f t="shared" si="12"/>
        <v>172.17000325520831</v>
      </c>
      <c r="L34" s="13">
        <f t="shared" si="12"/>
        <v>381.85119628906244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158</v>
      </c>
      <c r="D36" s="12">
        <v>159.80000000000001</v>
      </c>
      <c r="E36" s="12">
        <v>224.5</v>
      </c>
      <c r="F36" s="12">
        <v>225.4</v>
      </c>
      <c r="G36" s="12">
        <v>231.4</v>
      </c>
      <c r="H36" s="12">
        <v>229.2</v>
      </c>
      <c r="I36" s="12">
        <v>230.7</v>
      </c>
      <c r="J36" s="12">
        <v>232.6</v>
      </c>
      <c r="K36" s="12">
        <v>234.4</v>
      </c>
      <c r="L36" s="12">
        <v>237.5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1.2176119402985073</v>
      </c>
      <c r="D40" s="37">
        <f t="shared" ref="D40:O40" si="13">$D$33/D33</f>
        <v>1</v>
      </c>
      <c r="E40" s="37">
        <f t="shared" si="13"/>
        <v>0.79435248296007799</v>
      </c>
      <c r="F40" s="37">
        <f t="shared" si="13"/>
        <v>0.63407430436810197</v>
      </c>
      <c r="G40" s="37">
        <f t="shared" si="13"/>
        <v>0.37285191956124319</v>
      </c>
      <c r="H40" s="37">
        <f t="shared" si="13"/>
        <v>0.36681654676258996</v>
      </c>
      <c r="I40" s="37">
        <f t="shared" si="13"/>
        <v>0.4920386007237636</v>
      </c>
      <c r="J40" s="37">
        <f t="shared" si="13"/>
        <v>0.47298237476808902</v>
      </c>
      <c r="K40" s="37">
        <f t="shared" si="13"/>
        <v>0.30125553914327918</v>
      </c>
      <c r="L40" s="37">
        <f t="shared" si="13"/>
        <v>0.40749250749250754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6332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1.2011084665728644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0.59430400000000005</v>
      </c>
      <c r="D50" s="17">
        <f>$C$48*(D47*($C$43+ 3*D15+D16*D28+D12*D21*D22*D23*($C$44 + D25*($C$45 + D9*$C$46)) ) )/1000000000</f>
        <v>0.72363164656716417</v>
      </c>
      <c r="E50" s="17">
        <f t="shared" ref="E50:P50" si="15">$C$48*(E47*($C$43+ 3*E15+E16*E28+E12*E21*E22*E23*($C$44 + E25*($C$45 + E9*$C$46)) ) )/1000000000</f>
        <v>0.75420457905903426</v>
      </c>
      <c r="F50" s="17">
        <f t="shared" si="15"/>
        <v>0.78716278057064148</v>
      </c>
      <c r="G50" s="17">
        <f t="shared" si="15"/>
        <v>0.80969941108106902</v>
      </c>
      <c r="H50" s="17">
        <f t="shared" si="15"/>
        <v>0.82182973933696513</v>
      </c>
      <c r="I50" s="17">
        <f t="shared" si="15"/>
        <v>0.84609039584875756</v>
      </c>
      <c r="J50" s="17">
        <f t="shared" si="15"/>
        <v>0.88603414372104861</v>
      </c>
      <c r="K50" s="17">
        <f t="shared" si="15"/>
        <v>3.556536056177253</v>
      </c>
      <c r="L50" s="17">
        <f t="shared" si="15"/>
        <v>0.93824978386667202</v>
      </c>
      <c r="M50" s="17">
        <f t="shared" si="15"/>
        <v>1.042143834719931</v>
      </c>
      <c r="N50" s="17">
        <f t="shared" si="15"/>
        <v>1.0719459819147816</v>
      </c>
      <c r="O50" s="17">
        <f t="shared" si="15"/>
        <v>1.1315502763044827</v>
      </c>
      <c r="P50" s="17">
        <f t="shared" si="15"/>
        <v>1.191154570694184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0.59430400000000005</v>
      </c>
      <c r="D51" s="60">
        <f>(D47*($C$43+ 3*D15+D16*D28+D12*D21*D22*D23*($C$44 + D25*($C$45 + D9*$C$46)) ) )/1000000000</f>
        <v>0.60246985739090664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226.708984375</v>
      </c>
      <c r="D52" s="29">
        <f t="shared" ref="D52:P52" si="16">1000000000*D50/D14</f>
        <v>276.04356634794777</v>
      </c>
      <c r="E52" s="29">
        <f t="shared" si="16"/>
        <v>287.70621454583522</v>
      </c>
      <c r="F52" s="29">
        <f t="shared" si="16"/>
        <v>300.27877066445978</v>
      </c>
      <c r="G52" s="29">
        <f t="shared" si="16"/>
        <v>308.87581294291266</v>
      </c>
      <c r="H52" s="29">
        <f t="shared" si="16"/>
        <v>313.50316594580272</v>
      </c>
      <c r="I52" s="29">
        <f t="shared" si="16"/>
        <v>322.7578719515829</v>
      </c>
      <c r="J52" s="29">
        <f t="shared" si="16"/>
        <v>337.99520253030721</v>
      </c>
      <c r="K52" s="29">
        <f t="shared" si="16"/>
        <v>452.23694561986957</v>
      </c>
      <c r="L52" s="29">
        <f t="shared" si="16"/>
        <v>357.91388849894412</v>
      </c>
      <c r="M52" s="29">
        <f t="shared" si="16"/>
        <v>397.54632366940729</v>
      </c>
      <c r="N52" s="29">
        <f t="shared" si="16"/>
        <v>408.91494061080232</v>
      </c>
      <c r="O52" s="29">
        <f t="shared" si="16"/>
        <v>431.65217449359233</v>
      </c>
      <c r="P52" s="29">
        <f t="shared" si="16"/>
        <v>454.38940837638245</v>
      </c>
    </row>
    <row r="53" spans="1:16" s="12" customFormat="1" x14ac:dyDescent="0.15">
      <c r="B53" s="10" t="s">
        <v>58</v>
      </c>
      <c r="C53" s="17">
        <f>$D$50/C50</f>
        <v>1.2176119402985073</v>
      </c>
      <c r="D53" s="17">
        <f t="shared" ref="D53:P53" si="17">$D$50/D50</f>
        <v>1</v>
      </c>
      <c r="E53" s="17">
        <f t="shared" si="17"/>
        <v>0.95946334278424339</v>
      </c>
      <c r="F53" s="17">
        <f t="shared" si="17"/>
        <v>0.91929098329900527</v>
      </c>
      <c r="G53" s="17">
        <f t="shared" si="17"/>
        <v>0.89370405444782086</v>
      </c>
      <c r="H53" s="17">
        <f t="shared" si="17"/>
        <v>0.88051285069213348</v>
      </c>
      <c r="I53" s="17">
        <f t="shared" si="17"/>
        <v>0.85526517038554895</v>
      </c>
      <c r="J53" s="17">
        <f t="shared" si="17"/>
        <v>0.81670853397156007</v>
      </c>
      <c r="K53" s="17">
        <f t="shared" si="17"/>
        <v>0.20346529182807174</v>
      </c>
      <c r="L53" s="17">
        <f t="shared" si="17"/>
        <v>0.77125692860270811</v>
      </c>
      <c r="M53" s="17">
        <f t="shared" si="17"/>
        <v>0.69436830354769141</v>
      </c>
      <c r="N53" s="17">
        <f t="shared" si="17"/>
        <v>0.67506353750640014</v>
      </c>
      <c r="O53" s="17">
        <f t="shared" si="17"/>
        <v>0.63950463511923183</v>
      </c>
      <c r="P53" s="17">
        <f t="shared" si="17"/>
        <v>0.60750440318206922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0.59430400000000005</v>
      </c>
      <c r="D56" s="57">
        <f>$C$69*(D47*($C$62+ $C$63*3*D15+D16*D28+D12*D21*D22*D23*($C$66 + D25*($C$67 + D9*$C$68)) ) + $C$64*(D27)^2 + $C$65*((D27)^2)/(D10/D25) )/1000000000</f>
        <v>0.72363164656716417</v>
      </c>
      <c r="E56" s="57">
        <f t="shared" ref="E56:P56" si="18">$C$69*(E47*($C$62+ $C$63*3*E15+E16*E28+E12*E21*E22*E23*($C$66 + E25*($C$67 + E9*$C$68)) ) + $C$64*(E27)^2 + $C$65*((E27)^2)/(E10/E25) )/1000000000</f>
        <v>0.75420457905903426</v>
      </c>
      <c r="F56" s="57">
        <f t="shared" si="18"/>
        <v>0.78716278057064148</v>
      </c>
      <c r="G56" s="57">
        <f t="shared" si="18"/>
        <v>0.80969941108106902</v>
      </c>
      <c r="H56" s="57">
        <f t="shared" si="18"/>
        <v>0.82182973933696513</v>
      </c>
      <c r="I56" s="57">
        <f t="shared" si="18"/>
        <v>0.84609039584875756</v>
      </c>
      <c r="J56" s="57">
        <f t="shared" si="18"/>
        <v>0.88603414372104861</v>
      </c>
      <c r="K56" s="57">
        <f t="shared" si="18"/>
        <v>3.556536056177253</v>
      </c>
      <c r="L56" s="57">
        <f t="shared" si="18"/>
        <v>0.93824978386667202</v>
      </c>
      <c r="M56" s="57">
        <f t="shared" si="18"/>
        <v>1.042143834719931</v>
      </c>
      <c r="N56" s="57">
        <f t="shared" si="18"/>
        <v>1.0719459819147816</v>
      </c>
      <c r="O56" s="57">
        <f t="shared" si="18"/>
        <v>1.1315502763044827</v>
      </c>
      <c r="P56" s="57">
        <f t="shared" si="18"/>
        <v>1.191154570694184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0.59430400000000005</v>
      </c>
      <c r="D57" s="60">
        <f>(D47*($C$43+ $C$63*3*D15+D16*D28+D12*D21*D22*D23*($C$44 + D25*($C$45 + D9*$C$46)) ) + $C$64*(D27)^2 + $C$65*((D27)^2)/(D10/D25) )/1000000000</f>
        <v>0.60246985739090664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226.708984375</v>
      </c>
      <c r="D58" s="29">
        <f t="shared" ref="D58:P58" si="19">1000000000*D56/D14</f>
        <v>276.04356634794777</v>
      </c>
      <c r="E58" s="29">
        <f t="shared" si="19"/>
        <v>287.70621454583522</v>
      </c>
      <c r="F58" s="29">
        <f t="shared" si="19"/>
        <v>300.27877066445978</v>
      </c>
      <c r="G58" s="29">
        <f t="shared" si="19"/>
        <v>308.87581294291266</v>
      </c>
      <c r="H58" s="29">
        <f t="shared" si="19"/>
        <v>313.50316594580272</v>
      </c>
      <c r="I58" s="29">
        <f t="shared" si="19"/>
        <v>322.7578719515829</v>
      </c>
      <c r="J58" s="29">
        <f t="shared" si="19"/>
        <v>337.99520253030721</v>
      </c>
      <c r="K58" s="29">
        <f t="shared" si="19"/>
        <v>452.23694561986957</v>
      </c>
      <c r="L58" s="29">
        <f t="shared" si="19"/>
        <v>357.91388849894412</v>
      </c>
      <c r="M58" s="29">
        <f t="shared" si="19"/>
        <v>397.54632366940729</v>
      </c>
      <c r="N58" s="29">
        <f t="shared" si="19"/>
        <v>408.91494061080232</v>
      </c>
      <c r="O58" s="29">
        <f t="shared" si="19"/>
        <v>431.65217449359233</v>
      </c>
      <c r="P58" s="29">
        <f t="shared" si="19"/>
        <v>454.38940837638245</v>
      </c>
    </row>
    <row r="59" spans="1:16" s="12" customFormat="1" x14ac:dyDescent="0.15">
      <c r="B59" s="10" t="s">
        <v>58</v>
      </c>
      <c r="C59" s="17">
        <f>$D$56/C56</f>
        <v>1.2176119402985073</v>
      </c>
      <c r="D59" s="17">
        <f t="shared" ref="D59:P59" si="20">$D$56/D56</f>
        <v>1</v>
      </c>
      <c r="E59" s="17">
        <f t="shared" si="20"/>
        <v>0.95946334278424339</v>
      </c>
      <c r="F59" s="17">
        <f t="shared" si="20"/>
        <v>0.91929098329900527</v>
      </c>
      <c r="G59" s="17">
        <f t="shared" si="20"/>
        <v>0.89370405444782086</v>
      </c>
      <c r="H59" s="17">
        <f t="shared" si="20"/>
        <v>0.88051285069213348</v>
      </c>
      <c r="I59" s="17">
        <f t="shared" si="20"/>
        <v>0.85526517038554895</v>
      </c>
      <c r="J59" s="17">
        <f t="shared" si="20"/>
        <v>0.81670853397156007</v>
      </c>
      <c r="K59" s="17">
        <f t="shared" si="20"/>
        <v>0.20346529182807174</v>
      </c>
      <c r="L59" s="17">
        <f t="shared" si="20"/>
        <v>0.77125692860270811</v>
      </c>
      <c r="M59" s="17">
        <f t="shared" si="20"/>
        <v>0.69436830354769141</v>
      </c>
      <c r="N59" s="17">
        <f t="shared" si="20"/>
        <v>0.67506353750640014</v>
      </c>
      <c r="O59" s="17">
        <f t="shared" si="20"/>
        <v>0.63950463511923183</v>
      </c>
      <c r="P59" s="17">
        <f t="shared" si="20"/>
        <v>0.60750440318206922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1.2011084665728644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 enableFormatConditionsCalculation="0"/>
  <dimension ref="A1:AD77"/>
  <sheetViews>
    <sheetView zoomScale="125" zoomScaleNormal="125" zoomScalePageLayoutView="125" workbookViewId="0">
      <selection activeCell="B1" sqref="B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78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6.74</v>
      </c>
      <c r="D30" s="1">
        <v>8.1720000000000006</v>
      </c>
      <c r="E30" s="1">
        <v>9.7870000000000008</v>
      </c>
      <c r="F30" s="1">
        <v>12.11</v>
      </c>
      <c r="G30" s="1">
        <v>11.29</v>
      </c>
      <c r="H30" s="1">
        <v>14.53</v>
      </c>
      <c r="I30" s="1">
        <v>20.56</v>
      </c>
      <c r="J30" s="1">
        <v>14.22</v>
      </c>
      <c r="K30" s="1">
        <v>16.55</v>
      </c>
      <c r="L30" s="1">
        <v>18.05</v>
      </c>
      <c r="M30" s="1"/>
      <c r="N30" s="1"/>
      <c r="P30" s="70"/>
    </row>
    <row r="31" spans="1:30" s="12" customFormat="1" x14ac:dyDescent="0.15">
      <c r="B31" s="10" t="s">
        <v>36</v>
      </c>
      <c r="C31" s="1">
        <v>10.3</v>
      </c>
      <c r="D31" s="1">
        <v>16.04</v>
      </c>
      <c r="E31" s="1">
        <v>17.670000000000002</v>
      </c>
      <c r="F31" s="1">
        <v>21.2</v>
      </c>
      <c r="G31" s="1">
        <v>20.69</v>
      </c>
      <c r="H31" s="1">
        <v>26.2</v>
      </c>
      <c r="I31" s="1">
        <v>30.76</v>
      </c>
      <c r="J31" s="1">
        <v>25.23</v>
      </c>
      <c r="K31" s="1">
        <v>32.99</v>
      </c>
      <c r="L31" s="1">
        <v>39.67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0.67400000000000004</v>
      </c>
      <c r="D33" s="17">
        <f t="shared" si="11"/>
        <v>0.81720000000000004</v>
      </c>
      <c r="E33" s="17">
        <f t="shared" si="11"/>
        <v>0.97870000000000013</v>
      </c>
      <c r="F33" s="17">
        <f t="shared" si="11"/>
        <v>1.2109999999999999</v>
      </c>
      <c r="G33" s="17">
        <f t="shared" si="11"/>
        <v>1.129</v>
      </c>
      <c r="H33" s="17">
        <f t="shared" si="11"/>
        <v>1.4529999999999998</v>
      </c>
      <c r="I33" s="17">
        <f>I30/I32</f>
        <v>2.056</v>
      </c>
      <c r="J33" s="17">
        <f>J30/J32</f>
        <v>1.4220000000000002</v>
      </c>
      <c r="K33" s="17">
        <f>K30/K32</f>
        <v>1.655</v>
      </c>
      <c r="L33" s="17">
        <f>L30/L32</f>
        <v>1.8050000000000002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85.703531901041671</v>
      </c>
      <c r="D34" s="13">
        <f t="shared" si="12"/>
        <v>103.912353515625</v>
      </c>
      <c r="E34" s="13">
        <f t="shared" si="12"/>
        <v>124.44814046223959</v>
      </c>
      <c r="F34" s="13">
        <f t="shared" si="12"/>
        <v>153.98661295572913</v>
      </c>
      <c r="G34" s="13">
        <f t="shared" si="12"/>
        <v>143.55977376302084</v>
      </c>
      <c r="H34" s="13">
        <f t="shared" si="12"/>
        <v>184.75850423177081</v>
      </c>
      <c r="I34" s="13">
        <f t="shared" si="12"/>
        <v>261.43391927083331</v>
      </c>
      <c r="J34" s="13">
        <f t="shared" si="12"/>
        <v>180.81665039062503</v>
      </c>
      <c r="K34" s="13">
        <f t="shared" si="12"/>
        <v>210.44413248697916</v>
      </c>
      <c r="L34" s="13">
        <f t="shared" si="12"/>
        <v>229.51761881510419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163</v>
      </c>
      <c r="D36" s="12">
        <v>164.3</v>
      </c>
      <c r="E36" s="12">
        <v>229.3</v>
      </c>
      <c r="F36" s="12">
        <v>230.4</v>
      </c>
      <c r="G36" s="12">
        <v>236.7</v>
      </c>
      <c r="H36" s="12">
        <v>235.9</v>
      </c>
      <c r="I36" s="12">
        <v>236.8</v>
      </c>
      <c r="J36" s="12">
        <v>245.2</v>
      </c>
      <c r="K36" s="12">
        <v>243.1</v>
      </c>
      <c r="L36" s="12">
        <v>245.5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1.2124629080118694</v>
      </c>
      <c r="D40" s="37">
        <f t="shared" ref="D40:O40" si="13">$D$33/D33</f>
        <v>1</v>
      </c>
      <c r="E40" s="37">
        <f t="shared" si="13"/>
        <v>0.83498518442832326</v>
      </c>
      <c r="F40" s="37">
        <f t="shared" si="13"/>
        <v>0.67481420313790264</v>
      </c>
      <c r="G40" s="37">
        <f t="shared" si="13"/>
        <v>0.72382639503985835</v>
      </c>
      <c r="H40" s="37">
        <f t="shared" si="13"/>
        <v>0.56242257398485895</v>
      </c>
      <c r="I40" s="37">
        <f t="shared" si="13"/>
        <v>0.3974708171206226</v>
      </c>
      <c r="J40" s="37">
        <f t="shared" si="13"/>
        <v>0.57468354430379742</v>
      </c>
      <c r="K40" s="37">
        <f t="shared" si="13"/>
        <v>0.49377643504531721</v>
      </c>
      <c r="L40" s="37">
        <f t="shared" si="13"/>
        <v>0.45274238227146812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1.1829900238710953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1.0384114326409495</v>
      </c>
      <c r="E50" s="17">
        <f t="shared" ref="E50:P50" si="15">$C$48*(E47*($C$43+ 3*E15+E16*E28+E12*E21*E22*E23*($C$44 + E25*($C$45 + E9*$C$46)) ) )/1000000000</f>
        <v>1.0795938780943812</v>
      </c>
      <c r="F50" s="17">
        <f t="shared" si="15"/>
        <v>1.1206216922225261</v>
      </c>
      <c r="G50" s="17">
        <f t="shared" si="15"/>
        <v>1.140787039569253</v>
      </c>
      <c r="H50" s="17">
        <f t="shared" si="15"/>
        <v>1.1578774821096163</v>
      </c>
      <c r="I50" s="17">
        <f t="shared" si="15"/>
        <v>1.1920583671903429</v>
      </c>
      <c r="J50" s="17">
        <f t="shared" si="15"/>
        <v>1.2235924093556356</v>
      </c>
      <c r="K50" s="17">
        <f t="shared" si="15"/>
        <v>1.2596466976607741</v>
      </c>
      <c r="L50" s="17">
        <f t="shared" si="15"/>
        <v>1.2957009859659125</v>
      </c>
      <c r="M50" s="17">
        <f t="shared" si="15"/>
        <v>1.3917945321776068</v>
      </c>
      <c r="N50" s="17">
        <f t="shared" si="15"/>
        <v>1.4315956269315688</v>
      </c>
      <c r="O50" s="17">
        <f t="shared" si="15"/>
        <v>1.5111978164394924</v>
      </c>
      <c r="P50" s="17">
        <f t="shared" si="15"/>
        <v>1.5908000059474166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132.04084175630564</v>
      </c>
      <c r="E52" s="29">
        <f t="shared" si="16"/>
        <v>137.27746049173754</v>
      </c>
      <c r="F52" s="29">
        <f t="shared" si="16"/>
        <v>142.49441683737768</v>
      </c>
      <c r="G52" s="29">
        <f t="shared" si="16"/>
        <v>145.05857335017561</v>
      </c>
      <c r="H52" s="29">
        <f t="shared" si="16"/>
        <v>147.23173549774376</v>
      </c>
      <c r="I52" s="29">
        <f t="shared" si="16"/>
        <v>151.57805979288011</v>
      </c>
      <c r="J52" s="29">
        <f t="shared" si="16"/>
        <v>155.5878206069483</v>
      </c>
      <c r="K52" s="29">
        <f t="shared" si="16"/>
        <v>160.17236044067053</v>
      </c>
      <c r="L52" s="29">
        <f t="shared" si="16"/>
        <v>164.75690027439276</v>
      </c>
      <c r="M52" s="29">
        <f t="shared" si="16"/>
        <v>176.97582654032476</v>
      </c>
      <c r="N52" s="29">
        <f t="shared" si="16"/>
        <v>182.03679745121877</v>
      </c>
      <c r="O52" s="29">
        <f t="shared" si="16"/>
        <v>192.15873927300674</v>
      </c>
      <c r="P52" s="29">
        <f t="shared" si="16"/>
        <v>202.2806810947948</v>
      </c>
    </row>
    <row r="53" spans="1:16" s="12" customFormat="1" x14ac:dyDescent="0.15">
      <c r="B53" s="10" t="s">
        <v>58</v>
      </c>
      <c r="C53" s="17">
        <f>$D$50/C50</f>
        <v>1.2124629080118694</v>
      </c>
      <c r="D53" s="17">
        <f t="shared" ref="D53:P53" si="17">$D$50/D50</f>
        <v>1</v>
      </c>
      <c r="E53" s="17">
        <f t="shared" si="17"/>
        <v>0.96185376159586611</v>
      </c>
      <c r="F53" s="17">
        <f t="shared" si="17"/>
        <v>0.92663870407636928</v>
      </c>
      <c r="G53" s="17">
        <f t="shared" si="17"/>
        <v>0.91025879206432847</v>
      </c>
      <c r="H53" s="17">
        <f t="shared" si="17"/>
        <v>0.89682323793791774</v>
      </c>
      <c r="I53" s="17">
        <f t="shared" si="17"/>
        <v>0.87110787627661546</v>
      </c>
      <c r="J53" s="17">
        <f t="shared" si="17"/>
        <v>0.84865795562412361</v>
      </c>
      <c r="K53" s="17">
        <f t="shared" si="17"/>
        <v>0.82436720913040984</v>
      </c>
      <c r="L53" s="17">
        <f t="shared" si="17"/>
        <v>0.80142829548504191</v>
      </c>
      <c r="M53" s="17">
        <f t="shared" si="17"/>
        <v>0.74609535289397</v>
      </c>
      <c r="N53" s="17">
        <f t="shared" si="17"/>
        <v>0.72535247601073194</v>
      </c>
      <c r="O53" s="17">
        <f t="shared" si="17"/>
        <v>0.68714460896160712</v>
      </c>
      <c r="P53" s="17">
        <f t="shared" si="17"/>
        <v>0.65276051594085416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1.0384114326409495</v>
      </c>
      <c r="E56" s="57">
        <f t="shared" ref="E56:P56" si="18">$C$69*(E47*($C$62+ $C$63*3*E15+E16*E28+E12*E21*E22*E23*($C$66 + E25*($C$67 + E9*$C$68)) ) + $C$64*(E27)^2 + $C$65*((E27)^2)/(E10/E25) )/1000000000</f>
        <v>1.0795938780943812</v>
      </c>
      <c r="F56" s="57">
        <f t="shared" si="18"/>
        <v>1.1206216922225261</v>
      </c>
      <c r="G56" s="57">
        <f t="shared" si="18"/>
        <v>1.140787039569253</v>
      </c>
      <c r="H56" s="57">
        <f t="shared" si="18"/>
        <v>1.1578774821096163</v>
      </c>
      <c r="I56" s="57">
        <f t="shared" si="18"/>
        <v>1.1920583671903429</v>
      </c>
      <c r="J56" s="57">
        <f t="shared" si="18"/>
        <v>1.2235924093556356</v>
      </c>
      <c r="K56" s="57">
        <f t="shared" si="18"/>
        <v>1.2596466976607741</v>
      </c>
      <c r="L56" s="57">
        <f t="shared" si="18"/>
        <v>1.2957009859659125</v>
      </c>
      <c r="M56" s="57">
        <f t="shared" si="18"/>
        <v>1.3917945321776068</v>
      </c>
      <c r="N56" s="57">
        <f t="shared" si="18"/>
        <v>1.4315956269315688</v>
      </c>
      <c r="O56" s="57">
        <f t="shared" si="18"/>
        <v>1.5111978164394924</v>
      </c>
      <c r="P56" s="57">
        <f t="shared" si="18"/>
        <v>1.5908000059474166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132.04084175630564</v>
      </c>
      <c r="E58" s="29">
        <f t="shared" si="19"/>
        <v>137.27746049173754</v>
      </c>
      <c r="F58" s="29">
        <f t="shared" si="19"/>
        <v>142.49441683737768</v>
      </c>
      <c r="G58" s="29">
        <f t="shared" si="19"/>
        <v>145.05857335017561</v>
      </c>
      <c r="H58" s="29">
        <f t="shared" si="19"/>
        <v>147.23173549774376</v>
      </c>
      <c r="I58" s="29">
        <f t="shared" si="19"/>
        <v>151.57805979288011</v>
      </c>
      <c r="J58" s="29">
        <f t="shared" si="19"/>
        <v>155.5878206069483</v>
      </c>
      <c r="K58" s="29">
        <f t="shared" si="19"/>
        <v>160.17236044067053</v>
      </c>
      <c r="L58" s="29">
        <f t="shared" si="19"/>
        <v>164.75690027439276</v>
      </c>
      <c r="M58" s="29">
        <f t="shared" si="19"/>
        <v>176.97582654032476</v>
      </c>
      <c r="N58" s="29">
        <f t="shared" si="19"/>
        <v>182.03679745121877</v>
      </c>
      <c r="O58" s="29">
        <f t="shared" si="19"/>
        <v>192.15873927300674</v>
      </c>
      <c r="P58" s="29">
        <f t="shared" si="19"/>
        <v>202.2806810947948</v>
      </c>
    </row>
    <row r="59" spans="1:16" s="12" customFormat="1" x14ac:dyDescent="0.15">
      <c r="B59" s="10" t="s">
        <v>58</v>
      </c>
      <c r="C59" s="17">
        <f>$D$56/C56</f>
        <v>1.2124629080118694</v>
      </c>
      <c r="D59" s="17">
        <f t="shared" ref="D59:P59" si="20">$D$56/D56</f>
        <v>1</v>
      </c>
      <c r="E59" s="17">
        <f t="shared" si="20"/>
        <v>0.96185376159586611</v>
      </c>
      <c r="F59" s="17">
        <f t="shared" si="20"/>
        <v>0.92663870407636928</v>
      </c>
      <c r="G59" s="17">
        <f t="shared" si="20"/>
        <v>0.91025879206432847</v>
      </c>
      <c r="H59" s="17">
        <f t="shared" si="20"/>
        <v>0.89682323793791774</v>
      </c>
      <c r="I59" s="17">
        <f t="shared" si="20"/>
        <v>0.87110787627661546</v>
      </c>
      <c r="J59" s="17">
        <f t="shared" si="20"/>
        <v>0.84865795562412361</v>
      </c>
      <c r="K59" s="17">
        <f t="shared" si="20"/>
        <v>0.82436720913040984</v>
      </c>
      <c r="L59" s="17">
        <f t="shared" si="20"/>
        <v>0.80142829548504191</v>
      </c>
      <c r="M59" s="17">
        <f t="shared" si="20"/>
        <v>0.74609535289397</v>
      </c>
      <c r="N59" s="17">
        <f t="shared" si="20"/>
        <v>0.72535247601073194</v>
      </c>
      <c r="O59" s="17">
        <f t="shared" si="20"/>
        <v>0.68714460896160712</v>
      </c>
      <c r="P59" s="17">
        <f t="shared" si="20"/>
        <v>0.65276051594085416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1.1829900238710953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 enableFormatConditionsCalculation="0"/>
  <dimension ref="A1:AD77"/>
  <sheetViews>
    <sheetView topLeftCell="A7" zoomScale="125" zoomScaleNormal="125" zoomScalePageLayoutView="125" workbookViewId="0">
      <selection activeCell="E18" sqref="E18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77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L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2">
        <v>27</v>
      </c>
      <c r="N24" s="2">
        <v>27</v>
      </c>
      <c r="O24" s="2">
        <v>27</v>
      </c>
      <c r="P24" s="2"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45.7</v>
      </c>
      <c r="D30" s="1">
        <v>52.74</v>
      </c>
      <c r="E30" s="1">
        <v>67.7</v>
      </c>
      <c r="F30" s="1">
        <v>85.76</v>
      </c>
      <c r="G30" s="1">
        <v>82.67</v>
      </c>
      <c r="H30" s="1">
        <v>76.3</v>
      </c>
      <c r="I30" s="1">
        <v>91.43</v>
      </c>
      <c r="J30" s="1">
        <v>83.4</v>
      </c>
      <c r="K30" s="1">
        <v>92.33</v>
      </c>
      <c r="L30" s="1">
        <v>98.21</v>
      </c>
      <c r="M30" s="1"/>
      <c r="N30" s="1"/>
      <c r="P30" s="70"/>
    </row>
    <row r="31" spans="1:30" s="12" customFormat="1" x14ac:dyDescent="0.15">
      <c r="B31" s="10" t="s">
        <v>36</v>
      </c>
      <c r="C31" s="1">
        <v>56.6</v>
      </c>
      <c r="D31" s="1">
        <v>63.44</v>
      </c>
      <c r="E31" s="1">
        <v>78.59</v>
      </c>
      <c r="F31" s="1">
        <v>100.1</v>
      </c>
      <c r="G31" s="1">
        <v>96.88</v>
      </c>
      <c r="H31" s="1">
        <v>95.13</v>
      </c>
      <c r="I31" s="1">
        <v>105.9</v>
      </c>
      <c r="J31" s="1">
        <v>101</v>
      </c>
      <c r="K31" s="1">
        <v>116.2</v>
      </c>
      <c r="L31" s="1">
        <v>124.7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4.57</v>
      </c>
      <c r="D33" s="17">
        <f t="shared" si="11"/>
        <v>5.274</v>
      </c>
      <c r="E33" s="17">
        <f t="shared" si="11"/>
        <v>6.7700000000000005</v>
      </c>
      <c r="F33" s="17">
        <f t="shared" si="11"/>
        <v>8.5760000000000005</v>
      </c>
      <c r="G33" s="17">
        <f t="shared" si="11"/>
        <v>8.2669999999999995</v>
      </c>
      <c r="H33" s="17">
        <f t="shared" si="11"/>
        <v>7.63</v>
      </c>
      <c r="I33" s="17">
        <f>I30/I32</f>
        <v>9.1430000000000007</v>
      </c>
      <c r="J33" s="17">
        <f>J30/J32</f>
        <v>8.34</v>
      </c>
      <c r="K33" s="17">
        <f>K30/K32</f>
        <v>9.2330000000000005</v>
      </c>
      <c r="L33" s="17">
        <f>L30/L32</f>
        <v>9.8209999999999997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64.567283347800924</v>
      </c>
      <c r="D34" s="13">
        <f t="shared" si="12"/>
        <v>74.513753255208329</v>
      </c>
      <c r="E34" s="13">
        <f t="shared" si="12"/>
        <v>95.650001808449076</v>
      </c>
      <c r="F34" s="13">
        <f t="shared" si="12"/>
        <v>121.16608796296298</v>
      </c>
      <c r="G34" s="13">
        <f t="shared" si="12"/>
        <v>116.800378870081</v>
      </c>
      <c r="H34" s="13">
        <f t="shared" si="12"/>
        <v>107.80051902488425</v>
      </c>
      <c r="I34" s="13">
        <f t="shared" si="12"/>
        <v>129.17695222077546</v>
      </c>
      <c r="J34" s="13">
        <f t="shared" si="12"/>
        <v>117.83175998263889</v>
      </c>
      <c r="K34" s="13">
        <f t="shared" si="12"/>
        <v>130.4485179759838</v>
      </c>
      <c r="L34" s="13">
        <f t="shared" si="12"/>
        <v>138.75608091001158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316</v>
      </c>
      <c r="D36" s="12">
        <v>290.7</v>
      </c>
      <c r="E36" s="12">
        <v>340.6</v>
      </c>
      <c r="F36" s="12">
        <v>359</v>
      </c>
      <c r="G36" s="12">
        <v>394.9</v>
      </c>
      <c r="H36" s="12">
        <v>398.6</v>
      </c>
      <c r="I36" s="12">
        <v>395.1</v>
      </c>
      <c r="J36" s="12">
        <v>450.1</v>
      </c>
      <c r="K36" s="12">
        <v>446.2</v>
      </c>
      <c r="L36" s="12">
        <v>452.3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1.1540481400437637</v>
      </c>
      <c r="D40" s="37">
        <f t="shared" ref="D40:O40" si="13">$D$33/D33</f>
        <v>1</v>
      </c>
      <c r="E40" s="37">
        <f t="shared" si="13"/>
        <v>0.77902511078286552</v>
      </c>
      <c r="F40" s="37">
        <f t="shared" si="13"/>
        <v>0.61497201492537312</v>
      </c>
      <c r="G40" s="37">
        <f t="shared" si="13"/>
        <v>0.63795814684891738</v>
      </c>
      <c r="H40" s="37">
        <f t="shared" si="13"/>
        <v>0.69121887287024908</v>
      </c>
      <c r="I40" s="37">
        <f t="shared" si="13"/>
        <v>0.57683473695723497</v>
      </c>
      <c r="J40" s="37">
        <f t="shared" si="13"/>
        <v>0.63237410071942446</v>
      </c>
      <c r="K40" s="37">
        <f t="shared" si="13"/>
        <v>0.57121195711036499</v>
      </c>
      <c r="L40" s="37">
        <f t="shared" si="13"/>
        <v>0.53701252418287349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1.1045375094193355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4.0021760000000004</v>
      </c>
      <c r="D50" s="17">
        <f>$C$48*(D47*($C$43+ 3*D15+D16*D28+D12*D21*D22*D23*($C$44 + D25*($C$45 + D9*$C$46)) ) )/1000000000</f>
        <v>4.6187037689277908</v>
      </c>
      <c r="E50" s="17">
        <f t="shared" ref="E50:P50" si="15">$C$48*(E47*($C$43+ 3*E15+E16*E28+E12*E21*E22*E23*($C$44 + E25*($C$45 + E9*$C$46)) ) )/1000000000</f>
        <v>4.7811933703774949</v>
      </c>
      <c r="F50" s="17">
        <f t="shared" si="15"/>
        <v>4.9154841988687226</v>
      </c>
      <c r="G50" s="17">
        <f t="shared" si="15"/>
        <v>4.9115528968651558</v>
      </c>
      <c r="H50" s="17">
        <f t="shared" si="15"/>
        <v>4.9851342136721248</v>
      </c>
      <c r="I50" s="17">
        <f t="shared" si="15"/>
        <v>5.1322968472860619</v>
      </c>
      <c r="J50" s="17">
        <f t="shared" si="15"/>
        <v>5.0742666646244006</v>
      </c>
      <c r="K50" s="17">
        <f t="shared" si="15"/>
        <v>5.223784651059006</v>
      </c>
      <c r="L50" s="17">
        <f t="shared" si="15"/>
        <v>5.3733026374936097</v>
      </c>
      <c r="M50" s="17">
        <f t="shared" si="15"/>
        <v>5.3931845760305235</v>
      </c>
      <c r="N50" s="17">
        <f t="shared" si="15"/>
        <v>5.5474132681064638</v>
      </c>
      <c r="O50" s="17">
        <f t="shared" si="15"/>
        <v>5.8558706522583428</v>
      </c>
      <c r="P50" s="17">
        <f t="shared" si="15"/>
        <v>6.1643280364102218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4.0021760000000004</v>
      </c>
      <c r="D51" s="60">
        <f>(D47*($C$43+ 3*D15+D16*D28+D12*D21*D22*D23*($C$44 + D25*($C$45 + D9*$C$46)) ) )/1000000000</f>
        <v>4.1815725853944796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56.544777199074083</v>
      </c>
      <c r="D52" s="29">
        <f t="shared" ref="D52:P52" si="16">1000000000*D50/D14</f>
        <v>65.25539495578046</v>
      </c>
      <c r="E52" s="29">
        <f t="shared" si="16"/>
        <v>67.55113065334595</v>
      </c>
      <c r="F52" s="29">
        <f t="shared" si="16"/>
        <v>69.448459750545965</v>
      </c>
      <c r="G52" s="29">
        <f t="shared" si="16"/>
        <v>69.392916317200218</v>
      </c>
      <c r="H52" s="29">
        <f t="shared" si="16"/>
        <v>70.43251056914329</v>
      </c>
      <c r="I52" s="29">
        <f t="shared" si="16"/>
        <v>72.511699073029448</v>
      </c>
      <c r="J52" s="29">
        <f t="shared" si="16"/>
        <v>71.691819150351066</v>
      </c>
      <c r="K52" s="29">
        <f t="shared" si="16"/>
        <v>73.804285276328272</v>
      </c>
      <c r="L52" s="29">
        <f t="shared" si="16"/>
        <v>75.916751402305451</v>
      </c>
      <c r="M52" s="29">
        <f t="shared" si="16"/>
        <v>76.197653537757631</v>
      </c>
      <c r="N52" s="29">
        <f t="shared" si="16"/>
        <v>78.376674907916936</v>
      </c>
      <c r="O52" s="29">
        <f t="shared" si="16"/>
        <v>82.734717648235502</v>
      </c>
      <c r="P52" s="29">
        <f t="shared" si="16"/>
        <v>87.092760388554069</v>
      </c>
    </row>
    <row r="53" spans="1:16" s="12" customFormat="1" x14ac:dyDescent="0.15">
      <c r="B53" s="10" t="s">
        <v>58</v>
      </c>
      <c r="C53" s="17">
        <f>$D$50/C50</f>
        <v>1.1540481400437639</v>
      </c>
      <c r="D53" s="17">
        <f t="shared" ref="D53:P53" si="17">$D$50/D50</f>
        <v>1</v>
      </c>
      <c r="E53" s="17">
        <f t="shared" si="17"/>
        <v>0.96601484423189621</v>
      </c>
      <c r="F53" s="17">
        <f t="shared" si="17"/>
        <v>0.93962335795744512</v>
      </c>
      <c r="G53" s="17">
        <f t="shared" si="17"/>
        <v>0.94037545067991046</v>
      </c>
      <c r="H53" s="17">
        <f t="shared" si="17"/>
        <v>0.9264953702270704</v>
      </c>
      <c r="I53" s="17">
        <f t="shared" si="17"/>
        <v>0.89992919473668853</v>
      </c>
      <c r="J53" s="17">
        <f t="shared" si="17"/>
        <v>0.91022093914129543</v>
      </c>
      <c r="K53" s="17">
        <f t="shared" si="17"/>
        <v>0.88416810367392373</v>
      </c>
      <c r="L53" s="17">
        <f t="shared" si="17"/>
        <v>0.85956516513691039</v>
      </c>
      <c r="M53" s="17">
        <f t="shared" si="17"/>
        <v>0.85639638395747919</v>
      </c>
      <c r="N53" s="17">
        <f t="shared" si="17"/>
        <v>0.83258692758333552</v>
      </c>
      <c r="O53" s="17">
        <f t="shared" si="17"/>
        <v>0.78873049682997476</v>
      </c>
      <c r="P53" s="17">
        <f t="shared" si="17"/>
        <v>0.74926313811447964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4.0021760000000004</v>
      </c>
      <c r="D56" s="57">
        <f>$C$69*(D47*($C$62+ $C$63*3*D15+D16*D28+D12*D21*D22*D23*($C$66 + D25*($C$67 + D9*$C$68)) ) + $C$64*(D27)^2 + $C$65*((D27)^2)/(D10/D25) )/1000000000</f>
        <v>4.6187037689277908</v>
      </c>
      <c r="E56" s="57">
        <f t="shared" ref="E56:P56" si="18">$C$69*(E47*($C$62+ $C$63*3*E15+E16*E28+E12*E21*E22*E23*($C$66 + E25*($C$67 + E9*$C$68)) ) + $C$64*(E27)^2 + $C$65*((E27)^2)/(E10/E25) )/1000000000</f>
        <v>4.7811933703774949</v>
      </c>
      <c r="F56" s="57">
        <f t="shared" si="18"/>
        <v>4.9154841988687226</v>
      </c>
      <c r="G56" s="57">
        <f t="shared" si="18"/>
        <v>4.9115528968651558</v>
      </c>
      <c r="H56" s="57">
        <f t="shared" si="18"/>
        <v>4.9851342136721248</v>
      </c>
      <c r="I56" s="57">
        <f t="shared" si="18"/>
        <v>5.1322968472860619</v>
      </c>
      <c r="J56" s="57">
        <f t="shared" si="18"/>
        <v>5.0742666646244006</v>
      </c>
      <c r="K56" s="57">
        <f t="shared" si="18"/>
        <v>5.223784651059006</v>
      </c>
      <c r="L56" s="57">
        <f t="shared" si="18"/>
        <v>5.3733026374936097</v>
      </c>
      <c r="M56" s="57">
        <f t="shared" si="18"/>
        <v>5.3931845760305235</v>
      </c>
      <c r="N56" s="57">
        <f t="shared" si="18"/>
        <v>5.5474132681064638</v>
      </c>
      <c r="O56" s="57">
        <f t="shared" si="18"/>
        <v>5.8558706522583428</v>
      </c>
      <c r="P56" s="57">
        <f t="shared" si="18"/>
        <v>6.1643280364102218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4.0021760000000004</v>
      </c>
      <c r="D57" s="60">
        <f>(D47*($C$43+ $C$63*3*D15+D16*D28+D12*D21*D22*D23*($C$44 + D25*($C$45 + D9*$C$46)) ) + $C$64*(D27)^2 + $C$65*((D27)^2)/(D10/D25) )/1000000000</f>
        <v>4.1815725853944796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56.544777199074083</v>
      </c>
      <c r="D58" s="29">
        <f t="shared" ref="D58:P58" si="19">1000000000*D56/D14</f>
        <v>65.25539495578046</v>
      </c>
      <c r="E58" s="29">
        <f t="shared" si="19"/>
        <v>67.55113065334595</v>
      </c>
      <c r="F58" s="29">
        <f t="shared" si="19"/>
        <v>69.448459750545965</v>
      </c>
      <c r="G58" s="29">
        <f t="shared" si="19"/>
        <v>69.392916317200218</v>
      </c>
      <c r="H58" s="29">
        <f t="shared" si="19"/>
        <v>70.43251056914329</v>
      </c>
      <c r="I58" s="29">
        <f t="shared" si="19"/>
        <v>72.511699073029448</v>
      </c>
      <c r="J58" s="29">
        <f t="shared" si="19"/>
        <v>71.691819150351066</v>
      </c>
      <c r="K58" s="29">
        <f t="shared" si="19"/>
        <v>73.804285276328272</v>
      </c>
      <c r="L58" s="29">
        <f t="shared" si="19"/>
        <v>75.916751402305451</v>
      </c>
      <c r="M58" s="29">
        <f t="shared" si="19"/>
        <v>76.197653537757631</v>
      </c>
      <c r="N58" s="29">
        <f t="shared" si="19"/>
        <v>78.376674907916936</v>
      </c>
      <c r="O58" s="29">
        <f t="shared" si="19"/>
        <v>82.734717648235502</v>
      </c>
      <c r="P58" s="29">
        <f t="shared" si="19"/>
        <v>87.092760388554069</v>
      </c>
    </row>
    <row r="59" spans="1:16" s="12" customFormat="1" x14ac:dyDescent="0.15">
      <c r="B59" s="10" t="s">
        <v>58</v>
      </c>
      <c r="C59" s="17">
        <f>$D$56/C56</f>
        <v>1.1540481400437639</v>
      </c>
      <c r="D59" s="17">
        <f t="shared" ref="D59:P59" si="20">$D$56/D56</f>
        <v>1</v>
      </c>
      <c r="E59" s="17">
        <f t="shared" si="20"/>
        <v>0.96601484423189621</v>
      </c>
      <c r="F59" s="17">
        <f t="shared" si="20"/>
        <v>0.93962335795744512</v>
      </c>
      <c r="G59" s="17">
        <f t="shared" si="20"/>
        <v>0.94037545067991046</v>
      </c>
      <c r="H59" s="17">
        <f t="shared" si="20"/>
        <v>0.9264953702270704</v>
      </c>
      <c r="I59" s="17">
        <f t="shared" si="20"/>
        <v>0.89992919473668853</v>
      </c>
      <c r="J59" s="17">
        <f t="shared" si="20"/>
        <v>0.91022093914129543</v>
      </c>
      <c r="K59" s="17">
        <f t="shared" si="20"/>
        <v>0.88416810367392373</v>
      </c>
      <c r="L59" s="17">
        <f t="shared" si="20"/>
        <v>0.85956516513691039</v>
      </c>
      <c r="M59" s="17">
        <f t="shared" si="20"/>
        <v>0.85639638395747919</v>
      </c>
      <c r="N59" s="17">
        <f t="shared" si="20"/>
        <v>0.83258692758333552</v>
      </c>
      <c r="O59" s="17">
        <f t="shared" si="20"/>
        <v>0.78873049682997476</v>
      </c>
      <c r="P59" s="17">
        <f t="shared" si="20"/>
        <v>0.74926313811447964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1.1045375094193355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7"/>
  <sheetViews>
    <sheetView topLeftCell="A14" zoomScale="125" zoomScaleNormal="125" zoomScalePageLayoutView="125" workbookViewId="0">
      <selection activeCell="L37" sqref="L37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77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L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2">
        <v>27</v>
      </c>
      <c r="N24" s="2">
        <v>27</v>
      </c>
      <c r="O24" s="2">
        <v>27</v>
      </c>
      <c r="P24" s="2">
        <v>27</v>
      </c>
    </row>
    <row r="25" spans="1:30" x14ac:dyDescent="0.15">
      <c r="B25" s="10" t="s">
        <v>31</v>
      </c>
      <c r="C25" s="36">
        <v>1</v>
      </c>
      <c r="D25" s="36">
        <v>1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  <c r="J25" s="36">
        <v>1</v>
      </c>
      <c r="K25" s="36">
        <v>1</v>
      </c>
      <c r="L25" s="36">
        <v>1</v>
      </c>
      <c r="M25" s="36">
        <v>1</v>
      </c>
      <c r="N25" s="36">
        <v>1</v>
      </c>
      <c r="O25" s="36">
        <v>1</v>
      </c>
      <c r="P25" s="36">
        <v>1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1280</v>
      </c>
      <c r="D27" s="1">
        <f t="shared" si="9"/>
        <v>1280</v>
      </c>
      <c r="E27" s="1">
        <f t="shared" si="9"/>
        <v>2560</v>
      </c>
      <c r="F27" s="1">
        <f t="shared" si="9"/>
        <v>5120</v>
      </c>
      <c r="G27" s="1">
        <f t="shared" si="9"/>
        <v>10240</v>
      </c>
      <c r="H27" s="1">
        <f t="shared" si="9"/>
        <v>10240</v>
      </c>
      <c r="I27" s="1">
        <f t="shared" si="9"/>
        <v>10240</v>
      </c>
      <c r="J27" s="1">
        <f t="shared" si="9"/>
        <v>20480</v>
      </c>
      <c r="K27" s="1">
        <f t="shared" si="9"/>
        <v>20480</v>
      </c>
      <c r="L27" s="1">
        <f t="shared" si="9"/>
        <v>20480</v>
      </c>
      <c r="M27" s="1">
        <f t="shared" si="9"/>
        <v>40960</v>
      </c>
      <c r="N27" s="1">
        <f t="shared" si="9"/>
        <v>40960</v>
      </c>
      <c r="O27" s="1">
        <f t="shared" si="9"/>
        <v>40960</v>
      </c>
      <c r="P27" s="1">
        <f t="shared" si="9"/>
        <v>40960</v>
      </c>
    </row>
    <row r="28" spans="1:30" x14ac:dyDescent="0.15">
      <c r="B28" s="10" t="s">
        <v>50</v>
      </c>
      <c r="D28" s="1">
        <f>( D21*D23 + D22*D23 + D21*D22)*D24*D25*4</f>
        <v>31104</v>
      </c>
      <c r="E28" s="1">
        <f t="shared" ref="E28:P28" si="10">( E21*E23 + E22*E23 + E21*E22)*E24*E25*4</f>
        <v>16416</v>
      </c>
      <c r="F28" s="1">
        <f t="shared" si="10"/>
        <v>8640</v>
      </c>
      <c r="G28" s="1">
        <f t="shared" si="10"/>
        <v>4752</v>
      </c>
      <c r="H28" s="1">
        <f t="shared" si="10"/>
        <v>4752</v>
      </c>
      <c r="I28" s="1">
        <f t="shared" si="10"/>
        <v>4752</v>
      </c>
      <c r="J28" s="1">
        <f t="shared" si="10"/>
        <v>2592</v>
      </c>
      <c r="K28" s="1">
        <f t="shared" si="10"/>
        <v>2592</v>
      </c>
      <c r="L28" s="1">
        <f t="shared" si="10"/>
        <v>2592</v>
      </c>
      <c r="M28" s="1">
        <f t="shared" si="10"/>
        <v>1512</v>
      </c>
      <c r="N28" s="1">
        <f t="shared" si="10"/>
        <v>1512</v>
      </c>
      <c r="O28" s="1">
        <f t="shared" si="10"/>
        <v>1512</v>
      </c>
      <c r="P28" s="1">
        <f t="shared" si="10"/>
        <v>1512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61</v>
      </c>
      <c r="D30" s="1">
        <v>75.44</v>
      </c>
      <c r="E30" s="1">
        <v>90.5</v>
      </c>
      <c r="F30" s="1">
        <v>91.81</v>
      </c>
      <c r="G30" s="1">
        <v>96.73</v>
      </c>
      <c r="H30" s="1">
        <v>98.74</v>
      </c>
      <c r="I30" s="1">
        <v>108.4</v>
      </c>
      <c r="J30" s="1">
        <v>116.1</v>
      </c>
      <c r="K30" s="1">
        <v>118.6</v>
      </c>
      <c r="L30" s="1">
        <v>127.4</v>
      </c>
      <c r="M30" s="1"/>
      <c r="N30" s="1"/>
      <c r="P30" s="70"/>
    </row>
    <row r="31" spans="1:30" s="12" customFormat="1" x14ac:dyDescent="0.15">
      <c r="B31" s="10" t="s">
        <v>36</v>
      </c>
      <c r="C31" s="1">
        <v>69.099999999999994</v>
      </c>
      <c r="D31" s="1">
        <v>84.71</v>
      </c>
      <c r="E31" s="1">
        <v>100.7</v>
      </c>
      <c r="F31" s="1">
        <v>106.6</v>
      </c>
      <c r="G31" s="1">
        <v>10.8</v>
      </c>
      <c r="H31" s="1">
        <v>113.9</v>
      </c>
      <c r="I31" s="1">
        <v>126.7</v>
      </c>
      <c r="J31" s="1">
        <v>143</v>
      </c>
      <c r="K31" s="1">
        <v>140.80000000000001</v>
      </c>
      <c r="L31" s="1">
        <v>154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6.1</v>
      </c>
      <c r="D33" s="17">
        <f t="shared" si="11"/>
        <v>7.5439999999999996</v>
      </c>
      <c r="E33" s="17">
        <f t="shared" si="11"/>
        <v>9.0500000000000007</v>
      </c>
      <c r="F33" s="17">
        <f t="shared" si="11"/>
        <v>9.1810000000000009</v>
      </c>
      <c r="G33" s="17">
        <f t="shared" si="11"/>
        <v>9.673</v>
      </c>
      <c r="H33" s="17">
        <f t="shared" si="11"/>
        <v>9.8739999999999988</v>
      </c>
      <c r="I33" s="17">
        <f>I30/I32</f>
        <v>10.84</v>
      </c>
      <c r="J33" s="17">
        <f>J30/J32</f>
        <v>11.61</v>
      </c>
      <c r="K33" s="17">
        <f>K30/K32</f>
        <v>11.86</v>
      </c>
      <c r="L33" s="17">
        <f>L30/L32</f>
        <v>12.74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86.183901186342595</v>
      </c>
      <c r="D34" s="13">
        <f t="shared" si="12"/>
        <v>106.58546730324075</v>
      </c>
      <c r="E34" s="13">
        <f t="shared" si="12"/>
        <v>127.86300094039352</v>
      </c>
      <c r="F34" s="13">
        <f t="shared" si="12"/>
        <v>129.7138355396412</v>
      </c>
      <c r="G34" s="13">
        <f t="shared" si="12"/>
        <v>136.66506166811342</v>
      </c>
      <c r="H34" s="13">
        <f t="shared" si="12"/>
        <v>139.50489185474535</v>
      </c>
      <c r="I34" s="13">
        <f t="shared" si="12"/>
        <v>153.15303096064815</v>
      </c>
      <c r="J34" s="13">
        <f t="shared" si="12"/>
        <v>164.031982421875</v>
      </c>
      <c r="K34" s="13">
        <f t="shared" si="12"/>
        <v>167.56410951967592</v>
      </c>
      <c r="L34" s="13">
        <f t="shared" si="12"/>
        <v>179.99719690393519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381</v>
      </c>
      <c r="D36" s="12">
        <v>352.9</v>
      </c>
      <c r="E36" s="12">
        <v>418.2</v>
      </c>
      <c r="F36" s="12">
        <v>462</v>
      </c>
      <c r="G36" s="12">
        <v>514.79999999999995</v>
      </c>
      <c r="H36" s="12">
        <v>543</v>
      </c>
      <c r="I36" s="12">
        <v>515.70000000000005</v>
      </c>
      <c r="J36" s="12">
        <v>649.9</v>
      </c>
      <c r="K36" s="12">
        <v>607.1</v>
      </c>
      <c r="L36" s="12">
        <v>654.20000000000005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1.2367213114754099</v>
      </c>
      <c r="D40" s="37">
        <f t="shared" ref="D40:O40" si="13">$D$33/D33</f>
        <v>1</v>
      </c>
      <c r="E40" s="37">
        <f t="shared" si="13"/>
        <v>0.83359116022099433</v>
      </c>
      <c r="F40" s="37">
        <f t="shared" si="13"/>
        <v>0.82169698289946613</v>
      </c>
      <c r="G40" s="37">
        <f t="shared" si="13"/>
        <v>0.77990282228884522</v>
      </c>
      <c r="H40" s="37">
        <f t="shared" si="13"/>
        <v>0.76402673688474787</v>
      </c>
      <c r="I40" s="37">
        <f t="shared" si="13"/>
        <v>0.69594095940959411</v>
      </c>
      <c r="J40" s="37">
        <f t="shared" si="13"/>
        <v>0.64978466838931959</v>
      </c>
      <c r="K40" s="37">
        <f t="shared" si="13"/>
        <v>0.63608768971332208</v>
      </c>
      <c r="L40" s="37">
        <f t="shared" si="13"/>
        <v>0.59215070643642065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1280</v>
      </c>
      <c r="D47" s="16">
        <f t="shared" si="14"/>
        <v>1280</v>
      </c>
      <c r="E47" s="16">
        <f t="shared" si="14"/>
        <v>2568</v>
      </c>
      <c r="F47" s="16">
        <f t="shared" si="14"/>
        <v>5148</v>
      </c>
      <c r="G47" s="16">
        <f t="shared" si="14"/>
        <v>10284</v>
      </c>
      <c r="H47" s="16">
        <f t="shared" si="14"/>
        <v>10300</v>
      </c>
      <c r="I47" s="16">
        <f t="shared" si="14"/>
        <v>10332</v>
      </c>
      <c r="J47" s="16">
        <f t="shared" si="14"/>
        <v>20604</v>
      </c>
      <c r="K47" s="16">
        <f t="shared" si="14"/>
        <v>20668</v>
      </c>
      <c r="L47" s="16">
        <f t="shared" si="14"/>
        <v>20732</v>
      </c>
      <c r="M47" s="16">
        <f t="shared" si="14"/>
        <v>41340</v>
      </c>
      <c r="N47" s="16">
        <f t="shared" si="14"/>
        <v>41468</v>
      </c>
      <c r="O47" s="16">
        <f t="shared" si="14"/>
        <v>41724</v>
      </c>
      <c r="P47" s="16">
        <f t="shared" si="14"/>
        <v>41980</v>
      </c>
    </row>
    <row r="48" spans="1:16" x14ac:dyDescent="0.15">
      <c r="B48" s="10" t="s">
        <v>52</v>
      </c>
      <c r="C48" s="35">
        <f>(D33/C33)/(D51/C51)</f>
        <v>1.2004156900320644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6.4017920000000004</v>
      </c>
      <c r="D50" s="17">
        <f>$C$48*(D47*($C$43+ 3*D15+D16*D28+D12*D21*D22*D23*($C$44 + D25*($C$45 + D9*$C$46)) ) )/1000000000</f>
        <v>7.9172325980327862</v>
      </c>
      <c r="E50" s="17">
        <f t="shared" ref="E50:P50" si="15">$C$48*(E47*($C$43+ 3*E15+E16*E28+E12*E21*E22*E23*($C$44 + E25*($C$45 + E9*$C$46)) ) )/1000000000</f>
        <v>8.026842793298929</v>
      </c>
      <c r="F50" s="17">
        <f t="shared" si="15"/>
        <v>8.2038079761758809</v>
      </c>
      <c r="G50" s="17">
        <f t="shared" si="15"/>
        <v>8.5102993930646242</v>
      </c>
      <c r="H50" s="17">
        <f t="shared" si="15"/>
        <v>8.5235398433066543</v>
      </c>
      <c r="I50" s="17">
        <f t="shared" si="15"/>
        <v>8.5500207437907161</v>
      </c>
      <c r="J50" s="17">
        <f t="shared" si="15"/>
        <v>9.1345465161432671</v>
      </c>
      <c r="K50" s="17">
        <f t="shared" si="15"/>
        <v>9.162920180336295</v>
      </c>
      <c r="L50" s="17">
        <f t="shared" si="15"/>
        <v>9.1912938445293229</v>
      </c>
      <c r="M50" s="17">
        <f t="shared" si="15"/>
        <v>10.386413915604789</v>
      </c>
      <c r="N50" s="17">
        <f t="shared" si="15"/>
        <v>10.418573107215757</v>
      </c>
      <c r="O50" s="17">
        <f t="shared" si="15"/>
        <v>10.482891490437693</v>
      </c>
      <c r="P50" s="17">
        <f t="shared" si="15"/>
        <v>10.547209873659629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6.4017920000000004</v>
      </c>
      <c r="D51" s="60">
        <f>(D47*($C$43+ 3*D15+D16*D28+D12*D21*D22*D23*($C$44 + D25*($C$45 + D9*$C$46)) ) )/1000000000</f>
        <v>6.595409126834479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90.447771990740748</v>
      </c>
      <c r="D52" s="29">
        <f t="shared" ref="D52:P52" si="16">1000000000*D50/D14</f>
        <v>111.85868719641772</v>
      </c>
      <c r="E52" s="29">
        <f t="shared" si="16"/>
        <v>113.40731575999689</v>
      </c>
      <c r="F52" s="29">
        <f t="shared" si="16"/>
        <v>115.90756983122481</v>
      </c>
      <c r="G52" s="29">
        <f t="shared" si="16"/>
        <v>120.23783638656933</v>
      </c>
      <c r="H52" s="29">
        <f t="shared" si="16"/>
        <v>120.42490419891716</v>
      </c>
      <c r="I52" s="29">
        <f t="shared" si="16"/>
        <v>120.79903982361286</v>
      </c>
      <c r="J52" s="29">
        <f t="shared" si="16"/>
        <v>129.05751710317071</v>
      </c>
      <c r="K52" s="29">
        <f t="shared" si="16"/>
        <v>129.45839465581108</v>
      </c>
      <c r="L52" s="29">
        <f t="shared" si="16"/>
        <v>129.8592722084515</v>
      </c>
      <c r="M52" s="29">
        <f t="shared" si="16"/>
        <v>146.74453616113718</v>
      </c>
      <c r="N52" s="29">
        <f t="shared" si="16"/>
        <v>147.19889756966708</v>
      </c>
      <c r="O52" s="29">
        <f t="shared" si="16"/>
        <v>148.10762038672684</v>
      </c>
      <c r="P52" s="29">
        <f t="shared" si="16"/>
        <v>149.01634320378662</v>
      </c>
    </row>
    <row r="53" spans="1:16" s="12" customFormat="1" x14ac:dyDescent="0.15">
      <c r="B53" s="10" t="s">
        <v>58</v>
      </c>
      <c r="C53" s="17">
        <f>$D$50/C50</f>
        <v>1.2367213114754096</v>
      </c>
      <c r="D53" s="17">
        <f t="shared" ref="D53:P53" si="17">$D$50/D50</f>
        <v>1</v>
      </c>
      <c r="E53" s="17">
        <f t="shared" si="17"/>
        <v>0.98634454441319708</v>
      </c>
      <c r="F53" s="17">
        <f t="shared" si="17"/>
        <v>0.96506800512940838</v>
      </c>
      <c r="G53" s="17">
        <f t="shared" si="17"/>
        <v>0.9303118765110483</v>
      </c>
      <c r="H53" s="17">
        <f t="shared" si="17"/>
        <v>0.92886673184850688</v>
      </c>
      <c r="I53" s="17">
        <f t="shared" si="17"/>
        <v>0.92598987011610701</v>
      </c>
      <c r="J53" s="17">
        <f t="shared" si="17"/>
        <v>0.86673515582200489</v>
      </c>
      <c r="K53" s="17">
        <f t="shared" si="17"/>
        <v>0.86405124591429217</v>
      </c>
      <c r="L53" s="17">
        <f t="shared" si="17"/>
        <v>0.86138390654816677</v>
      </c>
      <c r="M53" s="17">
        <f t="shared" si="17"/>
        <v>0.76226815745690168</v>
      </c>
      <c r="N53" s="17">
        <f t="shared" si="17"/>
        <v>0.75991525101929969</v>
      </c>
      <c r="O53" s="17">
        <f t="shared" si="17"/>
        <v>0.75525274732212433</v>
      </c>
      <c r="P53" s="17">
        <f t="shared" si="17"/>
        <v>0.75064710884393315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6.4017920000000004</v>
      </c>
      <c r="D56" s="57">
        <f>$C$69*(D47*($C$62+ $C$63*3*D15+D16*D28+D12*D21*D22*D23*($C$66 + D25*($C$67 + D9*$C$68)) ) + $C$64*(D27)^2 + $C$65*((D27)^2)/(D10/D25) )/1000000000</f>
        <v>7.9172325980327862</v>
      </c>
      <c r="E56" s="57">
        <f t="shared" ref="E56:P56" si="18">$C$69*(E47*($C$62+ $C$63*3*E15+E16*E28+E12*E21*E22*E23*($C$66 + E25*($C$67 + E9*$C$68)) ) + $C$64*(E27)^2 + $C$65*((E27)^2)/(E10/E25) )/1000000000</f>
        <v>8.026842793298929</v>
      </c>
      <c r="F56" s="57">
        <f t="shared" si="18"/>
        <v>8.2038079761758809</v>
      </c>
      <c r="G56" s="57">
        <f t="shared" si="18"/>
        <v>8.5102993930646242</v>
      </c>
      <c r="H56" s="57">
        <f t="shared" si="18"/>
        <v>8.5235398433066543</v>
      </c>
      <c r="I56" s="57">
        <f t="shared" si="18"/>
        <v>8.5500207437907161</v>
      </c>
      <c r="J56" s="57">
        <f t="shared" si="18"/>
        <v>9.1345465161432671</v>
      </c>
      <c r="K56" s="57">
        <f t="shared" si="18"/>
        <v>9.162920180336295</v>
      </c>
      <c r="L56" s="57">
        <f t="shared" si="18"/>
        <v>9.1912938445293229</v>
      </c>
      <c r="M56" s="57">
        <f t="shared" si="18"/>
        <v>10.386413915604789</v>
      </c>
      <c r="N56" s="57">
        <f t="shared" si="18"/>
        <v>10.418573107215757</v>
      </c>
      <c r="O56" s="57">
        <f t="shared" si="18"/>
        <v>10.482891490437693</v>
      </c>
      <c r="P56" s="57">
        <f t="shared" si="18"/>
        <v>10.547209873659629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6.4017920000000004</v>
      </c>
      <c r="D57" s="60">
        <f>(D47*($C$43+ $C$63*3*D15+D16*D28+D12*D21*D22*D23*($C$44 + D25*($C$45 + D9*$C$46)) ) + $C$64*(D27)^2 + $C$65*((D27)^2)/(D10/D25) )/1000000000</f>
        <v>6.595409126834479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90.447771990740748</v>
      </c>
      <c r="D58" s="29">
        <f t="shared" ref="D58:P58" si="19">1000000000*D56/D14</f>
        <v>111.85868719641772</v>
      </c>
      <c r="E58" s="29">
        <f t="shared" si="19"/>
        <v>113.40731575999689</v>
      </c>
      <c r="F58" s="29">
        <f t="shared" si="19"/>
        <v>115.90756983122481</v>
      </c>
      <c r="G58" s="29">
        <f t="shared" si="19"/>
        <v>120.23783638656933</v>
      </c>
      <c r="H58" s="29">
        <f t="shared" si="19"/>
        <v>120.42490419891716</v>
      </c>
      <c r="I58" s="29">
        <f t="shared" si="19"/>
        <v>120.79903982361286</v>
      </c>
      <c r="J58" s="29">
        <f t="shared" si="19"/>
        <v>129.05751710317071</v>
      </c>
      <c r="K58" s="29">
        <f t="shared" si="19"/>
        <v>129.45839465581108</v>
      </c>
      <c r="L58" s="29">
        <f t="shared" si="19"/>
        <v>129.8592722084515</v>
      </c>
      <c r="M58" s="29">
        <f t="shared" si="19"/>
        <v>146.74453616113718</v>
      </c>
      <c r="N58" s="29">
        <f t="shared" si="19"/>
        <v>147.19889756966708</v>
      </c>
      <c r="O58" s="29">
        <f t="shared" si="19"/>
        <v>148.10762038672684</v>
      </c>
      <c r="P58" s="29">
        <f t="shared" si="19"/>
        <v>149.01634320378662</v>
      </c>
    </row>
    <row r="59" spans="1:16" s="12" customFormat="1" x14ac:dyDescent="0.15">
      <c r="B59" s="10" t="s">
        <v>58</v>
      </c>
      <c r="C59" s="17">
        <f>$D$56/C56</f>
        <v>1.2367213114754096</v>
      </c>
      <c r="D59" s="17">
        <f t="shared" ref="D59:P59" si="20">$D$56/D56</f>
        <v>1</v>
      </c>
      <c r="E59" s="17">
        <f t="shared" si="20"/>
        <v>0.98634454441319708</v>
      </c>
      <c r="F59" s="17">
        <f t="shared" si="20"/>
        <v>0.96506800512940838</v>
      </c>
      <c r="G59" s="17">
        <f t="shared" si="20"/>
        <v>0.9303118765110483</v>
      </c>
      <c r="H59" s="17">
        <f t="shared" si="20"/>
        <v>0.92886673184850688</v>
      </c>
      <c r="I59" s="17">
        <f t="shared" si="20"/>
        <v>0.92598987011610701</v>
      </c>
      <c r="J59" s="17">
        <f t="shared" si="20"/>
        <v>0.86673515582200489</v>
      </c>
      <c r="K59" s="17">
        <f t="shared" si="20"/>
        <v>0.86405124591429217</v>
      </c>
      <c r="L59" s="17">
        <f t="shared" si="20"/>
        <v>0.86138390654816677</v>
      </c>
      <c r="M59" s="17">
        <f t="shared" si="20"/>
        <v>0.76226815745690168</v>
      </c>
      <c r="N59" s="17">
        <f t="shared" si="20"/>
        <v>0.75991525101929969</v>
      </c>
      <c r="O59" s="17">
        <f t="shared" si="20"/>
        <v>0.75525274732212433</v>
      </c>
      <c r="P59" s="17">
        <f t="shared" si="20"/>
        <v>0.75064710884393315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1.2004156900320644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 enableFormatConditionsCalculation="0"/>
  <dimension ref="A1:AD77"/>
  <sheetViews>
    <sheetView topLeftCell="A3" zoomScale="125" zoomScaleNormal="125" zoomScalePageLayoutView="125" workbookViewId="0">
      <selection activeCell="C34" sqref="C34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76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99</v>
      </c>
      <c r="D9" s="2">
        <v>99</v>
      </c>
      <c r="E9" s="2">
        <v>99</v>
      </c>
      <c r="F9" s="2">
        <v>99</v>
      </c>
      <c r="G9" s="2">
        <v>99</v>
      </c>
      <c r="H9" s="2">
        <v>99</v>
      </c>
      <c r="I9" s="2">
        <v>99</v>
      </c>
      <c r="J9" s="2">
        <v>99</v>
      </c>
      <c r="K9" s="2">
        <v>99</v>
      </c>
      <c r="L9" s="2">
        <v>99</v>
      </c>
      <c r="M9" s="2">
        <v>99</v>
      </c>
      <c r="N9" s="2">
        <v>99</v>
      </c>
      <c r="O9" s="2">
        <v>99</v>
      </c>
      <c r="P9" s="2">
        <v>99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259522560</v>
      </c>
      <c r="D13" s="34">
        <f t="shared" ref="D13:P13" si="2">D11*D12*D10*D9</f>
        <v>2076180480</v>
      </c>
      <c r="E13" s="34">
        <f t="shared" si="2"/>
        <v>16609443840</v>
      </c>
      <c r="F13" s="34">
        <f t="shared" si="2"/>
        <v>132875550720</v>
      </c>
      <c r="G13" s="34">
        <f t="shared" si="2"/>
        <v>265751101440</v>
      </c>
      <c r="H13" s="34">
        <f t="shared" si="2"/>
        <v>531502202880</v>
      </c>
      <c r="I13" s="34">
        <f t="shared" si="2"/>
        <v>1063004405760</v>
      </c>
      <c r="J13" s="34">
        <f t="shared" si="2"/>
        <v>2126008811520</v>
      </c>
      <c r="K13" s="34">
        <f t="shared" si="2"/>
        <v>4252017623040</v>
      </c>
      <c r="L13" s="34">
        <f t="shared" si="2"/>
        <v>8504035246080</v>
      </c>
      <c r="M13" s="34">
        <f t="shared" si="2"/>
        <v>17008070492160</v>
      </c>
      <c r="N13" s="34">
        <f t="shared" si="2"/>
        <v>34016140984320</v>
      </c>
      <c r="O13" s="34">
        <f t="shared" si="2"/>
        <v>68032281968640</v>
      </c>
      <c r="P13" s="34">
        <f t="shared" si="2"/>
        <v>102048422952960</v>
      </c>
    </row>
    <row r="14" spans="1:16" x14ac:dyDescent="0.15">
      <c r="B14" s="6" t="s">
        <v>26</v>
      </c>
      <c r="C14" s="34">
        <f t="shared" ref="C14:P14" si="3">C13/C4</f>
        <v>259522560</v>
      </c>
      <c r="D14" s="34">
        <f t="shared" si="3"/>
        <v>259522560</v>
      </c>
      <c r="E14" s="34">
        <f t="shared" si="3"/>
        <v>259522560</v>
      </c>
      <c r="F14" s="34">
        <f t="shared" si="3"/>
        <v>259522560</v>
      </c>
      <c r="G14" s="34">
        <f t="shared" si="3"/>
        <v>259522560</v>
      </c>
      <c r="H14" s="34">
        <f t="shared" si="3"/>
        <v>259522560</v>
      </c>
      <c r="I14" s="34">
        <f t="shared" si="3"/>
        <v>259522560</v>
      </c>
      <c r="J14" s="34">
        <f t="shared" si="3"/>
        <v>259522560</v>
      </c>
      <c r="K14" s="34">
        <f t="shared" si="3"/>
        <v>259522560</v>
      </c>
      <c r="L14" s="34">
        <f t="shared" si="3"/>
        <v>259522560</v>
      </c>
      <c r="M14" s="34">
        <f t="shared" si="3"/>
        <v>259522560</v>
      </c>
      <c r="N14" s="34">
        <f t="shared" si="3"/>
        <v>259522560</v>
      </c>
      <c r="O14" s="34">
        <f t="shared" si="3"/>
        <v>259522560</v>
      </c>
      <c r="P14" s="34">
        <f t="shared" si="3"/>
        <v>259522560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99</v>
      </c>
      <c r="D24" s="7">
        <f t="shared" ref="D24:L24" si="7">D9</f>
        <v>99</v>
      </c>
      <c r="E24" s="7">
        <f t="shared" si="7"/>
        <v>99</v>
      </c>
      <c r="F24" s="7">
        <f t="shared" si="7"/>
        <v>99</v>
      </c>
      <c r="G24" s="7">
        <f t="shared" si="7"/>
        <v>99</v>
      </c>
      <c r="H24" s="7">
        <f t="shared" si="7"/>
        <v>99</v>
      </c>
      <c r="I24" s="7">
        <f t="shared" si="7"/>
        <v>99</v>
      </c>
      <c r="J24" s="7">
        <f t="shared" si="7"/>
        <v>99</v>
      </c>
      <c r="K24" s="7">
        <f t="shared" si="7"/>
        <v>99</v>
      </c>
      <c r="L24" s="7">
        <f t="shared" si="7"/>
        <v>99</v>
      </c>
      <c r="M24" s="2">
        <v>99</v>
      </c>
      <c r="N24" s="2">
        <v>99</v>
      </c>
      <c r="O24" s="2">
        <v>99</v>
      </c>
      <c r="P24" s="2">
        <v>99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1140480</v>
      </c>
      <c r="E28" s="1">
        <f t="shared" ref="E28:P28" si="10">( E21*E23 + E22*E23 + E21*E22)*E24*E25*4</f>
        <v>601920</v>
      </c>
      <c r="F28" s="1">
        <f t="shared" si="10"/>
        <v>316800</v>
      </c>
      <c r="G28" s="1">
        <f t="shared" si="10"/>
        <v>174240</v>
      </c>
      <c r="H28" s="1">
        <f t="shared" si="10"/>
        <v>174240</v>
      </c>
      <c r="I28" s="1">
        <f t="shared" si="10"/>
        <v>174240</v>
      </c>
      <c r="J28" s="1">
        <f t="shared" si="10"/>
        <v>95040</v>
      </c>
      <c r="K28" s="1">
        <f t="shared" si="10"/>
        <v>95040</v>
      </c>
      <c r="L28" s="1">
        <f t="shared" si="10"/>
        <v>95040</v>
      </c>
      <c r="M28" s="1">
        <f t="shared" si="10"/>
        <v>55440</v>
      </c>
      <c r="N28" s="1">
        <f t="shared" si="10"/>
        <v>55440</v>
      </c>
      <c r="O28" s="1">
        <f t="shared" si="10"/>
        <v>55440</v>
      </c>
      <c r="P28" s="1">
        <f t="shared" si="10"/>
        <v>55440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163</v>
      </c>
      <c r="D30" s="1">
        <v>188.7</v>
      </c>
      <c r="E30" s="1">
        <v>224.4</v>
      </c>
      <c r="F30" s="1">
        <v>273</v>
      </c>
      <c r="G30" s="1">
        <v>282.39999999999998</v>
      </c>
      <c r="H30" s="1">
        <v>314.3</v>
      </c>
      <c r="I30" s="1">
        <v>341.1</v>
      </c>
      <c r="J30" s="1">
        <v>334.9</v>
      </c>
      <c r="K30" s="1">
        <v>353.6</v>
      </c>
      <c r="L30" s="1">
        <v>377.1</v>
      </c>
      <c r="M30" s="1"/>
      <c r="N30" s="1"/>
      <c r="P30" s="70"/>
    </row>
    <row r="31" spans="1:30" s="12" customFormat="1" x14ac:dyDescent="0.15">
      <c r="B31" s="10" t="s">
        <v>36</v>
      </c>
      <c r="C31" s="1">
        <v>188</v>
      </c>
      <c r="D31" s="1">
        <v>215.7</v>
      </c>
      <c r="E31" s="1">
        <v>254</v>
      </c>
      <c r="F31" s="1">
        <v>304.39999999999998</v>
      </c>
      <c r="G31" s="1">
        <v>315.60000000000002</v>
      </c>
      <c r="H31" s="1">
        <v>354.9</v>
      </c>
      <c r="I31" s="1">
        <v>382.6</v>
      </c>
      <c r="J31" s="1">
        <v>375.9</v>
      </c>
      <c r="K31" s="1">
        <v>401.6</v>
      </c>
      <c r="L31" s="1">
        <v>432.3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16.3</v>
      </c>
      <c r="D33" s="17">
        <f t="shared" si="11"/>
        <v>18.869999999999997</v>
      </c>
      <c r="E33" s="17">
        <f t="shared" si="11"/>
        <v>22.44</v>
      </c>
      <c r="F33" s="17">
        <f t="shared" si="11"/>
        <v>27.3</v>
      </c>
      <c r="G33" s="17">
        <f t="shared" si="11"/>
        <v>28.24</v>
      </c>
      <c r="H33" s="17">
        <f t="shared" si="11"/>
        <v>31.43</v>
      </c>
      <c r="I33" s="17">
        <f>I30/I32</f>
        <v>34.11</v>
      </c>
      <c r="J33" s="17">
        <f>J30/J32</f>
        <v>33.489999999999995</v>
      </c>
      <c r="K33" s="17">
        <f>K30/K32</f>
        <v>35.36</v>
      </c>
      <c r="L33" s="17">
        <f>L30/L32</f>
        <v>37.71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62.80764184816919</v>
      </c>
      <c r="D34" s="13">
        <f t="shared" si="12"/>
        <v>72.710441820549221</v>
      </c>
      <c r="E34" s="13">
        <f t="shared" si="12"/>
        <v>86.466471354166671</v>
      </c>
      <c r="F34" s="13">
        <f t="shared" si="12"/>
        <v>105.1931670217803</v>
      </c>
      <c r="G34" s="13">
        <f t="shared" si="12"/>
        <v>108.81520280934343</v>
      </c>
      <c r="H34" s="13">
        <f t="shared" si="12"/>
        <v>121.10700510969066</v>
      </c>
      <c r="I34" s="13">
        <f t="shared" si="12"/>
        <v>131.43366033380681</v>
      </c>
      <c r="J34" s="13">
        <f t="shared" si="12"/>
        <v>129.04465800583964</v>
      </c>
      <c r="K34" s="13">
        <f t="shared" si="12"/>
        <v>136.25019728535352</v>
      </c>
      <c r="L34" s="13">
        <f t="shared" si="12"/>
        <v>145.30528675426137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746</v>
      </c>
      <c r="D36" s="12">
        <v>641.29999999999995</v>
      </c>
      <c r="E36" s="12">
        <v>674.5</v>
      </c>
      <c r="F36" s="12">
        <v>727.9</v>
      </c>
      <c r="G36" s="12">
        <v>873.1</v>
      </c>
      <c r="H36" s="12">
        <v>875.3</v>
      </c>
      <c r="I36" s="12">
        <v>902.8</v>
      </c>
      <c r="J36" s="12">
        <v>1063</v>
      </c>
      <c r="K36" s="12">
        <v>1055</v>
      </c>
      <c r="L36" s="12">
        <v>1059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1.1576687116564415</v>
      </c>
      <c r="D40" s="37">
        <f t="shared" ref="D40:O40" si="13">$D$33/D33</f>
        <v>1</v>
      </c>
      <c r="E40" s="37">
        <f t="shared" si="13"/>
        <v>0.84090909090909072</v>
      </c>
      <c r="F40" s="37">
        <f t="shared" si="13"/>
        <v>0.69120879120879108</v>
      </c>
      <c r="G40" s="37">
        <f t="shared" si="13"/>
        <v>0.66820113314447582</v>
      </c>
      <c r="H40" s="37">
        <f t="shared" si="13"/>
        <v>0.60038180082723502</v>
      </c>
      <c r="I40" s="37">
        <f t="shared" si="13"/>
        <v>0.55321020228671935</v>
      </c>
      <c r="J40" s="37">
        <f t="shared" si="13"/>
        <v>0.56345177664974622</v>
      </c>
      <c r="K40" s="37">
        <f t="shared" si="13"/>
        <v>0.53365384615384615</v>
      </c>
      <c r="L40" s="37">
        <f t="shared" si="13"/>
        <v>0.50039777247414474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1.1039806609554141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13.439360000000001</v>
      </c>
      <c r="D50" s="17">
        <f>$C$48*(D47*($C$43+ 3*D15+D16*D28+D12*D21*D22*D23*($C$44 + D25*($C$45 + D9*$C$46)) ) )/1000000000</f>
        <v>15.558326576687111</v>
      </c>
      <c r="E50" s="17">
        <f t="shared" ref="E50:P50" si="15">$C$48*(E47*($C$43+ 3*E15+E16*E28+E12*E21*E22*E23*($C$44 + E25*($C$45 + E9*$C$46)) ) )/1000000000</f>
        <v>16.09266143326607</v>
      </c>
      <c r="F50" s="17">
        <f t="shared" si="15"/>
        <v>16.514690974729334</v>
      </c>
      <c r="G50" s="17">
        <f t="shared" si="15"/>
        <v>16.442518053196718</v>
      </c>
      <c r="H50" s="17">
        <f t="shared" si="15"/>
        <v>16.688847911671573</v>
      </c>
      <c r="I50" s="17">
        <f t="shared" si="15"/>
        <v>17.18150762862129</v>
      </c>
      <c r="J50" s="17">
        <f t="shared" si="15"/>
        <v>16.861220067124986</v>
      </c>
      <c r="K50" s="17">
        <f t="shared" si="15"/>
        <v>17.358051597648004</v>
      </c>
      <c r="L50" s="17">
        <f t="shared" si="15"/>
        <v>17.854883128171025</v>
      </c>
      <c r="M50" s="17">
        <f t="shared" si="15"/>
        <v>17.665343794759892</v>
      </c>
      <c r="N50" s="17">
        <f t="shared" si="15"/>
        <v>18.170518952429525</v>
      </c>
      <c r="O50" s="17">
        <f t="shared" si="15"/>
        <v>19.180869267768781</v>
      </c>
      <c r="P50" s="17">
        <f t="shared" si="15"/>
        <v>20.191219583108044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13.439360000000001</v>
      </c>
      <c r="D51" s="60">
        <f>(D47*($C$43+ 3*D15+D16*D28+D12*D21*D22*D23*($C$44 + D25*($C$45 + D9*$C$46)) ) )/1000000000</f>
        <v>14.092933986019759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51.784939236111114</v>
      </c>
      <c r="D52" s="29">
        <f t="shared" ref="D52:P52" si="16">1000000000*D50/D14</f>
        <v>59.949803888675845</v>
      </c>
      <c r="E52" s="29">
        <f t="shared" si="16"/>
        <v>62.008718753645425</v>
      </c>
      <c r="F52" s="29">
        <f t="shared" si="16"/>
        <v>63.634895458527126</v>
      </c>
      <c r="G52" s="29">
        <f t="shared" si="16"/>
        <v>63.356796623756786</v>
      </c>
      <c r="H52" s="29">
        <f t="shared" si="16"/>
        <v>64.305962116247514</v>
      </c>
      <c r="I52" s="29">
        <f t="shared" si="16"/>
        <v>66.204293101228998</v>
      </c>
      <c r="J52" s="29">
        <f t="shared" si="16"/>
        <v>64.97015160117482</v>
      </c>
      <c r="K52" s="29">
        <f t="shared" si="16"/>
        <v>66.884557541540914</v>
      </c>
      <c r="L52" s="29">
        <f t="shared" si="16"/>
        <v>68.798963481907023</v>
      </c>
      <c r="M52" s="29">
        <f t="shared" si="16"/>
        <v>68.068624919390018</v>
      </c>
      <c r="N52" s="29">
        <f t="shared" si="16"/>
        <v>70.01518077052539</v>
      </c>
      <c r="O52" s="29">
        <f t="shared" si="16"/>
        <v>73.90829247279612</v>
      </c>
      <c r="P52" s="29">
        <f t="shared" si="16"/>
        <v>77.801404175066878</v>
      </c>
    </row>
    <row r="53" spans="1:16" s="12" customFormat="1" x14ac:dyDescent="0.15">
      <c r="B53" s="10" t="s">
        <v>58</v>
      </c>
      <c r="C53" s="17">
        <f>$D$50/C50</f>
        <v>1.1576687116564413</v>
      </c>
      <c r="D53" s="17">
        <f t="shared" ref="D53:P53" si="17">$D$50/D50</f>
        <v>1</v>
      </c>
      <c r="E53" s="17">
        <f t="shared" si="17"/>
        <v>0.96679636498942279</v>
      </c>
      <c r="F53" s="17">
        <f t="shared" si="17"/>
        <v>0.94209008212714096</v>
      </c>
      <c r="G53" s="17">
        <f t="shared" si="17"/>
        <v>0.94622529994195725</v>
      </c>
      <c r="H53" s="17">
        <f t="shared" si="17"/>
        <v>0.93225887485056314</v>
      </c>
      <c r="I53" s="17">
        <f t="shared" si="17"/>
        <v>0.90552743757886234</v>
      </c>
      <c r="J53" s="17">
        <f t="shared" si="17"/>
        <v>0.92272839775229676</v>
      </c>
      <c r="K53" s="17">
        <f t="shared" si="17"/>
        <v>0.89631756704740106</v>
      </c>
      <c r="L53" s="17">
        <f t="shared" si="17"/>
        <v>0.87137655648608203</v>
      </c>
      <c r="M53" s="17">
        <f t="shared" si="17"/>
        <v>0.88072594326198228</v>
      </c>
      <c r="N53" s="17">
        <f t="shared" si="17"/>
        <v>0.85624007863610607</v>
      </c>
      <c r="O53" s="17">
        <f t="shared" si="17"/>
        <v>0.81113772058449241</v>
      </c>
      <c r="P53" s="17">
        <f t="shared" si="17"/>
        <v>0.77054912471474446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13.439360000000001</v>
      </c>
      <c r="D56" s="57">
        <f>$C$69*(D47*($C$62+ $C$63*3*D15+D16*D28+D12*D21*D22*D23*($C$66 + D25*($C$67 + D9*$C$68)) ) + $C$64*(D27)^2 + $C$65*((D27)^2)/(D10/D25) )/1000000000</f>
        <v>15.558326576687111</v>
      </c>
      <c r="E56" s="57">
        <f t="shared" ref="E56:P56" si="18">$C$69*(E47*($C$62+ $C$63*3*E15+E16*E28+E12*E21*E22*E23*($C$66 + E25*($C$67 + E9*$C$68)) ) + $C$64*(E27)^2 + $C$65*((E27)^2)/(E10/E25) )/1000000000</f>
        <v>16.09266143326607</v>
      </c>
      <c r="F56" s="57">
        <f t="shared" si="18"/>
        <v>16.514690974729334</v>
      </c>
      <c r="G56" s="57">
        <f t="shared" si="18"/>
        <v>16.442518053196718</v>
      </c>
      <c r="H56" s="57">
        <f t="shared" si="18"/>
        <v>16.688847911671573</v>
      </c>
      <c r="I56" s="57">
        <f t="shared" si="18"/>
        <v>17.18150762862129</v>
      </c>
      <c r="J56" s="57">
        <f t="shared" si="18"/>
        <v>16.861220067124986</v>
      </c>
      <c r="K56" s="57">
        <f t="shared" si="18"/>
        <v>17.358051597648004</v>
      </c>
      <c r="L56" s="57">
        <f t="shared" si="18"/>
        <v>17.854883128171025</v>
      </c>
      <c r="M56" s="57">
        <f t="shared" si="18"/>
        <v>17.665343794759892</v>
      </c>
      <c r="N56" s="57">
        <f t="shared" si="18"/>
        <v>18.170518952429525</v>
      </c>
      <c r="O56" s="57">
        <f t="shared" si="18"/>
        <v>19.180869267768781</v>
      </c>
      <c r="P56" s="57">
        <f t="shared" si="18"/>
        <v>20.191219583108044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13.439360000000001</v>
      </c>
      <c r="D57" s="60">
        <f>(D47*($C$43+ $C$63*3*D15+D16*D28+D12*D21*D22*D23*($C$44 + D25*($C$45 + D9*$C$46)) ) + $C$64*(D27)^2 + $C$65*((D27)^2)/(D10/D25) )/1000000000</f>
        <v>14.092933986019759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51.784939236111114</v>
      </c>
      <c r="D58" s="29">
        <f t="shared" ref="D58:P58" si="19">1000000000*D56/D14</f>
        <v>59.949803888675845</v>
      </c>
      <c r="E58" s="29">
        <f t="shared" si="19"/>
        <v>62.008718753645425</v>
      </c>
      <c r="F58" s="29">
        <f t="shared" si="19"/>
        <v>63.634895458527126</v>
      </c>
      <c r="G58" s="29">
        <f t="shared" si="19"/>
        <v>63.356796623756786</v>
      </c>
      <c r="H58" s="29">
        <f t="shared" si="19"/>
        <v>64.305962116247514</v>
      </c>
      <c r="I58" s="29">
        <f t="shared" si="19"/>
        <v>66.204293101228998</v>
      </c>
      <c r="J58" s="29">
        <f t="shared" si="19"/>
        <v>64.97015160117482</v>
      </c>
      <c r="K58" s="29">
        <f t="shared" si="19"/>
        <v>66.884557541540914</v>
      </c>
      <c r="L58" s="29">
        <f t="shared" si="19"/>
        <v>68.798963481907023</v>
      </c>
      <c r="M58" s="29">
        <f t="shared" si="19"/>
        <v>68.068624919390018</v>
      </c>
      <c r="N58" s="29">
        <f t="shared" si="19"/>
        <v>70.01518077052539</v>
      </c>
      <c r="O58" s="29">
        <f t="shared" si="19"/>
        <v>73.90829247279612</v>
      </c>
      <c r="P58" s="29">
        <f t="shared" si="19"/>
        <v>77.801404175066878</v>
      </c>
    </row>
    <row r="59" spans="1:16" s="12" customFormat="1" x14ac:dyDescent="0.15">
      <c r="B59" s="10" t="s">
        <v>58</v>
      </c>
      <c r="C59" s="17">
        <f>$D$56/C56</f>
        <v>1.1576687116564413</v>
      </c>
      <c r="D59" s="17">
        <f t="shared" ref="D59:P59" si="20">$D$56/D56</f>
        <v>1</v>
      </c>
      <c r="E59" s="17">
        <f t="shared" si="20"/>
        <v>0.96679636498942279</v>
      </c>
      <c r="F59" s="17">
        <f t="shared" si="20"/>
        <v>0.94209008212714096</v>
      </c>
      <c r="G59" s="17">
        <f t="shared" si="20"/>
        <v>0.94622529994195725</v>
      </c>
      <c r="H59" s="17">
        <f t="shared" si="20"/>
        <v>0.93225887485056314</v>
      </c>
      <c r="I59" s="17">
        <f t="shared" si="20"/>
        <v>0.90552743757886234</v>
      </c>
      <c r="J59" s="17">
        <f t="shared" si="20"/>
        <v>0.92272839775229676</v>
      </c>
      <c r="K59" s="17">
        <f t="shared" si="20"/>
        <v>0.89631756704740106</v>
      </c>
      <c r="L59" s="17">
        <f t="shared" si="20"/>
        <v>0.87137655648608203</v>
      </c>
      <c r="M59" s="17">
        <f t="shared" si="20"/>
        <v>0.88072594326198228</v>
      </c>
      <c r="N59" s="17">
        <f t="shared" si="20"/>
        <v>0.85624007863610607</v>
      </c>
      <c r="O59" s="17">
        <f t="shared" si="20"/>
        <v>0.81113772058449241</v>
      </c>
      <c r="P59" s="17">
        <f t="shared" si="20"/>
        <v>0.77054912471474446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1.1039806609554141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 enableFormatConditionsCalculation="0"/>
  <dimension ref="A1:AD77"/>
  <sheetViews>
    <sheetView topLeftCell="A3" zoomScale="125" zoomScaleNormal="125" zoomScalePageLayoutView="125" workbookViewId="0">
      <selection activeCell="L36" sqref="L36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79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1310720</v>
      </c>
      <c r="D13" s="34">
        <f t="shared" ref="D13:P13" si="2">D11*D12*D10*D9</f>
        <v>10485760</v>
      </c>
      <c r="E13" s="34">
        <f t="shared" si="2"/>
        <v>83886080</v>
      </c>
      <c r="F13" s="34">
        <f t="shared" si="2"/>
        <v>671088640</v>
      </c>
      <c r="G13" s="34">
        <f t="shared" si="2"/>
        <v>1342177280</v>
      </c>
      <c r="H13" s="34">
        <f t="shared" si="2"/>
        <v>2684354560</v>
      </c>
      <c r="I13" s="34">
        <f t="shared" si="2"/>
        <v>5368709120</v>
      </c>
      <c r="J13" s="34">
        <f t="shared" si="2"/>
        <v>10737418240</v>
      </c>
      <c r="K13" s="34">
        <f t="shared" si="2"/>
        <v>21474836480</v>
      </c>
      <c r="L13" s="34">
        <f t="shared" si="2"/>
        <v>42949672960</v>
      </c>
      <c r="M13" s="34">
        <f t="shared" si="2"/>
        <v>85899345920</v>
      </c>
      <c r="N13" s="34">
        <f t="shared" si="2"/>
        <v>171798691840</v>
      </c>
      <c r="O13" s="34">
        <f t="shared" si="2"/>
        <v>343597383680</v>
      </c>
      <c r="P13" s="34">
        <f t="shared" si="2"/>
        <v>515396075520</v>
      </c>
    </row>
    <row r="14" spans="1:16" x14ac:dyDescent="0.15">
      <c r="B14" s="6" t="s">
        <v>26</v>
      </c>
      <c r="C14" s="34">
        <f t="shared" ref="C14:P14" si="3">C13/C4</f>
        <v>1310720</v>
      </c>
      <c r="D14" s="34">
        <f t="shared" si="3"/>
        <v>1310720</v>
      </c>
      <c r="E14" s="34">
        <f t="shared" si="3"/>
        <v>1310720</v>
      </c>
      <c r="F14" s="34">
        <f t="shared" si="3"/>
        <v>1310720</v>
      </c>
      <c r="G14" s="34">
        <f t="shared" si="3"/>
        <v>1310720</v>
      </c>
      <c r="H14" s="34">
        <f t="shared" si="3"/>
        <v>1310720</v>
      </c>
      <c r="I14" s="34">
        <f t="shared" si="3"/>
        <v>1310720</v>
      </c>
      <c r="J14" s="34">
        <f t="shared" si="3"/>
        <v>1310720</v>
      </c>
      <c r="K14" s="34">
        <f t="shared" si="3"/>
        <v>1310720</v>
      </c>
      <c r="L14" s="34">
        <f t="shared" si="3"/>
        <v>1310720</v>
      </c>
      <c r="M14" s="34">
        <f t="shared" si="3"/>
        <v>1310720</v>
      </c>
      <c r="N14" s="34">
        <f t="shared" si="3"/>
        <v>1310720</v>
      </c>
      <c r="O14" s="34">
        <f t="shared" si="3"/>
        <v>1310720</v>
      </c>
      <c r="P14" s="34">
        <f t="shared" si="3"/>
        <v>1310720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1</v>
      </c>
      <c r="D24" s="7">
        <f t="shared" ref="D24:P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f t="shared" si="7"/>
        <v>1</v>
      </c>
      <c r="O24" s="7">
        <f t="shared" si="7"/>
        <v>1</v>
      </c>
      <c r="P24" s="7">
        <f t="shared" si="7"/>
        <v>1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11520</v>
      </c>
      <c r="E28" s="1">
        <f t="shared" ref="E28:P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  <c r="O28" s="1">
        <f t="shared" si="10"/>
        <v>560</v>
      </c>
      <c r="P28" s="1">
        <f t="shared" si="10"/>
        <v>560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1.6</v>
      </c>
      <c r="D30" s="1">
        <v>2.5009999999999999</v>
      </c>
      <c r="E30" s="1">
        <v>3.052</v>
      </c>
      <c r="F30" s="1">
        <v>3.968</v>
      </c>
      <c r="G30" s="1">
        <v>4.4939999999999998</v>
      </c>
      <c r="H30" s="1">
        <v>4.593</v>
      </c>
      <c r="I30" s="74">
        <v>5.13</v>
      </c>
      <c r="J30" s="1">
        <v>1.675</v>
      </c>
      <c r="K30" s="1">
        <v>7.548</v>
      </c>
      <c r="L30" s="1">
        <v>11.27</v>
      </c>
      <c r="M30" s="1"/>
      <c r="N30" s="1"/>
      <c r="P30" s="70"/>
    </row>
    <row r="31" spans="1:30" s="12" customFormat="1" x14ac:dyDescent="0.15">
      <c r="B31" s="10" t="s">
        <v>36</v>
      </c>
      <c r="C31" s="1">
        <v>3.55</v>
      </c>
      <c r="D31" s="1">
        <v>4.7450000000000001</v>
      </c>
      <c r="E31" s="1">
        <v>6.01</v>
      </c>
      <c r="F31" s="1">
        <v>10.65</v>
      </c>
      <c r="G31" s="1">
        <v>12.71</v>
      </c>
      <c r="H31" s="1">
        <v>13.12</v>
      </c>
      <c r="I31" s="1">
        <v>13.9</v>
      </c>
      <c r="J31" s="1">
        <v>28.56</v>
      </c>
      <c r="K31" s="1">
        <v>22.6</v>
      </c>
      <c r="L31" s="1">
        <v>35.94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0.16</v>
      </c>
      <c r="D33" s="17">
        <f t="shared" si="11"/>
        <v>0.25009999999999999</v>
      </c>
      <c r="E33" s="17">
        <f t="shared" si="11"/>
        <v>0.30520000000000003</v>
      </c>
      <c r="F33" s="17">
        <f t="shared" si="11"/>
        <v>0.39679999999999999</v>
      </c>
      <c r="G33" s="17">
        <f t="shared" si="11"/>
        <v>0.44939999999999997</v>
      </c>
      <c r="H33" s="17">
        <f t="shared" si="11"/>
        <v>0.45929999999999999</v>
      </c>
      <c r="I33" s="17">
        <f>I30/I32</f>
        <v>0.51300000000000001</v>
      </c>
      <c r="J33" s="17">
        <f>J30/J32</f>
        <v>0.16750000000000001</v>
      </c>
      <c r="K33" s="17">
        <f>K30/K32</f>
        <v>0.75480000000000003</v>
      </c>
      <c r="L33" s="17">
        <f>L30/L32</f>
        <v>1.127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L34" si="12">1000000000*C33/C14</f>
        <v>122.0703125</v>
      </c>
      <c r="D34" s="13">
        <f t="shared" si="12"/>
        <v>190.8111572265625</v>
      </c>
      <c r="E34" s="13">
        <f t="shared" si="12"/>
        <v>232.84912109375</v>
      </c>
      <c r="F34" s="13">
        <f t="shared" si="12"/>
        <v>302.734375</v>
      </c>
      <c r="G34" s="13">
        <f t="shared" si="12"/>
        <v>342.86499023437494</v>
      </c>
      <c r="H34" s="13">
        <f t="shared" si="12"/>
        <v>350.4180908203125</v>
      </c>
      <c r="I34" s="13">
        <f t="shared" si="12"/>
        <v>391.387939453125</v>
      </c>
      <c r="J34" s="13">
        <f t="shared" si="12"/>
        <v>127.7923583984375</v>
      </c>
      <c r="K34" s="13">
        <f t="shared" si="12"/>
        <v>575.86669921875</v>
      </c>
      <c r="L34" s="13">
        <f t="shared" si="12"/>
        <v>859.832763671875</v>
      </c>
      <c r="M34" s="13">
        <f t="shared" ref="M34:O34" si="13">1000000000*M33/M14</f>
        <v>0</v>
      </c>
      <c r="N34" s="13">
        <f t="shared" si="13"/>
        <v>0</v>
      </c>
      <c r="O34" s="13">
        <f t="shared" si="13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184</v>
      </c>
      <c r="D36" s="73">
        <v>185.8</v>
      </c>
      <c r="E36" s="73">
        <v>250.5</v>
      </c>
      <c r="F36" s="73">
        <v>252.1</v>
      </c>
      <c r="G36" s="73">
        <v>256.39999999999998</v>
      </c>
      <c r="H36" s="73">
        <v>255.1</v>
      </c>
      <c r="I36" s="73">
        <v>256.60000000000002</v>
      </c>
      <c r="J36" s="73">
        <v>257.60000000000002</v>
      </c>
      <c r="K36" s="73">
        <v>259.2</v>
      </c>
      <c r="L36" s="73">
        <v>259.5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1.5631249999999999</v>
      </c>
      <c r="D40" s="37">
        <f t="shared" ref="D40:P40" si="14">$D$33/D33</f>
        <v>1</v>
      </c>
      <c r="E40" s="37">
        <f t="shared" si="14"/>
        <v>0.81946264744429875</v>
      </c>
      <c r="F40" s="37">
        <f t="shared" si="14"/>
        <v>0.63029233870967738</v>
      </c>
      <c r="G40" s="37">
        <f t="shared" si="14"/>
        <v>0.55651980418335556</v>
      </c>
      <c r="H40" s="37">
        <f t="shared" si="14"/>
        <v>0.54452427607228393</v>
      </c>
      <c r="I40" s="37">
        <f t="shared" si="14"/>
        <v>0.48752436647173486</v>
      </c>
      <c r="J40" s="37">
        <f t="shared" si="14"/>
        <v>1.4931343283582088</v>
      </c>
      <c r="K40" s="37">
        <f t="shared" si="14"/>
        <v>0.33134605193428718</v>
      </c>
      <c r="L40" s="37">
        <f t="shared" si="14"/>
        <v>0.22191659272404612</v>
      </c>
      <c r="M40" s="37" t="e">
        <f t="shared" si="14"/>
        <v>#DIV/0!</v>
      </c>
      <c r="N40" s="37" t="e">
        <f t="shared" si="14"/>
        <v>#DIV/0!</v>
      </c>
      <c r="O40" s="37" t="e">
        <f t="shared" si="14"/>
        <v>#DIV/0!</v>
      </c>
      <c r="P40" s="37" t="e">
        <f t="shared" si="14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5">C27 + C18 - (2 - MOD(C18,2)) + C19 - (2  - MOD(C19,2)) + (C8/(C20*C23))*(C20 - (2 - MOD(C20,2)))</f>
        <v>128</v>
      </c>
      <c r="D47" s="16">
        <f t="shared" si="15"/>
        <v>128</v>
      </c>
      <c r="E47" s="16">
        <f t="shared" si="15"/>
        <v>264</v>
      </c>
      <c r="F47" s="16">
        <f t="shared" si="15"/>
        <v>540</v>
      </c>
      <c r="G47" s="16">
        <f t="shared" si="15"/>
        <v>1068</v>
      </c>
      <c r="H47" s="16">
        <f t="shared" si="15"/>
        <v>1084</v>
      </c>
      <c r="I47" s="16">
        <f t="shared" si="15"/>
        <v>1116</v>
      </c>
      <c r="J47" s="16">
        <f t="shared" si="15"/>
        <v>2172</v>
      </c>
      <c r="K47" s="16">
        <f t="shared" si="15"/>
        <v>2236</v>
      </c>
      <c r="L47" s="16">
        <f t="shared" si="15"/>
        <v>2300</v>
      </c>
      <c r="M47" s="16">
        <f t="shared" si="15"/>
        <v>4476</v>
      </c>
      <c r="N47" s="16">
        <f t="shared" si="15"/>
        <v>4604</v>
      </c>
      <c r="O47" s="16">
        <f t="shared" si="15"/>
        <v>4860</v>
      </c>
      <c r="P47" s="16">
        <f t="shared" si="15"/>
        <v>5116</v>
      </c>
    </row>
    <row r="48" spans="1:16" x14ac:dyDescent="0.15">
      <c r="B48" s="10" t="s">
        <v>52</v>
      </c>
      <c r="C48" s="35">
        <f>(D33/C33)/(D51/C51)</f>
        <v>1.4891918282050927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0.16447999999999999</v>
      </c>
      <c r="D50" s="17">
        <f>$C$48*(D47*($C$43+ 3*D15+D16*D28+D12*D21*D22*D23*($C$44 + D25*($C$45 + D9*$C$46)) ) )/1000000000</f>
        <v>0.25710280000000002</v>
      </c>
      <c r="E50" s="17">
        <f t="shared" ref="E50:P50" si="16">$C$48*(E47*($C$43+ 3*E15+E16*E28+E12*E21*E22*E23*($C$44 + E25*($C$45 + E9*$C$46)) ) )/1000000000</f>
        <v>0.26910856233534186</v>
      </c>
      <c r="F50" s="17">
        <f t="shared" si="16"/>
        <v>0.28277312021779288</v>
      </c>
      <c r="G50" s="17">
        <f t="shared" si="16"/>
        <v>0.29456036161932869</v>
      </c>
      <c r="H50" s="17">
        <f t="shared" si="16"/>
        <v>0.29897325093197774</v>
      </c>
      <c r="I50" s="17">
        <f t="shared" si="16"/>
        <v>0.307799029557276</v>
      </c>
      <c r="J50" s="17">
        <f t="shared" si="16"/>
        <v>0.3287307189803283</v>
      </c>
      <c r="K50" s="17">
        <f t="shared" si="16"/>
        <v>0.33841707534070636</v>
      </c>
      <c r="L50" s="17">
        <f t="shared" si="16"/>
        <v>0.34810343170108438</v>
      </c>
      <c r="M50" s="17">
        <f t="shared" si="16"/>
        <v>0.39890642932410908</v>
      </c>
      <c r="N50" s="17">
        <f t="shared" si="16"/>
        <v>0.41031394115464664</v>
      </c>
      <c r="O50" s="17">
        <f t="shared" si="16"/>
        <v>0.43312896481572161</v>
      </c>
      <c r="P50" s="17">
        <f t="shared" si="16"/>
        <v>0.45594398847679668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0.16447999999999999</v>
      </c>
      <c r="D51" s="60">
        <f>(D47*($C$43+ 3*D15+D16*D28+D12*D21*D22*D23*($C$44 + D25*($C$45 + D9*$C$46)) ) )/1000000000</f>
        <v>0.17264585739090665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125.48828125</v>
      </c>
      <c r="D52" s="29">
        <f t="shared" ref="D52:P52" si="17">1000000000*D50/D14</f>
        <v>196.15386962890628</v>
      </c>
      <c r="E52" s="29">
        <f t="shared" si="17"/>
        <v>205.3135393793807</v>
      </c>
      <c r="F52" s="29">
        <f t="shared" si="17"/>
        <v>215.73876969741278</v>
      </c>
      <c r="G52" s="29">
        <f t="shared" si="17"/>
        <v>224.73172120615286</v>
      </c>
      <c r="H52" s="29">
        <f t="shared" si="17"/>
        <v>228.09848856504649</v>
      </c>
      <c r="I52" s="29">
        <f t="shared" si="17"/>
        <v>234.83202328283386</v>
      </c>
      <c r="J52" s="29">
        <f t="shared" si="17"/>
        <v>250.80163496423975</v>
      </c>
      <c r="K52" s="29">
        <f t="shared" si="17"/>
        <v>258.19173838860041</v>
      </c>
      <c r="L52" s="29">
        <f t="shared" si="17"/>
        <v>265.5818418129611</v>
      </c>
      <c r="M52" s="29">
        <f t="shared" si="17"/>
        <v>304.34145303658227</v>
      </c>
      <c r="N52" s="29">
        <f t="shared" si="17"/>
        <v>313.04469387408955</v>
      </c>
      <c r="O52" s="29">
        <f t="shared" si="17"/>
        <v>330.45117554910405</v>
      </c>
      <c r="P52" s="29">
        <f t="shared" si="17"/>
        <v>347.85765722411855</v>
      </c>
    </row>
    <row r="53" spans="1:16" s="12" customFormat="1" x14ac:dyDescent="0.15">
      <c r="B53" s="10" t="s">
        <v>58</v>
      </c>
      <c r="C53" s="17">
        <f>$D$50/C50</f>
        <v>1.5631250000000003</v>
      </c>
      <c r="D53" s="17">
        <f t="shared" ref="D53:P53" si="18">$D$50/D50</f>
        <v>1</v>
      </c>
      <c r="E53" s="17">
        <f t="shared" si="18"/>
        <v>0.95538691808556719</v>
      </c>
      <c r="F53" s="17">
        <f t="shared" si="18"/>
        <v>0.90921937630414984</v>
      </c>
      <c r="G53" s="17">
        <f t="shared" si="18"/>
        <v>0.87283570194778459</v>
      </c>
      <c r="H53" s="17">
        <f t="shared" si="18"/>
        <v>0.85995251815519758</v>
      </c>
      <c r="I53" s="17">
        <f t="shared" si="18"/>
        <v>0.83529438143390144</v>
      </c>
      <c r="J53" s="17">
        <f t="shared" si="18"/>
        <v>0.7821076192620301</v>
      </c>
      <c r="K53" s="17">
        <f t="shared" si="18"/>
        <v>0.75972171244952102</v>
      </c>
      <c r="L53" s="17">
        <f t="shared" si="18"/>
        <v>0.73858163001614308</v>
      </c>
      <c r="M53" s="17">
        <f t="shared" si="18"/>
        <v>0.64451906788172009</v>
      </c>
      <c r="N53" s="17">
        <f t="shared" si="18"/>
        <v>0.62660020587284504</v>
      </c>
      <c r="O53" s="17">
        <f t="shared" si="18"/>
        <v>0.59359410449353478</v>
      </c>
      <c r="P53" s="17">
        <f t="shared" si="18"/>
        <v>0.56389119386993336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0.16447999999999999</v>
      </c>
      <c r="D56" s="57">
        <f>$C$69*(D47*($C$62+ $C$63*3*D15+D16*D28+D12*D21*D22*D23*($C$66 + D25*($C$67 + D9*$C$68)) ) + $C$64*(D27)^2 + $C$65*((D27)^2)/(D10/D25) )/1000000000</f>
        <v>0.25710280000000002</v>
      </c>
      <c r="E56" s="57">
        <f t="shared" ref="E56:P56" si="19">$C$69*(E47*($C$62+ $C$63*3*E15+E16*E28+E12*E21*E22*E23*($C$66 + E25*($C$67 + E9*$C$68)) ) + $C$64*(E27)^2 + $C$65*((E27)^2)/(E10/E25) )/1000000000</f>
        <v>0.26910856233534186</v>
      </c>
      <c r="F56" s="57">
        <f t="shared" si="19"/>
        <v>0.28277312021779288</v>
      </c>
      <c r="G56" s="57">
        <f t="shared" si="19"/>
        <v>0.29456036161932869</v>
      </c>
      <c r="H56" s="57">
        <f t="shared" si="19"/>
        <v>0.29897325093197774</v>
      </c>
      <c r="I56" s="57">
        <f t="shared" si="19"/>
        <v>0.307799029557276</v>
      </c>
      <c r="J56" s="57">
        <f t="shared" si="19"/>
        <v>0.3287307189803283</v>
      </c>
      <c r="K56" s="57">
        <f t="shared" si="19"/>
        <v>0.33841707534070636</v>
      </c>
      <c r="L56" s="57">
        <f t="shared" si="19"/>
        <v>0.34810343170108438</v>
      </c>
      <c r="M56" s="57">
        <f t="shared" si="19"/>
        <v>0.39890642932410908</v>
      </c>
      <c r="N56" s="57">
        <f t="shared" si="19"/>
        <v>0.41031394115464664</v>
      </c>
      <c r="O56" s="57">
        <f t="shared" si="19"/>
        <v>0.43312896481572161</v>
      </c>
      <c r="P56" s="57">
        <f t="shared" si="19"/>
        <v>0.45594398847679668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0.16447999999999999</v>
      </c>
      <c r="D57" s="60">
        <f>(D47*($C$43+ $C$63*3*D15+D16*D28+D12*D21*D22*D23*($C$44 + D25*($C$45 + D9*$C$46)) ) + $C$64*(D27)^2 + $C$65*((D27)^2)/(D10/D25) )/1000000000</f>
        <v>0.17264585739090665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125.48828125</v>
      </c>
      <c r="D58" s="29">
        <f t="shared" ref="D58:P58" si="20">1000000000*D56/D14</f>
        <v>196.15386962890628</v>
      </c>
      <c r="E58" s="29">
        <f t="shared" si="20"/>
        <v>205.3135393793807</v>
      </c>
      <c r="F58" s="29">
        <f t="shared" si="20"/>
        <v>215.73876969741278</v>
      </c>
      <c r="G58" s="29">
        <f t="shared" si="20"/>
        <v>224.73172120615286</v>
      </c>
      <c r="H58" s="29">
        <f t="shared" si="20"/>
        <v>228.09848856504649</v>
      </c>
      <c r="I58" s="29">
        <f t="shared" si="20"/>
        <v>234.83202328283386</v>
      </c>
      <c r="J58" s="29">
        <f t="shared" si="20"/>
        <v>250.80163496423975</v>
      </c>
      <c r="K58" s="29">
        <f t="shared" si="20"/>
        <v>258.19173838860041</v>
      </c>
      <c r="L58" s="29">
        <f t="shared" si="20"/>
        <v>265.5818418129611</v>
      </c>
      <c r="M58" s="29">
        <f t="shared" si="20"/>
        <v>304.34145303658227</v>
      </c>
      <c r="N58" s="29">
        <f t="shared" si="20"/>
        <v>313.04469387408955</v>
      </c>
      <c r="O58" s="29">
        <f t="shared" si="20"/>
        <v>330.45117554910405</v>
      </c>
      <c r="P58" s="29">
        <f t="shared" si="20"/>
        <v>347.85765722411855</v>
      </c>
    </row>
    <row r="59" spans="1:16" s="12" customFormat="1" x14ac:dyDescent="0.15">
      <c r="B59" s="10" t="s">
        <v>58</v>
      </c>
      <c r="C59" s="17">
        <f>$D$56/C56</f>
        <v>1.5631250000000003</v>
      </c>
      <c r="D59" s="17">
        <f t="shared" ref="D59:P59" si="21">$D$56/D56</f>
        <v>1</v>
      </c>
      <c r="E59" s="17">
        <f t="shared" si="21"/>
        <v>0.95538691808556719</v>
      </c>
      <c r="F59" s="17">
        <f t="shared" si="21"/>
        <v>0.90921937630414984</v>
      </c>
      <c r="G59" s="17">
        <f t="shared" si="21"/>
        <v>0.87283570194778459</v>
      </c>
      <c r="H59" s="17">
        <f t="shared" si="21"/>
        <v>0.85995251815519758</v>
      </c>
      <c r="I59" s="17">
        <f t="shared" si="21"/>
        <v>0.83529438143390144</v>
      </c>
      <c r="J59" s="17">
        <f t="shared" si="21"/>
        <v>0.7821076192620301</v>
      </c>
      <c r="K59" s="17">
        <f t="shared" si="21"/>
        <v>0.75972171244952102</v>
      </c>
      <c r="L59" s="17">
        <f t="shared" si="21"/>
        <v>0.73858163001614308</v>
      </c>
      <c r="M59" s="17">
        <f t="shared" si="21"/>
        <v>0.64451906788172009</v>
      </c>
      <c r="N59" s="17">
        <f t="shared" si="21"/>
        <v>0.62660020587284504</v>
      </c>
      <c r="O59" s="17">
        <f t="shared" si="21"/>
        <v>0.59359410449353478</v>
      </c>
      <c r="P59" s="17">
        <f t="shared" si="21"/>
        <v>0.56389119386993336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1.4891918282050927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2">C18*C19*C20-C4</f>
        <v>0</v>
      </c>
      <c r="D72" s="34">
        <f t="shared" si="22"/>
        <v>0</v>
      </c>
      <c r="E72" s="34">
        <f t="shared" si="22"/>
        <v>0</v>
      </c>
      <c r="F72" s="34">
        <f t="shared" si="22"/>
        <v>0</v>
      </c>
      <c r="G72" s="34">
        <f t="shared" si="22"/>
        <v>0</v>
      </c>
      <c r="H72" s="34">
        <f t="shared" si="22"/>
        <v>0</v>
      </c>
      <c r="I72" s="34">
        <f t="shared" si="22"/>
        <v>0</v>
      </c>
      <c r="J72" s="34">
        <f t="shared" si="22"/>
        <v>0</v>
      </c>
      <c r="K72" s="34">
        <f t="shared" si="22"/>
        <v>0</v>
      </c>
      <c r="L72" s="34">
        <f t="shared" si="22"/>
        <v>0</v>
      </c>
      <c r="M72" s="34">
        <f t="shared" si="22"/>
        <v>0</v>
      </c>
      <c r="N72" s="34">
        <f t="shared" si="22"/>
        <v>0</v>
      </c>
      <c r="O72" s="34">
        <f t="shared" si="22"/>
        <v>0</v>
      </c>
      <c r="P72" s="34">
        <f t="shared" si="22"/>
        <v>0</v>
      </c>
    </row>
    <row r="73" spans="1:16" x14ac:dyDescent="0.15">
      <c r="B73" s="27" t="s">
        <v>15</v>
      </c>
      <c r="C73" s="34">
        <f t="shared" ref="C73:P73" si="23">C11/C4 - $C$11</f>
        <v>0</v>
      </c>
      <c r="D73" s="34">
        <f t="shared" si="23"/>
        <v>0</v>
      </c>
      <c r="E73" s="34">
        <f t="shared" si="23"/>
        <v>0</v>
      </c>
      <c r="F73" s="34">
        <f t="shared" si="23"/>
        <v>0</v>
      </c>
      <c r="G73" s="34">
        <f t="shared" si="23"/>
        <v>0</v>
      </c>
      <c r="H73" s="34">
        <f t="shared" si="23"/>
        <v>0</v>
      </c>
      <c r="I73" s="34">
        <f t="shared" si="23"/>
        <v>0</v>
      </c>
      <c r="J73" s="34">
        <f t="shared" si="23"/>
        <v>0</v>
      </c>
      <c r="K73" s="34">
        <f t="shared" si="23"/>
        <v>0</v>
      </c>
      <c r="L73" s="34">
        <f t="shared" si="23"/>
        <v>0</v>
      </c>
      <c r="M73" s="34">
        <f t="shared" si="23"/>
        <v>0</v>
      </c>
      <c r="N73" s="34">
        <f t="shared" si="23"/>
        <v>0</v>
      </c>
      <c r="O73" s="34">
        <f t="shared" si="23"/>
        <v>0</v>
      </c>
      <c r="P73" s="34">
        <f t="shared" si="23"/>
        <v>0</v>
      </c>
    </row>
    <row r="74" spans="1:16" x14ac:dyDescent="0.15">
      <c r="B74" s="27" t="s">
        <v>9</v>
      </c>
      <c r="C74" s="34">
        <f t="shared" ref="C74:P75" si="24">C18*C21-C6</f>
        <v>0</v>
      </c>
      <c r="D74" s="34">
        <f t="shared" si="24"/>
        <v>0</v>
      </c>
      <c r="E74" s="34">
        <f t="shared" si="24"/>
        <v>0</v>
      </c>
      <c r="F74" s="34">
        <f t="shared" si="24"/>
        <v>0</v>
      </c>
      <c r="G74" s="34">
        <f t="shared" si="24"/>
        <v>0</v>
      </c>
      <c r="H74" s="34">
        <f t="shared" si="24"/>
        <v>0</v>
      </c>
      <c r="I74" s="34">
        <f t="shared" si="24"/>
        <v>0</v>
      </c>
      <c r="J74" s="34">
        <f t="shared" si="24"/>
        <v>0</v>
      </c>
      <c r="K74" s="34">
        <f t="shared" si="24"/>
        <v>0</v>
      </c>
      <c r="L74" s="34">
        <f t="shared" si="24"/>
        <v>0</v>
      </c>
      <c r="M74" s="34">
        <f t="shared" si="24"/>
        <v>0</v>
      </c>
      <c r="N74" s="34">
        <f t="shared" si="24"/>
        <v>0</v>
      </c>
      <c r="O74" s="34">
        <f t="shared" si="24"/>
        <v>0</v>
      </c>
      <c r="P74" s="34">
        <f t="shared" si="24"/>
        <v>0</v>
      </c>
    </row>
    <row r="75" spans="1:16" x14ac:dyDescent="0.15">
      <c r="B75" s="27" t="s">
        <v>10</v>
      </c>
      <c r="C75" s="34">
        <f t="shared" si="24"/>
        <v>0</v>
      </c>
      <c r="D75" s="34">
        <f t="shared" si="24"/>
        <v>0</v>
      </c>
      <c r="E75" s="34">
        <f t="shared" si="24"/>
        <v>0</v>
      </c>
      <c r="F75" s="34">
        <f t="shared" si="24"/>
        <v>0</v>
      </c>
      <c r="G75" s="34">
        <f t="shared" si="24"/>
        <v>0</v>
      </c>
      <c r="H75" s="34">
        <f t="shared" si="24"/>
        <v>0</v>
      </c>
      <c r="I75" s="34">
        <f t="shared" si="24"/>
        <v>0</v>
      </c>
      <c r="J75" s="34">
        <f t="shared" si="24"/>
        <v>0</v>
      </c>
      <c r="K75" s="34">
        <f t="shared" si="24"/>
        <v>0</v>
      </c>
      <c r="L75" s="34">
        <f t="shared" si="24"/>
        <v>0</v>
      </c>
      <c r="M75" s="34">
        <f t="shared" si="24"/>
        <v>0</v>
      </c>
      <c r="N75" s="34">
        <f t="shared" si="24"/>
        <v>0</v>
      </c>
      <c r="O75" s="34">
        <f t="shared" si="24"/>
        <v>0</v>
      </c>
      <c r="P75" s="34">
        <f t="shared" si="24"/>
        <v>0</v>
      </c>
    </row>
    <row r="76" spans="1:16" x14ac:dyDescent="0.15">
      <c r="B76" s="27" t="s">
        <v>16</v>
      </c>
      <c r="C76" s="34">
        <f t="shared" ref="C76:P76" si="25">C6*C7*C8*C9*C10/(C21*C22*C23*C25*C24)-C18*C19*C20*C27</f>
        <v>0</v>
      </c>
      <c r="D76" s="34">
        <f t="shared" si="25"/>
        <v>0</v>
      </c>
      <c r="E76" s="34">
        <f t="shared" si="25"/>
        <v>0</v>
      </c>
      <c r="F76" s="34">
        <f t="shared" si="25"/>
        <v>0</v>
      </c>
      <c r="G76" s="34">
        <f t="shared" si="25"/>
        <v>0</v>
      </c>
      <c r="H76" s="34">
        <f t="shared" si="25"/>
        <v>0</v>
      </c>
      <c r="I76" s="34">
        <f t="shared" si="25"/>
        <v>0</v>
      </c>
      <c r="J76" s="34">
        <f t="shared" si="25"/>
        <v>0</v>
      </c>
      <c r="K76" s="34">
        <f t="shared" si="25"/>
        <v>0</v>
      </c>
      <c r="L76" s="34">
        <f t="shared" si="25"/>
        <v>0</v>
      </c>
      <c r="M76" s="34">
        <f t="shared" si="25"/>
        <v>0</v>
      </c>
      <c r="N76" s="34">
        <f t="shared" si="25"/>
        <v>0</v>
      </c>
      <c r="O76" s="34">
        <f t="shared" si="25"/>
        <v>0</v>
      </c>
      <c r="P76" s="34">
        <f t="shared" si="25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73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3932160</v>
      </c>
      <c r="D13" s="34">
        <f t="shared" ref="D13:P13" si="2">D11*D12*D10*D9</f>
        <v>31457280</v>
      </c>
      <c r="E13" s="34">
        <f t="shared" si="2"/>
        <v>251658240</v>
      </c>
      <c r="F13" s="34">
        <f t="shared" si="2"/>
        <v>2013265920</v>
      </c>
      <c r="G13" s="34">
        <f t="shared" si="2"/>
        <v>4026531840</v>
      </c>
      <c r="H13" s="34">
        <f t="shared" si="2"/>
        <v>8053063680</v>
      </c>
      <c r="I13" s="34">
        <f t="shared" si="2"/>
        <v>16106127360</v>
      </c>
      <c r="J13" s="34">
        <f t="shared" si="2"/>
        <v>32212254720</v>
      </c>
      <c r="K13" s="34">
        <f t="shared" si="2"/>
        <v>64424509440</v>
      </c>
      <c r="L13" s="34">
        <f t="shared" si="2"/>
        <v>128849018880</v>
      </c>
      <c r="M13" s="34">
        <f t="shared" si="2"/>
        <v>257698037760</v>
      </c>
      <c r="N13" s="34">
        <f t="shared" si="2"/>
        <v>515396075520</v>
      </c>
      <c r="O13" s="34">
        <f t="shared" si="2"/>
        <v>1030792151040</v>
      </c>
      <c r="P13" s="34">
        <f t="shared" si="2"/>
        <v>1546188226560</v>
      </c>
    </row>
    <row r="14" spans="1:16" x14ac:dyDescent="0.15">
      <c r="B14" s="6" t="s">
        <v>26</v>
      </c>
      <c r="C14" s="34">
        <f t="shared" ref="C14:P14" si="3">C13/C4</f>
        <v>3932160</v>
      </c>
      <c r="D14" s="34">
        <f t="shared" si="3"/>
        <v>3932160</v>
      </c>
      <c r="E14" s="34">
        <f t="shared" si="3"/>
        <v>3932160</v>
      </c>
      <c r="F14" s="34">
        <f t="shared" si="3"/>
        <v>3932160</v>
      </c>
      <c r="G14" s="34">
        <f t="shared" si="3"/>
        <v>3932160</v>
      </c>
      <c r="H14" s="34">
        <f t="shared" si="3"/>
        <v>3932160</v>
      </c>
      <c r="I14" s="34">
        <f t="shared" si="3"/>
        <v>3932160</v>
      </c>
      <c r="J14" s="34">
        <f t="shared" si="3"/>
        <v>3932160</v>
      </c>
      <c r="K14" s="34">
        <f t="shared" si="3"/>
        <v>3932160</v>
      </c>
      <c r="L14" s="34">
        <f t="shared" si="3"/>
        <v>3932160</v>
      </c>
      <c r="M14" s="34">
        <f t="shared" si="3"/>
        <v>3932160</v>
      </c>
      <c r="N14" s="34">
        <f t="shared" si="3"/>
        <v>3932160</v>
      </c>
      <c r="O14" s="34">
        <f t="shared" si="3"/>
        <v>3932160</v>
      </c>
      <c r="P14" s="34">
        <f t="shared" si="3"/>
        <v>3932160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P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7">
        <f t="shared" si="7"/>
        <v>3</v>
      </c>
      <c r="N24" s="7">
        <f t="shared" si="7"/>
        <v>3</v>
      </c>
      <c r="O24" s="7">
        <f t="shared" si="7"/>
        <v>3</v>
      </c>
      <c r="P24" s="7">
        <f t="shared" si="7"/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2.27</v>
      </c>
      <c r="D30" s="1">
        <v>3.2450000000000001</v>
      </c>
      <c r="E30" s="1">
        <v>4.3209999999999997</v>
      </c>
      <c r="F30" s="1">
        <v>4.93</v>
      </c>
      <c r="G30" s="1">
        <v>5.4960000000000004</v>
      </c>
      <c r="H30" s="1">
        <v>6.4139999999999997</v>
      </c>
      <c r="I30" s="74">
        <v>6.5110000000000001</v>
      </c>
      <c r="J30" s="1">
        <v>6.9249999999999998</v>
      </c>
      <c r="K30" s="1">
        <v>12.35</v>
      </c>
      <c r="L30" s="1">
        <v>9.1820000000000004</v>
      </c>
      <c r="M30" s="1"/>
      <c r="N30" s="1"/>
      <c r="P30" s="70"/>
    </row>
    <row r="31" spans="1:30" s="12" customFormat="1" x14ac:dyDescent="0.15">
      <c r="B31" s="10" t="s">
        <v>36</v>
      </c>
      <c r="C31" s="1">
        <v>4.3099999999999996</v>
      </c>
      <c r="D31" s="1">
        <v>5.5860000000000003</v>
      </c>
      <c r="E31" s="1">
        <v>7.4050000000000002</v>
      </c>
      <c r="F31" s="1">
        <v>10.02</v>
      </c>
      <c r="G31" s="1">
        <v>13.77</v>
      </c>
      <c r="H31" s="1">
        <v>17.440000000000001</v>
      </c>
      <c r="I31" s="1">
        <v>16.93</v>
      </c>
      <c r="J31" s="1">
        <v>16.3</v>
      </c>
      <c r="K31" s="1">
        <v>30.06</v>
      </c>
      <c r="L31" s="1">
        <v>29.89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0.22700000000000001</v>
      </c>
      <c r="D33" s="17">
        <f t="shared" si="11"/>
        <v>0.32450000000000001</v>
      </c>
      <c r="E33" s="17">
        <f t="shared" si="11"/>
        <v>0.43209999999999998</v>
      </c>
      <c r="F33" s="17">
        <f t="shared" si="11"/>
        <v>0.49299999999999999</v>
      </c>
      <c r="G33" s="17">
        <f t="shared" si="11"/>
        <v>0.54960000000000009</v>
      </c>
      <c r="H33" s="17">
        <f t="shared" si="11"/>
        <v>0.64139999999999997</v>
      </c>
      <c r="I33" s="17">
        <f>I30/I32</f>
        <v>0.65110000000000001</v>
      </c>
      <c r="J33" s="17">
        <f>J30/J32</f>
        <v>0.6925</v>
      </c>
      <c r="K33" s="17">
        <f>K30/K32</f>
        <v>1.2349999999999999</v>
      </c>
      <c r="L33" s="17">
        <f>L30/L32</f>
        <v>0.91820000000000002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57.729085286458336</v>
      </c>
      <c r="D34" s="13">
        <f t="shared" si="12"/>
        <v>82.524617513020829</v>
      </c>
      <c r="E34" s="13">
        <f t="shared" si="12"/>
        <v>109.88871256510417</v>
      </c>
      <c r="F34" s="13">
        <f t="shared" si="12"/>
        <v>125.37638346354167</v>
      </c>
      <c r="G34" s="13">
        <f t="shared" si="12"/>
        <v>139.77050781250003</v>
      </c>
      <c r="H34" s="13">
        <f t="shared" si="12"/>
        <v>163.116455078125</v>
      </c>
      <c r="I34" s="13">
        <f t="shared" si="12"/>
        <v>165.58329264322916</v>
      </c>
      <c r="J34" s="13">
        <f t="shared" si="12"/>
        <v>176.11185709635416</v>
      </c>
      <c r="K34" s="13">
        <f t="shared" si="12"/>
        <v>314.07674153645826</v>
      </c>
      <c r="L34" s="13">
        <f t="shared" si="12"/>
        <v>233.51033528645834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187</v>
      </c>
      <c r="D36" s="73">
        <v>188.9</v>
      </c>
      <c r="E36" s="73">
        <v>253.6</v>
      </c>
      <c r="F36" s="73">
        <v>255.4</v>
      </c>
      <c r="G36" s="73">
        <v>260.5</v>
      </c>
      <c r="H36" s="73">
        <v>260.2</v>
      </c>
      <c r="I36" s="73">
        <v>261.8</v>
      </c>
      <c r="J36" s="73">
        <v>268.89999999999998</v>
      </c>
      <c r="K36" s="73">
        <v>265.89999999999998</v>
      </c>
      <c r="L36" s="73">
        <v>269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1.4295154185022025</v>
      </c>
      <c r="D40" s="37">
        <f t="shared" ref="D40:P40" si="13">$D$33/D33</f>
        <v>1</v>
      </c>
      <c r="E40" s="37">
        <f t="shared" si="13"/>
        <v>0.75098356861837545</v>
      </c>
      <c r="F40" s="37">
        <f t="shared" si="13"/>
        <v>0.65821501014198791</v>
      </c>
      <c r="G40" s="37">
        <f t="shared" si="13"/>
        <v>0.59042940320232884</v>
      </c>
      <c r="H40" s="37">
        <f t="shared" si="13"/>
        <v>0.50592454006859999</v>
      </c>
      <c r="I40" s="37">
        <f t="shared" si="13"/>
        <v>0.49838734449393335</v>
      </c>
      <c r="J40" s="37">
        <f t="shared" si="13"/>
        <v>0.46859205776173285</v>
      </c>
      <c r="K40" s="37">
        <f t="shared" si="13"/>
        <v>0.26275303643724701</v>
      </c>
      <c r="L40" s="37">
        <f t="shared" si="13"/>
        <v>0.35340884338923984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1.3081635286030169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0.230016</v>
      </c>
      <c r="D50" s="17">
        <f>$C$48*(D47*($C$43+ 3*D15+D16*D28+D12*D21*D22*D23*($C$44 + D25*($C$45 + D9*$C$46)) ) )/1000000000</f>
        <v>0.32881141850220263</v>
      </c>
      <c r="E50" s="17">
        <f t="shared" ref="E50:P50" si="15">$C$48*(E47*($C$43+ 3*E15+E16*E28+E12*E21*E22*E23*($C$44 + E25*($C$45 + E9*$C$46)) ) )/1000000000</f>
        <v>0.34356248801069983</v>
      </c>
      <c r="F50" s="17">
        <f t="shared" si="15"/>
        <v>0.35901118506248575</v>
      </c>
      <c r="G50" s="17">
        <f t="shared" si="15"/>
        <v>0.37013330130009547</v>
      </c>
      <c r="H50" s="17">
        <f t="shared" si="15"/>
        <v>0.37567836948436661</v>
      </c>
      <c r="I50" s="17">
        <f t="shared" si="15"/>
        <v>0.38676850585290873</v>
      </c>
      <c r="J50" s="17">
        <f t="shared" si="15"/>
        <v>0.40405748265621894</v>
      </c>
      <c r="K50" s="17">
        <f t="shared" si="15"/>
        <v>0.41596341216358446</v>
      </c>
      <c r="L50" s="17">
        <f t="shared" si="15"/>
        <v>0.42786934167095003</v>
      </c>
      <c r="M50" s="17">
        <f t="shared" si="15"/>
        <v>0.47339000510715001</v>
      </c>
      <c r="N50" s="17">
        <f t="shared" si="15"/>
        <v>0.48692752089216235</v>
      </c>
      <c r="O50" s="17">
        <f t="shared" si="15"/>
        <v>0.51400255246218707</v>
      </c>
      <c r="P50" s="17">
        <f t="shared" si="15"/>
        <v>0.54107758403221162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0.230016</v>
      </c>
      <c r="D51" s="60">
        <f>(D47*($C$43+ 3*D15+D16*D28+D12*D21*D22*D23*($C$44 + D25*($C$45 + D9*$C$46)) ) )/1000000000</f>
        <v>0.25135345185271996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58.49609375</v>
      </c>
      <c r="D52" s="29">
        <f t="shared" ref="D52:P52" si="16">1000000000*D50/D14</f>
        <v>83.621067937775322</v>
      </c>
      <c r="E52" s="29">
        <f t="shared" si="16"/>
        <v>87.372458905715888</v>
      </c>
      <c r="F52" s="29">
        <f t="shared" si="16"/>
        <v>91.301265732443682</v>
      </c>
      <c r="G52" s="29">
        <f t="shared" si="16"/>
        <v>94.12976615908191</v>
      </c>
      <c r="H52" s="29">
        <f t="shared" si="16"/>
        <v>95.539949921764773</v>
      </c>
      <c r="I52" s="29">
        <f t="shared" si="16"/>
        <v>98.360317447130512</v>
      </c>
      <c r="J52" s="29">
        <f t="shared" si="16"/>
        <v>102.75713161626662</v>
      </c>
      <c r="K52" s="29">
        <f t="shared" si="16"/>
        <v>105.7849660653647</v>
      </c>
      <c r="L52" s="29">
        <f t="shared" si="16"/>
        <v>108.81280051446281</v>
      </c>
      <c r="M52" s="29">
        <f t="shared" si="16"/>
        <v>120.38930387043</v>
      </c>
      <c r="N52" s="29">
        <f t="shared" si="16"/>
        <v>123.83207216699277</v>
      </c>
      <c r="O52" s="29">
        <f t="shared" si="16"/>
        <v>130.71760876011837</v>
      </c>
      <c r="P52" s="29">
        <f t="shared" si="16"/>
        <v>137.60314535324395</v>
      </c>
    </row>
    <row r="53" spans="1:16" s="12" customFormat="1" x14ac:dyDescent="0.15">
      <c r="B53" s="10" t="s">
        <v>58</v>
      </c>
      <c r="C53" s="17">
        <f>$D$50/C50</f>
        <v>1.4295154185022025</v>
      </c>
      <c r="D53" s="17">
        <f t="shared" ref="D53:P53" si="17">$D$50/D50</f>
        <v>1</v>
      </c>
      <c r="E53" s="17">
        <f t="shared" si="17"/>
        <v>0.95706437686515478</v>
      </c>
      <c r="F53" s="17">
        <f t="shared" si="17"/>
        <v>0.915880708410166</v>
      </c>
      <c r="G53" s="17">
        <f t="shared" si="17"/>
        <v>0.88835945684230666</v>
      </c>
      <c r="H53" s="17">
        <f t="shared" si="17"/>
        <v>0.87524714013614702</v>
      </c>
      <c r="I53" s="17">
        <f t="shared" si="17"/>
        <v>0.85015044794586336</v>
      </c>
      <c r="J53" s="17">
        <f t="shared" si="17"/>
        <v>0.81377386291831821</v>
      </c>
      <c r="K53" s="17">
        <f t="shared" si="17"/>
        <v>0.79048158777217681</v>
      </c>
      <c r="L53" s="17">
        <f t="shared" si="17"/>
        <v>0.76848557837329878</v>
      </c>
      <c r="M53" s="17">
        <f t="shared" si="17"/>
        <v>0.69458884842272373</v>
      </c>
      <c r="N53" s="17">
        <f t="shared" si="17"/>
        <v>0.67527795081236131</v>
      </c>
      <c r="O53" s="17">
        <f t="shared" si="17"/>
        <v>0.63970775422636028</v>
      </c>
      <c r="P53" s="17">
        <f t="shared" si="17"/>
        <v>0.60769735839329786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0.230016</v>
      </c>
      <c r="D56" s="57">
        <f>$C$69*(D47*($C$62+ $C$63*3*D15+D16*D28+D12*D21*D22*D23*($C$66 + D25*($C$67 + D9*$C$68)) ) + $C$64*(D27)^2 + $C$65*((D27)^2)/(D10/D25) )/1000000000</f>
        <v>0.32881141850220263</v>
      </c>
      <c r="E56" s="57">
        <f t="shared" ref="E56:P56" si="18">$C$69*(E47*($C$62+ $C$63*3*E15+E16*E28+E12*E21*E22*E23*($C$66 + E25*($C$67 + E9*$C$68)) ) + $C$64*(E27)^2 + $C$65*((E27)^2)/(E10/E25) )/1000000000</f>
        <v>0.34356248801069983</v>
      </c>
      <c r="F56" s="57">
        <f t="shared" si="18"/>
        <v>0.35901118506248575</v>
      </c>
      <c r="G56" s="57">
        <f t="shared" si="18"/>
        <v>0.37013330130009547</v>
      </c>
      <c r="H56" s="57">
        <f t="shared" si="18"/>
        <v>0.37567836948436661</v>
      </c>
      <c r="I56" s="57">
        <f t="shared" si="18"/>
        <v>0.38676850585290873</v>
      </c>
      <c r="J56" s="57">
        <f t="shared" si="18"/>
        <v>0.40405748265621894</v>
      </c>
      <c r="K56" s="57">
        <f t="shared" si="18"/>
        <v>0.41596341216358446</v>
      </c>
      <c r="L56" s="57">
        <f t="shared" si="18"/>
        <v>0.42786934167095003</v>
      </c>
      <c r="M56" s="57">
        <f t="shared" si="18"/>
        <v>0.47339000510715001</v>
      </c>
      <c r="N56" s="57">
        <f t="shared" si="18"/>
        <v>0.48692752089216235</v>
      </c>
      <c r="O56" s="57">
        <f t="shared" si="18"/>
        <v>0.51400255246218707</v>
      </c>
      <c r="P56" s="57">
        <f t="shared" si="18"/>
        <v>0.54107758403221162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0.230016</v>
      </c>
      <c r="D57" s="60">
        <f>(D47*($C$43+ $C$63*3*D15+D16*D28+D12*D21*D22*D23*($C$44 + D25*($C$45 + D9*$C$46)) ) + $C$64*(D27)^2 + $C$65*((D27)^2)/(D10/D25) )/1000000000</f>
        <v>0.25135345185271996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58.49609375</v>
      </c>
      <c r="D58" s="29">
        <f t="shared" ref="D58:P58" si="19">1000000000*D56/D14</f>
        <v>83.621067937775322</v>
      </c>
      <c r="E58" s="29">
        <f t="shared" si="19"/>
        <v>87.372458905715888</v>
      </c>
      <c r="F58" s="29">
        <f t="shared" si="19"/>
        <v>91.301265732443682</v>
      </c>
      <c r="G58" s="29">
        <f t="shared" si="19"/>
        <v>94.12976615908191</v>
      </c>
      <c r="H58" s="29">
        <f t="shared" si="19"/>
        <v>95.539949921764773</v>
      </c>
      <c r="I58" s="29">
        <f t="shared" si="19"/>
        <v>98.360317447130512</v>
      </c>
      <c r="J58" s="29">
        <f t="shared" si="19"/>
        <v>102.75713161626662</v>
      </c>
      <c r="K58" s="29">
        <f t="shared" si="19"/>
        <v>105.7849660653647</v>
      </c>
      <c r="L58" s="29">
        <f t="shared" si="19"/>
        <v>108.81280051446281</v>
      </c>
      <c r="M58" s="29">
        <f t="shared" si="19"/>
        <v>120.38930387043</v>
      </c>
      <c r="N58" s="29">
        <f t="shared" si="19"/>
        <v>123.83207216699277</v>
      </c>
      <c r="O58" s="29">
        <f t="shared" si="19"/>
        <v>130.71760876011837</v>
      </c>
      <c r="P58" s="29">
        <f t="shared" si="19"/>
        <v>137.60314535324395</v>
      </c>
    </row>
    <row r="59" spans="1:16" s="12" customFormat="1" x14ac:dyDescent="0.15">
      <c r="B59" s="10" t="s">
        <v>58</v>
      </c>
      <c r="C59" s="17">
        <f>$D$56/C56</f>
        <v>1.4295154185022025</v>
      </c>
      <c r="D59" s="17">
        <f t="shared" ref="D59:P59" si="20">$D$56/D56</f>
        <v>1</v>
      </c>
      <c r="E59" s="17">
        <f t="shared" si="20"/>
        <v>0.95706437686515478</v>
      </c>
      <c r="F59" s="17">
        <f t="shared" si="20"/>
        <v>0.915880708410166</v>
      </c>
      <c r="G59" s="17">
        <f t="shared" si="20"/>
        <v>0.88835945684230666</v>
      </c>
      <c r="H59" s="17">
        <f t="shared" si="20"/>
        <v>0.87524714013614702</v>
      </c>
      <c r="I59" s="17">
        <f t="shared" si="20"/>
        <v>0.85015044794586336</v>
      </c>
      <c r="J59" s="17">
        <f t="shared" si="20"/>
        <v>0.81377386291831821</v>
      </c>
      <c r="K59" s="17">
        <f t="shared" si="20"/>
        <v>0.79048158777217681</v>
      </c>
      <c r="L59" s="17">
        <f t="shared" si="20"/>
        <v>0.76848557837329878</v>
      </c>
      <c r="M59" s="17">
        <f t="shared" si="20"/>
        <v>0.69458884842272373</v>
      </c>
      <c r="N59" s="17">
        <f t="shared" si="20"/>
        <v>0.67527795081236131</v>
      </c>
      <c r="O59" s="17">
        <f t="shared" si="20"/>
        <v>0.63970775422636028</v>
      </c>
      <c r="P59" s="17">
        <f t="shared" si="20"/>
        <v>0.60769735839329786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1.3081635286030169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35389440</v>
      </c>
      <c r="D13" s="34">
        <f t="shared" ref="D13:P13" si="2">D11*D12*D10*D9</f>
        <v>283115520</v>
      </c>
      <c r="E13" s="34">
        <f t="shared" si="2"/>
        <v>2264924160</v>
      </c>
      <c r="F13" s="34">
        <f t="shared" si="2"/>
        <v>18119393280</v>
      </c>
      <c r="G13" s="34">
        <f t="shared" si="2"/>
        <v>36238786560</v>
      </c>
      <c r="H13" s="34">
        <f t="shared" si="2"/>
        <v>72477573120</v>
      </c>
      <c r="I13" s="34">
        <f t="shared" si="2"/>
        <v>144955146240</v>
      </c>
      <c r="J13" s="34">
        <f t="shared" si="2"/>
        <v>289910292480</v>
      </c>
      <c r="K13" s="34">
        <f t="shared" si="2"/>
        <v>579820584960</v>
      </c>
      <c r="L13" s="34">
        <f t="shared" si="2"/>
        <v>1159641169920</v>
      </c>
      <c r="M13" s="34">
        <f t="shared" si="2"/>
        <v>2319282339840</v>
      </c>
      <c r="N13" s="34">
        <f t="shared" si="2"/>
        <v>4638564679680</v>
      </c>
      <c r="O13" s="34">
        <f t="shared" si="2"/>
        <v>9277129359360</v>
      </c>
      <c r="P13" s="34">
        <f t="shared" si="2"/>
        <v>13915694039040</v>
      </c>
    </row>
    <row r="14" spans="1:16" x14ac:dyDescent="0.15">
      <c r="B14" s="6" t="s">
        <v>26</v>
      </c>
      <c r="C14" s="34">
        <f t="shared" ref="C14:P14" si="3">C13/C4</f>
        <v>35389440</v>
      </c>
      <c r="D14" s="34">
        <f t="shared" si="3"/>
        <v>35389440</v>
      </c>
      <c r="E14" s="34">
        <f t="shared" si="3"/>
        <v>35389440</v>
      </c>
      <c r="F14" s="34">
        <f t="shared" si="3"/>
        <v>35389440</v>
      </c>
      <c r="G14" s="34">
        <f t="shared" si="3"/>
        <v>35389440</v>
      </c>
      <c r="H14" s="34">
        <f t="shared" si="3"/>
        <v>35389440</v>
      </c>
      <c r="I14" s="34">
        <f t="shared" si="3"/>
        <v>35389440</v>
      </c>
      <c r="J14" s="34">
        <f t="shared" si="3"/>
        <v>35389440</v>
      </c>
      <c r="K14" s="34">
        <f t="shared" si="3"/>
        <v>35389440</v>
      </c>
      <c r="L14" s="34">
        <f t="shared" si="3"/>
        <v>35389440</v>
      </c>
      <c r="M14" s="34">
        <f t="shared" si="3"/>
        <v>35389440</v>
      </c>
      <c r="N14" s="34">
        <f t="shared" si="3"/>
        <v>35389440</v>
      </c>
      <c r="O14" s="34">
        <f t="shared" si="3"/>
        <v>35389440</v>
      </c>
      <c r="P14" s="34">
        <f t="shared" si="3"/>
        <v>35389440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10.1</v>
      </c>
      <c r="D30" s="1">
        <v>11.89</v>
      </c>
      <c r="E30" s="1">
        <v>17.38</v>
      </c>
      <c r="F30" s="1">
        <v>20.6</v>
      </c>
      <c r="G30" s="1">
        <v>20.09</v>
      </c>
      <c r="H30" s="1">
        <v>19.34</v>
      </c>
      <c r="I30" s="74">
        <v>22.09</v>
      </c>
      <c r="J30" s="1">
        <v>21.65</v>
      </c>
      <c r="K30" s="1">
        <v>22.98</v>
      </c>
      <c r="L30" s="1">
        <v>24.4</v>
      </c>
      <c r="M30" s="1">
        <v>0</v>
      </c>
      <c r="N30" s="1">
        <v>0</v>
      </c>
      <c r="O30" s="12">
        <v>0</v>
      </c>
      <c r="P30" s="70">
        <v>0</v>
      </c>
    </row>
    <row r="31" spans="1:30" s="12" customFormat="1" x14ac:dyDescent="0.15">
      <c r="B31" s="10" t="s">
        <v>36</v>
      </c>
      <c r="C31" s="1">
        <v>14</v>
      </c>
      <c r="D31" s="1">
        <v>16.91</v>
      </c>
      <c r="E31" s="1">
        <v>32.799999999999997</v>
      </c>
      <c r="F31" s="1">
        <v>29.53</v>
      </c>
      <c r="G31" s="1">
        <v>32.49</v>
      </c>
      <c r="H31" s="1">
        <v>33.31</v>
      </c>
      <c r="I31" s="1">
        <v>34</v>
      </c>
      <c r="J31" s="1">
        <v>37.479999999999997</v>
      </c>
      <c r="K31" s="1">
        <v>43.83</v>
      </c>
      <c r="L31" s="1">
        <v>50.09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1.01</v>
      </c>
      <c r="D33" s="17">
        <f t="shared" si="11"/>
        <v>1.1890000000000001</v>
      </c>
      <c r="E33" s="17">
        <f t="shared" si="11"/>
        <v>1.738</v>
      </c>
      <c r="F33" s="17">
        <f t="shared" si="11"/>
        <v>2.06</v>
      </c>
      <c r="G33" s="17">
        <f t="shared" si="11"/>
        <v>2.0089999999999999</v>
      </c>
      <c r="H33" s="17">
        <f t="shared" si="11"/>
        <v>1.9339999999999999</v>
      </c>
      <c r="I33" s="17">
        <f>I30/I32</f>
        <v>2.2090000000000001</v>
      </c>
      <c r="J33" s="17">
        <f>J30/J32</f>
        <v>2.165</v>
      </c>
      <c r="K33" s="17">
        <f>K30/K32</f>
        <v>2.298</v>
      </c>
      <c r="L33" s="17">
        <f>L30/L32</f>
        <v>2.44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28.539586950231481</v>
      </c>
      <c r="D34" s="13">
        <f t="shared" si="12"/>
        <v>33.597592954282405</v>
      </c>
      <c r="E34" s="13">
        <f t="shared" si="12"/>
        <v>49.110695167824076</v>
      </c>
      <c r="F34" s="13">
        <f t="shared" si="12"/>
        <v>58.20945457175926</v>
      </c>
      <c r="G34" s="13">
        <f t="shared" si="12"/>
        <v>56.768346715856481</v>
      </c>
      <c r="H34" s="13">
        <f t="shared" si="12"/>
        <v>54.649070457175924</v>
      </c>
      <c r="I34" s="13">
        <f t="shared" si="12"/>
        <v>62.419750072337962</v>
      </c>
      <c r="J34" s="13">
        <f t="shared" si="12"/>
        <v>61.176441333912038</v>
      </c>
      <c r="K34" s="13">
        <f t="shared" si="12"/>
        <v>64.934624565972229</v>
      </c>
      <c r="L34" s="13">
        <f t="shared" si="12"/>
        <v>68.947120949074076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323</v>
      </c>
      <c r="D36" s="73">
        <v>292</v>
      </c>
      <c r="E36" s="73">
        <v>349.3</v>
      </c>
      <c r="F36" s="73">
        <v>363.8</v>
      </c>
      <c r="G36" s="73">
        <v>400.8</v>
      </c>
      <c r="H36" s="73">
        <v>404.6</v>
      </c>
      <c r="I36" s="73">
        <v>401.4</v>
      </c>
      <c r="J36" s="73">
        <v>455.2</v>
      </c>
      <c r="K36" s="73">
        <v>447.2</v>
      </c>
      <c r="L36" s="73">
        <v>459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82" t="s">
        <v>80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1.1772277227722772</v>
      </c>
      <c r="D40" s="37">
        <f t="shared" ref="D40:P40" si="13">$D$33/D33</f>
        <v>1</v>
      </c>
      <c r="E40" s="37">
        <f t="shared" si="13"/>
        <v>0.68411967779056393</v>
      </c>
      <c r="F40" s="37">
        <f t="shared" si="13"/>
        <v>0.57718446601941753</v>
      </c>
      <c r="G40" s="37">
        <f t="shared" si="13"/>
        <v>0.59183673469387765</v>
      </c>
      <c r="H40" s="37">
        <f t="shared" si="13"/>
        <v>0.6147880041365047</v>
      </c>
      <c r="I40" s="37">
        <f t="shared" si="13"/>
        <v>0.53825260298777733</v>
      </c>
      <c r="J40" s="37">
        <f t="shared" si="13"/>
        <v>0.54919168591224021</v>
      </c>
      <c r="K40" s="37">
        <f t="shared" si="13"/>
        <v>0.5174064403829417</v>
      </c>
      <c r="L40" s="37">
        <f t="shared" si="13"/>
        <v>0.48729508196721316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1.0006239765359726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1.016448</v>
      </c>
      <c r="D50" s="17">
        <f>$C$48*(D47*($C$43+ 3*D15+D16*D28+D12*D21*D22*D23*($C$44 + D25*($C$45 + D9*$C$46)) ) )/1000000000</f>
        <v>1.1965907643564357</v>
      </c>
      <c r="E50" s="17">
        <f t="shared" ref="E50:P50" si="15">$C$48*(E47*($C$43+ 3*E15+E16*E28+E12*E21*E22*E23*($C$44 + E25*($C$45 + E9*$C$46)) ) )/1000000000</f>
        <v>1.2464688531308661</v>
      </c>
      <c r="F50" s="17">
        <f t="shared" si="15"/>
        <v>1.2899089903440186</v>
      </c>
      <c r="G50" s="17">
        <f t="shared" si="15"/>
        <v>1.3054634608543667</v>
      </c>
      <c r="H50" s="17">
        <f t="shared" si="15"/>
        <v>1.3250209658858929</v>
      </c>
      <c r="I50" s="17">
        <f t="shared" si="15"/>
        <v>1.3641359759489451</v>
      </c>
      <c r="J50" s="17">
        <f t="shared" si="15"/>
        <v>1.3672799446439512</v>
      </c>
      <c r="K50" s="17">
        <f t="shared" si="15"/>
        <v>1.4075681198084138</v>
      </c>
      <c r="L50" s="17">
        <f t="shared" si="15"/>
        <v>1.4478562949728766</v>
      </c>
      <c r="M50" s="17">
        <f t="shared" si="15"/>
        <v>1.4908753595621966</v>
      </c>
      <c r="N50" s="17">
        <f t="shared" si="15"/>
        <v>1.5335098649294803</v>
      </c>
      <c r="O50" s="17">
        <f t="shared" si="15"/>
        <v>1.6187788756640475</v>
      </c>
      <c r="P50" s="17">
        <f t="shared" si="15"/>
        <v>1.7040478863986146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1.016448</v>
      </c>
      <c r="D51" s="60">
        <f>(D47*($C$43+ 3*D15+D16*D28+D12*D21*D22*D23*($C$44 + D25*($C$45 + D9*$C$46)) ) )/1000000000</f>
        <v>1.1958445853944797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28.721788194444443</v>
      </c>
      <c r="D52" s="29">
        <f t="shared" ref="D52:P52" si="16">1000000000*D50/D14</f>
        <v>33.812085310093515</v>
      </c>
      <c r="E52" s="29">
        <f t="shared" si="16"/>
        <v>35.221491301666994</v>
      </c>
      <c r="F52" s="29">
        <f t="shared" si="16"/>
        <v>36.448979987929128</v>
      </c>
      <c r="G52" s="29">
        <f t="shared" si="16"/>
        <v>36.888502922181495</v>
      </c>
      <c r="H52" s="29">
        <f t="shared" si="16"/>
        <v>37.441139670079345</v>
      </c>
      <c r="I52" s="29">
        <f t="shared" si="16"/>
        <v>38.546413165875045</v>
      </c>
      <c r="J52" s="29">
        <f t="shared" si="16"/>
        <v>38.635252342053199</v>
      </c>
      <c r="K52" s="29">
        <f t="shared" si="16"/>
        <v>39.773675983807991</v>
      </c>
      <c r="L52" s="29">
        <f t="shared" si="16"/>
        <v>40.912099625562782</v>
      </c>
      <c r="M52" s="29">
        <f t="shared" si="16"/>
        <v>42.127690055626672</v>
      </c>
      <c r="N52" s="29">
        <f t="shared" si="16"/>
        <v>43.332413989299639</v>
      </c>
      <c r="O52" s="29">
        <f t="shared" si="16"/>
        <v>45.741861856645585</v>
      </c>
      <c r="P52" s="29">
        <f t="shared" si="16"/>
        <v>48.151309723991524</v>
      </c>
    </row>
    <row r="53" spans="1:16" s="12" customFormat="1" x14ac:dyDescent="0.15">
      <c r="B53" s="10" t="s">
        <v>58</v>
      </c>
      <c r="C53" s="17">
        <f>$D$50/C50</f>
        <v>1.1772277227722774</v>
      </c>
      <c r="D53" s="17">
        <f t="shared" ref="D53:P53" si="17">$D$50/D50</f>
        <v>1</v>
      </c>
      <c r="E53" s="17">
        <f t="shared" si="17"/>
        <v>0.95998448846182793</v>
      </c>
      <c r="F53" s="17">
        <f t="shared" si="17"/>
        <v>0.92765518599673069</v>
      </c>
      <c r="G53" s="17">
        <f t="shared" si="17"/>
        <v>0.91660226443513115</v>
      </c>
      <c r="H53" s="17">
        <f t="shared" si="17"/>
        <v>0.90307307972022144</v>
      </c>
      <c r="I53" s="17">
        <f t="shared" si="17"/>
        <v>0.87717851112609324</v>
      </c>
      <c r="J53" s="17">
        <f t="shared" si="17"/>
        <v>0.87516149786577613</v>
      </c>
      <c r="K53" s="17">
        <f t="shared" si="17"/>
        <v>0.85011215266747131</v>
      </c>
      <c r="L53" s="17">
        <f t="shared" si="17"/>
        <v>0.82645685798455026</v>
      </c>
      <c r="M53" s="17">
        <f t="shared" si="17"/>
        <v>0.80260952512342876</v>
      </c>
      <c r="N53" s="17">
        <f t="shared" si="17"/>
        <v>0.78029544623207359</v>
      </c>
      <c r="O53" s="17">
        <f t="shared" si="17"/>
        <v>0.73919346387910834</v>
      </c>
      <c r="P53" s="17">
        <f t="shared" si="17"/>
        <v>0.70220489336443837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1.016448</v>
      </c>
      <c r="D56" s="57">
        <f>$C$69*(D47*($C$62+ $C$63*3*D15+D16*D28+D12*D21*D22*D23*($C$66 + D25*($C$67 + D9*$C$68)) ) + $C$64*(D27)^2 + $C$65*((D27)^2)/(D10/D25) )/1000000000</f>
        <v>1.1965907643564357</v>
      </c>
      <c r="E56" s="57">
        <f t="shared" ref="E56:P56" si="18">$C$69*(E47*($C$62+ $C$63*3*E15+E16*E28+E12*E21*E22*E23*($C$66 + E25*($C$67 + E9*$C$68)) ) + $C$64*(E27)^2 + $C$65*((E27)^2)/(E10/E25) )/1000000000</f>
        <v>1.2464688531308661</v>
      </c>
      <c r="F56" s="57">
        <f t="shared" si="18"/>
        <v>1.2899089903440186</v>
      </c>
      <c r="G56" s="57">
        <f t="shared" si="18"/>
        <v>1.3054634608543667</v>
      </c>
      <c r="H56" s="57">
        <f t="shared" si="18"/>
        <v>1.3250209658858929</v>
      </c>
      <c r="I56" s="57">
        <f t="shared" si="18"/>
        <v>1.3641359759489451</v>
      </c>
      <c r="J56" s="57">
        <f t="shared" si="18"/>
        <v>1.3672799446439512</v>
      </c>
      <c r="K56" s="57">
        <f t="shared" si="18"/>
        <v>1.4075681198084138</v>
      </c>
      <c r="L56" s="57">
        <f t="shared" si="18"/>
        <v>1.4478562949728766</v>
      </c>
      <c r="M56" s="57">
        <f t="shared" si="18"/>
        <v>1.4908753595621966</v>
      </c>
      <c r="N56" s="57">
        <f t="shared" si="18"/>
        <v>1.5335098649294803</v>
      </c>
      <c r="O56" s="57">
        <f t="shared" si="18"/>
        <v>1.6187788756640475</v>
      </c>
      <c r="P56" s="57">
        <f t="shared" si="18"/>
        <v>1.7040478863986146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1.016448</v>
      </c>
      <c r="D57" s="60">
        <f>(D47*($C$43+ $C$63*3*D15+D16*D28+D12*D21*D22*D23*($C$44 + D25*($C$45 + D9*$C$46)) ) + $C$64*(D27)^2 + $C$65*((D27)^2)/(D10/D25) )/1000000000</f>
        <v>1.1958445853944797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28.721788194444443</v>
      </c>
      <c r="D58" s="29">
        <f t="shared" ref="D58:P58" si="19">1000000000*D56/D14</f>
        <v>33.812085310093515</v>
      </c>
      <c r="E58" s="29">
        <f t="shared" si="19"/>
        <v>35.221491301666994</v>
      </c>
      <c r="F58" s="29">
        <f t="shared" si="19"/>
        <v>36.448979987929128</v>
      </c>
      <c r="G58" s="29">
        <f t="shared" si="19"/>
        <v>36.888502922181495</v>
      </c>
      <c r="H58" s="29">
        <f t="shared" si="19"/>
        <v>37.441139670079345</v>
      </c>
      <c r="I58" s="29">
        <f t="shared" si="19"/>
        <v>38.546413165875045</v>
      </c>
      <c r="J58" s="29">
        <f t="shared" si="19"/>
        <v>38.635252342053199</v>
      </c>
      <c r="K58" s="29">
        <f t="shared" si="19"/>
        <v>39.773675983807991</v>
      </c>
      <c r="L58" s="29">
        <f t="shared" si="19"/>
        <v>40.912099625562782</v>
      </c>
      <c r="M58" s="29">
        <f t="shared" si="19"/>
        <v>42.127690055626672</v>
      </c>
      <c r="N58" s="29">
        <f t="shared" si="19"/>
        <v>43.332413989299639</v>
      </c>
      <c r="O58" s="29">
        <f t="shared" si="19"/>
        <v>45.741861856645585</v>
      </c>
      <c r="P58" s="29">
        <f t="shared" si="19"/>
        <v>48.151309723991524</v>
      </c>
    </row>
    <row r="59" spans="1:16" s="12" customFormat="1" x14ac:dyDescent="0.15">
      <c r="B59" s="10" t="s">
        <v>58</v>
      </c>
      <c r="C59" s="17">
        <f>$D$56/C56</f>
        <v>1.1772277227722774</v>
      </c>
      <c r="D59" s="17">
        <f t="shared" ref="D59:P59" si="20">$D$56/D56</f>
        <v>1</v>
      </c>
      <c r="E59" s="17">
        <f t="shared" si="20"/>
        <v>0.95998448846182793</v>
      </c>
      <c r="F59" s="17">
        <f t="shared" si="20"/>
        <v>0.92765518599673069</v>
      </c>
      <c r="G59" s="17">
        <f t="shared" si="20"/>
        <v>0.91660226443513115</v>
      </c>
      <c r="H59" s="17">
        <f t="shared" si="20"/>
        <v>0.90307307972022144</v>
      </c>
      <c r="I59" s="17">
        <f t="shared" si="20"/>
        <v>0.87717851112609324</v>
      </c>
      <c r="J59" s="17">
        <f t="shared" si="20"/>
        <v>0.87516149786577613</v>
      </c>
      <c r="K59" s="17">
        <f t="shared" si="20"/>
        <v>0.85011215266747131</v>
      </c>
      <c r="L59" s="17">
        <f t="shared" si="20"/>
        <v>0.82645685798455026</v>
      </c>
      <c r="M59" s="17">
        <f t="shared" si="20"/>
        <v>0.80260952512342876</v>
      </c>
      <c r="N59" s="17">
        <f t="shared" si="20"/>
        <v>0.78029544623207359</v>
      </c>
      <c r="O59" s="17">
        <f t="shared" si="20"/>
        <v>0.73919346387910834</v>
      </c>
      <c r="P59" s="17">
        <f t="shared" si="20"/>
        <v>0.70220489336443837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1.0006239765359726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R75"/>
  <sheetViews>
    <sheetView topLeftCell="A2" workbookViewId="0">
      <pane ySplit="6820" topLeftCell="A28" activePane="bottomLeft"/>
      <selection activeCell="R3" sqref="R3"/>
      <selection pane="bottomLeft" activeCell="C60" sqref="C60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8.33203125" style="1" customWidth="1"/>
    <col min="4" max="7" width="8.6640625" style="1" customWidth="1"/>
    <col min="8" max="8" width="9.1640625" style="1" customWidth="1"/>
    <col min="9" max="9" width="10.33203125" style="1" customWidth="1"/>
    <col min="10" max="12" width="9.6640625" style="1" customWidth="1"/>
    <col min="13" max="13" width="11" style="1" customWidth="1"/>
    <col min="14" max="14" width="10.6640625" style="1"/>
    <col min="15" max="15" width="10.33203125" style="1" bestFit="1" customWidth="1"/>
    <col min="16" max="16" width="11.6640625" style="1" customWidth="1"/>
    <col min="17" max="17" width="12" style="1" customWidth="1"/>
    <col min="18" max="16384" width="10.6640625" style="1"/>
  </cols>
  <sheetData>
    <row r="1" spans="1:18" s="33" customFormat="1" ht="18" customHeight="1" thickBot="1" x14ac:dyDescent="0.25">
      <c r="A1" s="41" t="s">
        <v>37</v>
      </c>
      <c r="B1" s="41"/>
      <c r="C1" s="41"/>
      <c r="D1" s="41"/>
      <c r="E1" s="41"/>
      <c r="F1" s="41"/>
      <c r="G1" s="41"/>
      <c r="H1" s="41"/>
    </row>
    <row r="2" spans="1:18" s="2" customFormat="1" ht="18" customHeight="1" thickBot="1" x14ac:dyDescent="0.2">
      <c r="B2" s="50"/>
      <c r="C2" s="45" t="s">
        <v>40</v>
      </c>
      <c r="D2" s="46" t="s">
        <v>45</v>
      </c>
      <c r="E2" s="45" t="s">
        <v>41</v>
      </c>
      <c r="F2" s="46" t="s">
        <v>46</v>
      </c>
      <c r="G2" s="45" t="s">
        <v>43</v>
      </c>
      <c r="H2" s="46" t="s">
        <v>39</v>
      </c>
      <c r="I2" s="45" t="s">
        <v>44</v>
      </c>
      <c r="J2" s="47" t="s">
        <v>46</v>
      </c>
      <c r="K2" s="42"/>
      <c r="L2" s="43"/>
      <c r="M2" s="43"/>
      <c r="N2" s="43"/>
      <c r="O2" s="43"/>
      <c r="P2" s="44"/>
      <c r="Q2" s="43"/>
    </row>
    <row r="3" spans="1:18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8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 t="shared" ref="K4:R4" si="0">2*J4</f>
        <v>16384</v>
      </c>
      <c r="L4" s="51">
        <f t="shared" si="0"/>
        <v>32768</v>
      </c>
      <c r="M4" s="51">
        <f t="shared" si="0"/>
        <v>65536</v>
      </c>
      <c r="N4" s="51">
        <f t="shared" si="0"/>
        <v>131072</v>
      </c>
      <c r="O4" s="51">
        <f t="shared" si="0"/>
        <v>262144</v>
      </c>
      <c r="P4" s="51">
        <f t="shared" si="0"/>
        <v>524288</v>
      </c>
      <c r="Q4" s="51">
        <f t="shared" si="0"/>
        <v>1048576</v>
      </c>
      <c r="R4" s="51">
        <f t="shared" si="0"/>
        <v>2097152</v>
      </c>
    </row>
    <row r="5" spans="1:18" ht="18" customHeight="1" x14ac:dyDescent="0.2">
      <c r="A5" s="18" t="s">
        <v>18</v>
      </c>
      <c r="B5" s="5"/>
    </row>
    <row r="6" spans="1:18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1">2*G6</f>
        <v>256</v>
      </c>
      <c r="K6" s="1">
        <f t="shared" si="1"/>
        <v>512</v>
      </c>
      <c r="L6" s="1">
        <f t="shared" si="1"/>
        <v>512</v>
      </c>
      <c r="M6" s="1">
        <v>512</v>
      </c>
      <c r="N6" s="1">
        <v>1024</v>
      </c>
      <c r="O6" s="1">
        <v>1024</v>
      </c>
      <c r="P6" s="1">
        <v>1024</v>
      </c>
      <c r="Q6" s="1">
        <v>2048</v>
      </c>
      <c r="R6" s="1">
        <v>2048</v>
      </c>
    </row>
    <row r="7" spans="1:18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1"/>
        <v>256</v>
      </c>
      <c r="K7" s="1">
        <f t="shared" si="1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  <c r="Q7" s="1">
        <v>1024</v>
      </c>
      <c r="R7" s="1">
        <v>2048</v>
      </c>
    </row>
    <row r="8" spans="1:18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1"/>
        <v>512</v>
      </c>
      <c r="K8" s="1">
        <f t="shared" si="1"/>
        <v>512</v>
      </c>
      <c r="L8" s="1">
        <f t="shared" si="1"/>
        <v>512</v>
      </c>
      <c r="M8" s="1">
        <v>1024</v>
      </c>
      <c r="N8" s="1">
        <v>1024</v>
      </c>
      <c r="O8" s="1">
        <v>1024</v>
      </c>
      <c r="P8" s="1">
        <v>2048</v>
      </c>
      <c r="Q8" s="1">
        <v>2048</v>
      </c>
      <c r="R8" s="1">
        <v>2048</v>
      </c>
    </row>
    <row r="9" spans="1:18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</row>
    <row r="10" spans="1:18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  <c r="Q10" s="1">
        <v>80</v>
      </c>
      <c r="R10" s="1">
        <v>80</v>
      </c>
    </row>
    <row r="11" spans="1:18" x14ac:dyDescent="0.15">
      <c r="B11" s="6" t="s">
        <v>35</v>
      </c>
      <c r="C11" s="56">
        <f>C6*C7*C8</f>
        <v>4096</v>
      </c>
      <c r="D11" s="8">
        <f t="shared" ref="D11:R11" si="2">D6*D7*D8</f>
        <v>32768</v>
      </c>
      <c r="E11" s="8">
        <f t="shared" si="2"/>
        <v>262144</v>
      </c>
      <c r="F11" s="8">
        <f t="shared" si="2"/>
        <v>2097152</v>
      </c>
      <c r="G11" s="8">
        <f t="shared" si="2"/>
        <v>4194304</v>
      </c>
      <c r="H11" s="8">
        <f t="shared" si="2"/>
        <v>8388608</v>
      </c>
      <c r="I11" s="8">
        <f t="shared" si="2"/>
        <v>16777216</v>
      </c>
      <c r="J11" s="8">
        <f t="shared" si="2"/>
        <v>33554432</v>
      </c>
      <c r="K11" s="8">
        <f t="shared" si="2"/>
        <v>67108864</v>
      </c>
      <c r="L11" s="8">
        <f t="shared" si="2"/>
        <v>134217728</v>
      </c>
      <c r="M11" s="8">
        <f t="shared" si="2"/>
        <v>268435456</v>
      </c>
      <c r="N11" s="8">
        <f t="shared" si="2"/>
        <v>536870912</v>
      </c>
      <c r="O11" s="8">
        <f t="shared" si="2"/>
        <v>1073741824</v>
      </c>
      <c r="P11" s="8">
        <f t="shared" si="2"/>
        <v>2147483648</v>
      </c>
      <c r="Q11" s="8">
        <f t="shared" si="2"/>
        <v>4294967296</v>
      </c>
      <c r="R11" s="8">
        <f t="shared" si="2"/>
        <v>8589934592</v>
      </c>
    </row>
    <row r="12" spans="1:18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  <c r="Q12" s="1">
        <v>8</v>
      </c>
      <c r="R12" s="1">
        <v>8</v>
      </c>
    </row>
    <row r="13" spans="1:18" x14ac:dyDescent="0.15">
      <c r="B13" s="6" t="s">
        <v>25</v>
      </c>
      <c r="C13" s="34">
        <f>C9*C10*C11*C12</f>
        <v>2621440</v>
      </c>
      <c r="D13" s="34">
        <f t="shared" ref="D13:R13" si="3">D11*D12*D10*D9</f>
        <v>20971520</v>
      </c>
      <c r="E13" s="34">
        <f t="shared" si="3"/>
        <v>167772160</v>
      </c>
      <c r="F13" s="34">
        <f t="shared" si="3"/>
        <v>1342177280</v>
      </c>
      <c r="G13" s="34">
        <f t="shared" si="3"/>
        <v>2684354560</v>
      </c>
      <c r="H13" s="34">
        <f t="shared" si="3"/>
        <v>5368709120</v>
      </c>
      <c r="I13" s="34">
        <f t="shared" si="3"/>
        <v>10737418240</v>
      </c>
      <c r="J13" s="34">
        <f t="shared" si="3"/>
        <v>21474836480</v>
      </c>
      <c r="K13" s="34">
        <f t="shared" si="3"/>
        <v>42949672960</v>
      </c>
      <c r="L13" s="34">
        <f t="shared" si="3"/>
        <v>85899345920</v>
      </c>
      <c r="M13" s="34">
        <f t="shared" si="3"/>
        <v>171798691840</v>
      </c>
      <c r="N13" s="34">
        <f t="shared" si="3"/>
        <v>343597383680</v>
      </c>
      <c r="O13" s="34">
        <f t="shared" si="3"/>
        <v>687194767360</v>
      </c>
      <c r="P13" s="34">
        <f t="shared" si="3"/>
        <v>1374389534720</v>
      </c>
      <c r="Q13" s="34">
        <f t="shared" si="3"/>
        <v>2748779069440</v>
      </c>
      <c r="R13" s="34">
        <f t="shared" si="3"/>
        <v>5497558138880</v>
      </c>
    </row>
    <row r="14" spans="1:18" x14ac:dyDescent="0.15">
      <c r="B14" s="6" t="s">
        <v>26</v>
      </c>
      <c r="C14" s="34">
        <f t="shared" ref="C14:R14" si="4">C13/C4</f>
        <v>2621440</v>
      </c>
      <c r="D14" s="34">
        <f t="shared" si="4"/>
        <v>2621440</v>
      </c>
      <c r="E14" s="34">
        <f t="shared" si="4"/>
        <v>2621440</v>
      </c>
      <c r="F14" s="34">
        <f t="shared" si="4"/>
        <v>2621440</v>
      </c>
      <c r="G14" s="34">
        <f t="shared" si="4"/>
        <v>2621440</v>
      </c>
      <c r="H14" s="34">
        <f t="shared" si="4"/>
        <v>2621440</v>
      </c>
      <c r="I14" s="34">
        <f t="shared" si="4"/>
        <v>2621440</v>
      </c>
      <c r="J14" s="34">
        <f t="shared" si="4"/>
        <v>2621440</v>
      </c>
      <c r="K14" s="34">
        <f t="shared" si="4"/>
        <v>2621440</v>
      </c>
      <c r="L14" s="34">
        <f t="shared" si="4"/>
        <v>2621440</v>
      </c>
      <c r="M14" s="34">
        <f t="shared" si="4"/>
        <v>2621440</v>
      </c>
      <c r="N14" s="34">
        <f t="shared" si="4"/>
        <v>2621440</v>
      </c>
      <c r="O14" s="34">
        <f t="shared" si="4"/>
        <v>2621440</v>
      </c>
      <c r="P14" s="34">
        <f t="shared" si="4"/>
        <v>2621440</v>
      </c>
      <c r="Q14" s="34">
        <f t="shared" si="4"/>
        <v>2621440</v>
      </c>
      <c r="R14" s="34">
        <f t="shared" si="4"/>
        <v>2621440</v>
      </c>
    </row>
    <row r="15" spans="1:18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  <c r="Q15" s="34">
        <v>4114.74</v>
      </c>
      <c r="R15" s="34">
        <v>4114.74</v>
      </c>
    </row>
    <row r="16" spans="1:18" x14ac:dyDescent="0.15">
      <c r="B16" s="6" t="s">
        <v>5</v>
      </c>
      <c r="C16" s="34"/>
      <c r="D16" s="34">
        <f>1/0.2239</f>
        <v>4.4662795891022782</v>
      </c>
      <c r="E16" s="34">
        <f t="shared" ref="E16:R16" si="5">1/0.2239</f>
        <v>4.4662795891022782</v>
      </c>
      <c r="F16" s="34">
        <f t="shared" si="5"/>
        <v>4.4662795891022782</v>
      </c>
      <c r="G16" s="34">
        <f t="shared" si="5"/>
        <v>4.4662795891022782</v>
      </c>
      <c r="H16" s="34">
        <f t="shared" si="5"/>
        <v>4.4662795891022782</v>
      </c>
      <c r="I16" s="34">
        <f t="shared" si="5"/>
        <v>4.4662795891022782</v>
      </c>
      <c r="J16" s="34">
        <f t="shared" si="5"/>
        <v>4.4662795891022782</v>
      </c>
      <c r="K16" s="34">
        <f t="shared" si="5"/>
        <v>4.4662795891022782</v>
      </c>
      <c r="L16" s="34">
        <f t="shared" si="5"/>
        <v>4.4662795891022782</v>
      </c>
      <c r="M16" s="34">
        <f t="shared" si="5"/>
        <v>4.4662795891022782</v>
      </c>
      <c r="N16" s="34">
        <f t="shared" si="5"/>
        <v>4.4662795891022782</v>
      </c>
      <c r="O16" s="34">
        <f t="shared" si="5"/>
        <v>4.4662795891022782</v>
      </c>
      <c r="P16" s="34">
        <f t="shared" si="5"/>
        <v>4.4662795891022782</v>
      </c>
      <c r="Q16" s="34">
        <f t="shared" si="5"/>
        <v>4.4662795891022782</v>
      </c>
      <c r="R16" s="34">
        <f t="shared" si="5"/>
        <v>4.4662795891022782</v>
      </c>
    </row>
    <row r="17" spans="1:1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  <c r="Q17" s="24"/>
      <c r="R17" s="24"/>
    </row>
    <row r="18" spans="1:1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6">2*H18</f>
        <v>64</v>
      </c>
      <c r="K18" s="1">
        <f t="shared" si="6"/>
        <v>128</v>
      </c>
      <c r="L18" s="1">
        <f t="shared" si="6"/>
        <v>128</v>
      </c>
      <c r="M18" s="1">
        <v>256</v>
      </c>
      <c r="N18" s="1">
        <v>256</v>
      </c>
      <c r="O18" s="1">
        <v>512</v>
      </c>
      <c r="P18" s="1">
        <v>512</v>
      </c>
      <c r="Q18" s="1">
        <v>1024</v>
      </c>
      <c r="R18" s="1">
        <v>1024</v>
      </c>
    </row>
    <row r="19" spans="1:1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6"/>
        <v>64</v>
      </c>
      <c r="K19" s="1">
        <f t="shared" si="6"/>
        <v>64</v>
      </c>
      <c r="L19" s="1">
        <f t="shared" si="6"/>
        <v>128</v>
      </c>
      <c r="M19" s="1">
        <v>128</v>
      </c>
      <c r="N19" s="1">
        <v>256</v>
      </c>
      <c r="O19" s="1">
        <v>256</v>
      </c>
      <c r="P19" s="1">
        <v>512</v>
      </c>
      <c r="Q19" s="1">
        <v>512</v>
      </c>
      <c r="R19" s="1">
        <v>1024</v>
      </c>
    </row>
    <row r="20" spans="1:1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  <c r="Q20" s="7">
        <v>2</v>
      </c>
      <c r="R20" s="7">
        <v>2</v>
      </c>
    </row>
    <row r="21" spans="1:18" x14ac:dyDescent="0.15">
      <c r="B21" s="6" t="s">
        <v>28</v>
      </c>
      <c r="C21" s="7">
        <f>C6/C18</f>
        <v>16</v>
      </c>
      <c r="D21" s="7">
        <f t="shared" ref="D21:R22" si="7">D6/D18</f>
        <v>16</v>
      </c>
      <c r="E21" s="7">
        <f t="shared" si="7"/>
        <v>8</v>
      </c>
      <c r="F21" s="7">
        <f t="shared" si="7"/>
        <v>8</v>
      </c>
      <c r="G21" s="7">
        <f t="shared" si="7"/>
        <v>4</v>
      </c>
      <c r="H21" s="7">
        <f t="shared" si="7"/>
        <v>8</v>
      </c>
      <c r="I21" s="7">
        <f t="shared" si="7"/>
        <v>4</v>
      </c>
      <c r="J21" s="7">
        <f t="shared" si="7"/>
        <v>4</v>
      </c>
      <c r="K21" s="7">
        <f t="shared" si="7"/>
        <v>4</v>
      </c>
      <c r="L21" s="7">
        <f t="shared" si="7"/>
        <v>4</v>
      </c>
      <c r="M21" s="7">
        <f t="shared" si="7"/>
        <v>2</v>
      </c>
      <c r="N21" s="7">
        <f t="shared" si="7"/>
        <v>4</v>
      </c>
      <c r="O21" s="7">
        <f t="shared" si="7"/>
        <v>2</v>
      </c>
      <c r="P21" s="7">
        <f t="shared" si="7"/>
        <v>2</v>
      </c>
      <c r="Q21" s="7">
        <f t="shared" si="7"/>
        <v>2</v>
      </c>
      <c r="R21" s="7">
        <f t="shared" si="7"/>
        <v>2</v>
      </c>
    </row>
    <row r="22" spans="1:18" x14ac:dyDescent="0.15">
      <c r="B22" s="6" t="s">
        <v>29</v>
      </c>
      <c r="C22" s="7">
        <f>C7/C19</f>
        <v>16</v>
      </c>
      <c r="D22" s="7">
        <f t="shared" si="7"/>
        <v>16</v>
      </c>
      <c r="E22" s="7">
        <f t="shared" si="7"/>
        <v>16</v>
      </c>
      <c r="F22" s="7">
        <f t="shared" si="7"/>
        <v>8</v>
      </c>
      <c r="G22" s="7">
        <f t="shared" si="7"/>
        <v>8</v>
      </c>
      <c r="H22" s="7">
        <f t="shared" si="7"/>
        <v>4</v>
      </c>
      <c r="I22" s="7">
        <f t="shared" si="7"/>
        <v>8</v>
      </c>
      <c r="J22" s="7">
        <f t="shared" si="7"/>
        <v>4</v>
      </c>
      <c r="K22" s="7">
        <f t="shared" si="7"/>
        <v>4</v>
      </c>
      <c r="L22" s="7">
        <f t="shared" si="7"/>
        <v>4</v>
      </c>
      <c r="M22" s="7">
        <f t="shared" si="7"/>
        <v>4</v>
      </c>
      <c r="N22" s="7">
        <f t="shared" si="7"/>
        <v>2</v>
      </c>
      <c r="O22" s="7">
        <f t="shared" si="7"/>
        <v>4</v>
      </c>
      <c r="P22" s="7">
        <f t="shared" si="7"/>
        <v>2</v>
      </c>
      <c r="Q22" s="7">
        <f t="shared" si="7"/>
        <v>2</v>
      </c>
      <c r="R22" s="7">
        <f t="shared" si="7"/>
        <v>2</v>
      </c>
    </row>
    <row r="23" spans="1:1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  <c r="Q23" s="36">
        <v>1</v>
      </c>
      <c r="R23" s="36">
        <v>1</v>
      </c>
    </row>
    <row r="24" spans="1:18" s="2" customFormat="1" x14ac:dyDescent="0.15">
      <c r="B24" s="10" t="s">
        <v>32</v>
      </c>
      <c r="C24" s="7">
        <f>C9</f>
        <v>1</v>
      </c>
      <c r="D24" s="7">
        <f t="shared" ref="D24:L24" si="8">D9</f>
        <v>1</v>
      </c>
      <c r="E24" s="7">
        <f t="shared" si="8"/>
        <v>1</v>
      </c>
      <c r="F24" s="7">
        <f t="shared" si="8"/>
        <v>1</v>
      </c>
      <c r="G24" s="7">
        <f t="shared" si="8"/>
        <v>1</v>
      </c>
      <c r="H24" s="7">
        <f t="shared" si="8"/>
        <v>1</v>
      </c>
      <c r="I24" s="7">
        <f t="shared" si="8"/>
        <v>1</v>
      </c>
      <c r="J24" s="7">
        <f t="shared" si="8"/>
        <v>1</v>
      </c>
      <c r="K24" s="7">
        <f t="shared" si="8"/>
        <v>1</v>
      </c>
      <c r="L24" s="7">
        <f t="shared" si="8"/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</row>
    <row r="25" spans="1:1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  <c r="Q25" s="38">
        <v>10</v>
      </c>
      <c r="R25" s="38">
        <v>10</v>
      </c>
    </row>
    <row r="26" spans="1:18" x14ac:dyDescent="0.15">
      <c r="B26" s="10" t="s">
        <v>49</v>
      </c>
      <c r="C26" s="7">
        <f>(C6/(C18*C21))*(C7/(C19*C22))*(C8/(C20*C23))*(C9/C24)</f>
        <v>16</v>
      </c>
      <c r="D26" s="7">
        <f t="shared" ref="D26:R26" si="9">(D6/(D18*D21))*(D7/(D19*D22))*(D8/(D20*D23))*(D9/D24)</f>
        <v>16</v>
      </c>
      <c r="E26" s="7">
        <f t="shared" si="9"/>
        <v>32</v>
      </c>
      <c r="F26" s="7">
        <f t="shared" si="9"/>
        <v>64</v>
      </c>
      <c r="G26" s="7">
        <f t="shared" si="9"/>
        <v>128</v>
      </c>
      <c r="H26" s="7">
        <f t="shared" si="9"/>
        <v>128</v>
      </c>
      <c r="I26" s="7">
        <f t="shared" si="9"/>
        <v>128</v>
      </c>
      <c r="J26" s="7">
        <f t="shared" si="9"/>
        <v>256</v>
      </c>
      <c r="K26" s="7">
        <f t="shared" si="9"/>
        <v>256</v>
      </c>
      <c r="L26" s="7">
        <f t="shared" si="9"/>
        <v>256</v>
      </c>
      <c r="M26" s="7">
        <f t="shared" si="9"/>
        <v>512</v>
      </c>
      <c r="N26" s="7">
        <f t="shared" si="9"/>
        <v>512</v>
      </c>
      <c r="O26" s="7">
        <f t="shared" si="9"/>
        <v>512</v>
      </c>
      <c r="P26" s="7">
        <f t="shared" si="9"/>
        <v>1024</v>
      </c>
      <c r="Q26" s="7">
        <f t="shared" si="9"/>
        <v>1024</v>
      </c>
      <c r="R26" s="7">
        <f t="shared" si="9"/>
        <v>1024</v>
      </c>
    </row>
    <row r="27" spans="1:18" x14ac:dyDescent="0.15">
      <c r="B27" s="10" t="s">
        <v>8</v>
      </c>
      <c r="C27" s="1">
        <f t="shared" ref="C27:R27" si="10">(C6/(C18*C21))*(C7/(C19*C22))*(C8/(C20*C23))*(C10/C25)*(C9/C24)</f>
        <v>128</v>
      </c>
      <c r="D27" s="1">
        <f t="shared" si="10"/>
        <v>128</v>
      </c>
      <c r="E27" s="1">
        <f t="shared" si="10"/>
        <v>256</v>
      </c>
      <c r="F27" s="1">
        <f t="shared" si="10"/>
        <v>512</v>
      </c>
      <c r="G27" s="1">
        <f t="shared" si="10"/>
        <v>1024</v>
      </c>
      <c r="H27" s="1">
        <f t="shared" si="10"/>
        <v>1024</v>
      </c>
      <c r="I27" s="1">
        <f t="shared" si="10"/>
        <v>1024</v>
      </c>
      <c r="J27" s="1">
        <f t="shared" si="10"/>
        <v>2048</v>
      </c>
      <c r="K27" s="1">
        <f t="shared" si="10"/>
        <v>2048</v>
      </c>
      <c r="L27" s="1">
        <f t="shared" si="10"/>
        <v>2048</v>
      </c>
      <c r="M27" s="1">
        <f t="shared" si="10"/>
        <v>4096</v>
      </c>
      <c r="N27" s="1">
        <f t="shared" si="10"/>
        <v>4096</v>
      </c>
      <c r="O27" s="1">
        <f t="shared" si="10"/>
        <v>4096</v>
      </c>
      <c r="P27" s="1">
        <f t="shared" si="10"/>
        <v>8192</v>
      </c>
      <c r="Q27" s="1">
        <f t="shared" si="10"/>
        <v>8192</v>
      </c>
      <c r="R27" s="1">
        <f t="shared" si="10"/>
        <v>8192</v>
      </c>
    </row>
    <row r="28" spans="1:18" x14ac:dyDescent="0.15">
      <c r="B28" s="10" t="s">
        <v>50</v>
      </c>
      <c r="D28" s="1">
        <f>( D21*D23 + D22*D23 + D21*D22)*D24*D25*4</f>
        <v>11520</v>
      </c>
      <c r="E28" s="1">
        <f t="shared" ref="E28:R28" si="11">( E21*E23 + E22*E23 + E21*E22)*E24*E25*4</f>
        <v>6080</v>
      </c>
      <c r="F28" s="1">
        <f t="shared" si="11"/>
        <v>3200</v>
      </c>
      <c r="G28" s="1">
        <f t="shared" si="11"/>
        <v>1760</v>
      </c>
      <c r="H28" s="1">
        <f t="shared" si="11"/>
        <v>1760</v>
      </c>
      <c r="I28" s="1">
        <f t="shared" si="11"/>
        <v>1760</v>
      </c>
      <c r="J28" s="1">
        <f t="shared" si="11"/>
        <v>960</v>
      </c>
      <c r="K28" s="1">
        <f t="shared" si="11"/>
        <v>960</v>
      </c>
      <c r="L28" s="1">
        <f t="shared" si="11"/>
        <v>960</v>
      </c>
      <c r="M28" s="1">
        <f t="shared" si="11"/>
        <v>560</v>
      </c>
      <c r="N28" s="1">
        <f t="shared" si="11"/>
        <v>560</v>
      </c>
      <c r="O28" s="1">
        <f t="shared" si="11"/>
        <v>560</v>
      </c>
      <c r="P28" s="1">
        <f t="shared" si="11"/>
        <v>320</v>
      </c>
      <c r="Q28" s="1">
        <f t="shared" si="11"/>
        <v>320</v>
      </c>
      <c r="R28" s="1">
        <f t="shared" si="11"/>
        <v>320</v>
      </c>
    </row>
    <row r="29" spans="1:18" ht="18" customHeight="1" thickBot="1" x14ac:dyDescent="0.25">
      <c r="A29" s="20" t="s">
        <v>20</v>
      </c>
      <c r="B29" s="11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18" s="12" customFormat="1" x14ac:dyDescent="0.15">
      <c r="B30" s="10" t="s">
        <v>38</v>
      </c>
      <c r="C30" s="61">
        <v>399.4</v>
      </c>
      <c r="D30" s="61">
        <v>438.1</v>
      </c>
      <c r="E30" s="61">
        <v>464.4</v>
      </c>
      <c r="F30" s="61">
        <v>505.1</v>
      </c>
      <c r="G30" s="61">
        <v>509</v>
      </c>
      <c r="H30" s="61">
        <v>526.20000000000005</v>
      </c>
      <c r="I30" s="61">
        <v>552.9</v>
      </c>
      <c r="J30" s="61">
        <v>563.29999999999995</v>
      </c>
      <c r="K30" s="61">
        <v>581.5</v>
      </c>
      <c r="L30" s="61">
        <v>598.9</v>
      </c>
      <c r="M30" s="61">
        <v>652.9</v>
      </c>
      <c r="N30" s="61">
        <v>674.4</v>
      </c>
      <c r="O30" s="61">
        <v>732.3</v>
      </c>
      <c r="P30" s="39">
        <v>0</v>
      </c>
      <c r="Q30" s="39">
        <v>0</v>
      </c>
      <c r="R30" s="39">
        <v>0</v>
      </c>
    </row>
    <row r="31" spans="1:18" s="12" customFormat="1" x14ac:dyDescent="0.15">
      <c r="B31" s="10" t="s">
        <v>36</v>
      </c>
      <c r="C31" s="61">
        <v>0</v>
      </c>
      <c r="D31" s="61">
        <v>0</v>
      </c>
      <c r="E31" s="61">
        <v>0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61">
        <v>0</v>
      </c>
      <c r="M31" s="61">
        <v>0</v>
      </c>
      <c r="N31" s="61">
        <v>0</v>
      </c>
      <c r="O31" s="61">
        <v>0</v>
      </c>
      <c r="P31" s="39">
        <v>0</v>
      </c>
      <c r="Q31" s="39">
        <v>0</v>
      </c>
      <c r="R31" s="39">
        <v>0</v>
      </c>
    </row>
    <row r="32" spans="1:18" x14ac:dyDescent="0.15">
      <c r="B32" s="6" t="s">
        <v>33</v>
      </c>
      <c r="C32" s="62">
        <v>46</v>
      </c>
      <c r="D32" s="62">
        <v>49</v>
      </c>
      <c r="E32" s="62">
        <v>50</v>
      </c>
      <c r="F32" s="62">
        <v>53</v>
      </c>
      <c r="G32" s="62">
        <v>53</v>
      </c>
      <c r="H32" s="62">
        <v>54</v>
      </c>
      <c r="I32" s="62">
        <v>55</v>
      </c>
      <c r="J32" s="62">
        <v>55</v>
      </c>
      <c r="K32" s="62">
        <v>55</v>
      </c>
      <c r="L32" s="62">
        <v>55</v>
      </c>
      <c r="M32" s="62">
        <v>55</v>
      </c>
      <c r="N32" s="62">
        <v>55</v>
      </c>
      <c r="O32" s="62">
        <v>55</v>
      </c>
      <c r="P32" s="38">
        <v>0</v>
      </c>
      <c r="Q32" s="38">
        <v>0</v>
      </c>
      <c r="R32" s="38">
        <v>0</v>
      </c>
    </row>
    <row r="33" spans="1:18" s="52" customFormat="1" x14ac:dyDescent="0.15">
      <c r="B33" s="10" t="s">
        <v>34</v>
      </c>
      <c r="C33" s="17">
        <f t="shared" ref="C33:R33" si="12">C30/C32</f>
        <v>8.6826086956521742</v>
      </c>
      <c r="D33" s="17">
        <f t="shared" si="12"/>
        <v>8.9408163265306122</v>
      </c>
      <c r="E33" s="17">
        <f t="shared" si="12"/>
        <v>9.2880000000000003</v>
      </c>
      <c r="F33" s="17">
        <f t="shared" si="12"/>
        <v>9.530188679245283</v>
      </c>
      <c r="G33" s="17">
        <f t="shared" si="12"/>
        <v>9.6037735849056602</v>
      </c>
      <c r="H33" s="17">
        <f t="shared" si="12"/>
        <v>9.7444444444444454</v>
      </c>
      <c r="I33" s="17">
        <f t="shared" si="12"/>
        <v>10.052727272727273</v>
      </c>
      <c r="J33" s="17">
        <f t="shared" si="12"/>
        <v>10.24181818181818</v>
      </c>
      <c r="K33" s="17">
        <f t="shared" si="12"/>
        <v>10.572727272727272</v>
      </c>
      <c r="L33" s="17">
        <f t="shared" si="12"/>
        <v>10.889090909090909</v>
      </c>
      <c r="M33" s="17">
        <f t="shared" si="12"/>
        <v>11.870909090909091</v>
      </c>
      <c r="N33" s="17">
        <f t="shared" si="12"/>
        <v>12.261818181818182</v>
      </c>
      <c r="O33" s="17">
        <f t="shared" si="12"/>
        <v>13.314545454545454</v>
      </c>
      <c r="P33" s="17" t="e">
        <f t="shared" si="12"/>
        <v>#DIV/0!</v>
      </c>
      <c r="Q33" s="17" t="e">
        <f t="shared" si="12"/>
        <v>#DIV/0!</v>
      </c>
      <c r="R33" s="17" t="e">
        <f t="shared" si="12"/>
        <v>#DIV/0!</v>
      </c>
    </row>
    <row r="34" spans="1:18" x14ac:dyDescent="0.15">
      <c r="B34" s="6" t="s">
        <v>56</v>
      </c>
      <c r="C34" s="13">
        <f t="shared" ref="C34:R34" si="13">1000000000*C33/C14</f>
        <v>3312.1523649796195</v>
      </c>
      <c r="D34" s="13">
        <f t="shared" si="13"/>
        <v>3410.6507593271685</v>
      </c>
      <c r="E34" s="13">
        <f t="shared" si="13"/>
        <v>3543.0908203125</v>
      </c>
      <c r="F34" s="13">
        <f t="shared" si="13"/>
        <v>3635.4784695607314</v>
      </c>
      <c r="G34" s="13">
        <f t="shared" si="13"/>
        <v>3663.5488834021226</v>
      </c>
      <c r="H34" s="13">
        <f t="shared" si="13"/>
        <v>3717.2105577256943</v>
      </c>
      <c r="I34" s="13">
        <f t="shared" si="13"/>
        <v>3834.811123934659</v>
      </c>
      <c r="J34" s="13">
        <f t="shared" si="13"/>
        <v>3906.9435813210221</v>
      </c>
      <c r="K34" s="13">
        <f t="shared" si="13"/>
        <v>4033.175381747159</v>
      </c>
      <c r="L34" s="13">
        <f t="shared" si="13"/>
        <v>4153.8585316051131</v>
      </c>
      <c r="M34" s="13">
        <f t="shared" si="13"/>
        <v>4528.3924449573869</v>
      </c>
      <c r="N34" s="13">
        <f t="shared" si="13"/>
        <v>4677.512428977273</v>
      </c>
      <c r="O34" s="13">
        <f t="shared" si="13"/>
        <v>5079.096013849432</v>
      </c>
      <c r="P34" s="13" t="e">
        <f t="shared" si="13"/>
        <v>#DIV/0!</v>
      </c>
      <c r="Q34" s="13" t="e">
        <f t="shared" si="13"/>
        <v>#DIV/0!</v>
      </c>
      <c r="R34" s="13" t="e">
        <f t="shared" si="13"/>
        <v>#DIV/0!</v>
      </c>
    </row>
    <row r="35" spans="1:18" x14ac:dyDescent="0.15">
      <c r="B35" s="30" t="s">
        <v>12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15">
      <c r="B36" s="10" t="s">
        <v>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15">
      <c r="B37" s="10" t="s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15">
      <c r="B38" s="10" t="s">
        <v>51</v>
      </c>
      <c r="C38" s="37">
        <f>$D$33/C33</f>
        <v>1.0297384852789389</v>
      </c>
      <c r="D38" s="37">
        <f t="shared" ref="D38:P38" si="14">$D$33/D33</f>
        <v>1</v>
      </c>
      <c r="E38" s="37">
        <f t="shared" si="14"/>
        <v>0.96262019019494094</v>
      </c>
      <c r="F38" s="37">
        <f t="shared" si="14"/>
        <v>0.93815732588818546</v>
      </c>
      <c r="G38" s="37">
        <f t="shared" si="14"/>
        <v>0.93096908704542725</v>
      </c>
      <c r="H38" s="37">
        <f t="shared" si="14"/>
        <v>0.91752961161659641</v>
      </c>
      <c r="I38" s="37">
        <f t="shared" si="14"/>
        <v>0.88939211061527157</v>
      </c>
      <c r="J38" s="37">
        <f t="shared" si="14"/>
        <v>0.87297159232945809</v>
      </c>
      <c r="K38" s="37">
        <f t="shared" si="14"/>
        <v>0.84564900766841566</v>
      </c>
      <c r="L38" s="37">
        <f t="shared" si="14"/>
        <v>0.82108014352844161</v>
      </c>
      <c r="M38" s="37">
        <f t="shared" si="14"/>
        <v>0.75317031392124933</v>
      </c>
      <c r="N38" s="37">
        <f t="shared" si="14"/>
        <v>0.72915910136296513</v>
      </c>
      <c r="O38" s="37">
        <f t="shared" si="14"/>
        <v>0.6715074395182079</v>
      </c>
      <c r="P38" s="37" t="e">
        <f t="shared" si="14"/>
        <v>#DIV/0!</v>
      </c>
      <c r="Q38" s="37" t="e">
        <f>$C$33/Q33</f>
        <v>#DIV/0!</v>
      </c>
      <c r="R38" s="37" t="e">
        <f>$C$33/R33</f>
        <v>#DIV/0!</v>
      </c>
    </row>
    <row r="39" spans="1:18" ht="18" customHeight="1" thickBot="1" x14ac:dyDescent="0.25">
      <c r="A39" s="21" t="s">
        <v>21</v>
      </c>
      <c r="B39" s="14"/>
      <c r="C39" s="7"/>
    </row>
    <row r="40" spans="1:18" ht="18" customHeight="1" x14ac:dyDescent="0.15">
      <c r="A40" s="28" t="s">
        <v>63</v>
      </c>
      <c r="B40" s="10"/>
      <c r="C40" s="7"/>
    </row>
    <row r="41" spans="1:18" x14ac:dyDescent="0.15">
      <c r="B41" s="10" t="s">
        <v>53</v>
      </c>
      <c r="C41" s="59">
        <v>300000</v>
      </c>
    </row>
    <row r="42" spans="1:18" x14ac:dyDescent="0.15">
      <c r="B42" s="10" t="s">
        <v>60</v>
      </c>
      <c r="C42" s="34">
        <v>11000</v>
      </c>
    </row>
    <row r="43" spans="1:18" x14ac:dyDescent="0.15">
      <c r="B43" s="10" t="s">
        <v>61</v>
      </c>
      <c r="C43" s="1">
        <v>1100</v>
      </c>
    </row>
    <row r="44" spans="1:18" x14ac:dyDescent="0.15">
      <c r="B44" s="10" t="s">
        <v>62</v>
      </c>
      <c r="C44" s="1">
        <v>1100</v>
      </c>
    </row>
    <row r="45" spans="1:18" s="28" customFormat="1" x14ac:dyDescent="0.15">
      <c r="B45" s="10" t="s">
        <v>54</v>
      </c>
      <c r="C45" s="16">
        <f t="shared" ref="C45:R45" si="15">C27 + C18 - (2 - MOD(C18,2)) + C19 - (2  - MOD(C19,2)) + (C8/(C20*C23))*(C20 - (2 - MOD(C20,2)))</f>
        <v>128</v>
      </c>
      <c r="D45" s="16">
        <f t="shared" si="15"/>
        <v>128</v>
      </c>
      <c r="E45" s="16">
        <f t="shared" si="15"/>
        <v>264</v>
      </c>
      <c r="F45" s="16">
        <f t="shared" si="15"/>
        <v>540</v>
      </c>
      <c r="G45" s="16">
        <f t="shared" si="15"/>
        <v>1068</v>
      </c>
      <c r="H45" s="16">
        <f t="shared" si="15"/>
        <v>1084</v>
      </c>
      <c r="I45" s="16">
        <f t="shared" si="15"/>
        <v>1116</v>
      </c>
      <c r="J45" s="16">
        <f t="shared" si="15"/>
        <v>2172</v>
      </c>
      <c r="K45" s="16">
        <f t="shared" si="15"/>
        <v>2236</v>
      </c>
      <c r="L45" s="16">
        <f t="shared" si="15"/>
        <v>2300</v>
      </c>
      <c r="M45" s="16">
        <f t="shared" si="15"/>
        <v>4476</v>
      </c>
      <c r="N45" s="16">
        <f t="shared" si="15"/>
        <v>4604</v>
      </c>
      <c r="O45" s="16">
        <f t="shared" si="15"/>
        <v>4860</v>
      </c>
      <c r="P45" s="16">
        <f t="shared" si="15"/>
        <v>9212</v>
      </c>
      <c r="Q45" s="16">
        <f t="shared" si="15"/>
        <v>9724</v>
      </c>
      <c r="R45" s="16">
        <f t="shared" si="15"/>
        <v>10236</v>
      </c>
    </row>
    <row r="46" spans="1:18" x14ac:dyDescent="0.15">
      <c r="B46" s="10" t="s">
        <v>52</v>
      </c>
      <c r="C46" s="35">
        <f>(D33/C33)/(D49/C49)</f>
        <v>1.0287716702494558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</row>
    <row r="47" spans="1:18" s="12" customFormat="1" ht="18" customHeight="1" x14ac:dyDescent="0.15">
      <c r="A47" s="15" t="s">
        <v>57</v>
      </c>
      <c r="B47" s="9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 s="52" customFormat="1" x14ac:dyDescent="0.15">
      <c r="B48" s="10" t="s">
        <v>47</v>
      </c>
      <c r="C48" s="17">
        <f>(C45*($C$41+C12*C21*C22*C23*($C$42 + C25*($C$43 + C9*$C$44)) ) )/1000000000</f>
        <v>8.689152</v>
      </c>
      <c r="D48" s="17">
        <f>$C$46*(D45*($C$41+ 3*D15+D16*D28+D12*D21*D22*D23*($C$42 + D25*($C$43 + D9*$C$44)) ) )/1000000000</f>
        <v>8.9475542188384622</v>
      </c>
      <c r="E48" s="17">
        <f t="shared" ref="E48:R48" si="16">$C$46*(E45*($C$41+ 3*E15+E16*E28+E12*E21*E22*E23*($C$42 + E25*($C$43 + E9*$C$44)) ) )/1000000000</f>
        <v>9.2699691321602344</v>
      </c>
      <c r="F48" s="17">
        <f t="shared" si="16"/>
        <v>9.5678065768810789</v>
      </c>
      <c r="G48" s="17">
        <f t="shared" si="16"/>
        <v>9.6338734637867258</v>
      </c>
      <c r="H48" s="17">
        <f t="shared" si="16"/>
        <v>9.7782011561281017</v>
      </c>
      <c r="I48" s="17">
        <f t="shared" si="16"/>
        <v>10.06685654081085</v>
      </c>
      <c r="J48" s="17">
        <f t="shared" si="16"/>
        <v>10.146005847979669</v>
      </c>
      <c r="K48" s="17">
        <f t="shared" si="16"/>
        <v>10.444967346262677</v>
      </c>
      <c r="L48" s="17">
        <f t="shared" si="16"/>
        <v>10.743928844545691</v>
      </c>
      <c r="M48" s="17">
        <f t="shared" si="16"/>
        <v>11.17509371300236</v>
      </c>
      <c r="N48" s="17">
        <f t="shared" si="16"/>
        <v>11.494667438485894</v>
      </c>
      <c r="O48" s="17">
        <f t="shared" si="16"/>
        <v>12.133814889452966</v>
      </c>
      <c r="P48" s="17">
        <f t="shared" si="16"/>
        <v>12.981403919045125</v>
      </c>
      <c r="Q48" s="17">
        <f t="shared" si="16"/>
        <v>13.702906177680719</v>
      </c>
      <c r="R48" s="17">
        <f t="shared" si="16"/>
        <v>14.424408436316314</v>
      </c>
    </row>
    <row r="49" spans="1:18" s="52" customFormat="1" hidden="1" x14ac:dyDescent="0.15">
      <c r="B49" s="27" t="s">
        <v>66</v>
      </c>
      <c r="C49" s="60">
        <f>(C45*($C$41+C12*C21*C22*C23*($C$42 + C25*($C$43 + C9*$C$44)) ) )/1000000000</f>
        <v>8.689152</v>
      </c>
      <c r="D49" s="60">
        <f>(D45*($C$41+ 3*D15+D16*D28+D12*D21*D22*D23*($C$42 + D25*($C$43 + D9*$C$44)) ) )/1000000000</f>
        <v>8.6973178573909067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s="12" customFormat="1" x14ac:dyDescent="0.15">
      <c r="B50" s="10" t="s">
        <v>56</v>
      </c>
      <c r="C50" s="29">
        <f>1000000000*C48/C14</f>
        <v>3314.6484375</v>
      </c>
      <c r="D50" s="29">
        <f t="shared" ref="D50:R50" si="17">1000000000*D48/D14</f>
        <v>3413.2210612634517</v>
      </c>
      <c r="E50" s="29">
        <f t="shared" si="17"/>
        <v>3536.2125900879801</v>
      </c>
      <c r="F50" s="29">
        <f t="shared" si="17"/>
        <v>3649.8285586857141</v>
      </c>
      <c r="G50" s="29">
        <f t="shared" si="17"/>
        <v>3675.0310759684471</v>
      </c>
      <c r="H50" s="29">
        <f t="shared" si="17"/>
        <v>3730.0877213013082</v>
      </c>
      <c r="I50" s="29">
        <f t="shared" si="17"/>
        <v>3840.2010119670294</v>
      </c>
      <c r="J50" s="29">
        <f t="shared" si="17"/>
        <v>3870.3940765303305</v>
      </c>
      <c r="K50" s="29">
        <f t="shared" si="17"/>
        <v>3984.438837533065</v>
      </c>
      <c r="L50" s="29">
        <f t="shared" si="17"/>
        <v>4098.4835985358013</v>
      </c>
      <c r="M50" s="29">
        <f t="shared" si="17"/>
        <v>4262.9599430093231</v>
      </c>
      <c r="N50" s="29">
        <f t="shared" si="17"/>
        <v>4384.8676446860864</v>
      </c>
      <c r="O50" s="29">
        <f t="shared" si="17"/>
        <v>4628.6830480396138</v>
      </c>
      <c r="P50" s="29">
        <f t="shared" si="17"/>
        <v>4952.0126033955094</v>
      </c>
      <c r="Q50" s="29">
        <f t="shared" si="17"/>
        <v>5227.2438727114559</v>
      </c>
      <c r="R50" s="29">
        <f t="shared" si="17"/>
        <v>5502.4751420274024</v>
      </c>
    </row>
    <row r="51" spans="1:18" s="12" customFormat="1" x14ac:dyDescent="0.15">
      <c r="B51" s="10" t="s">
        <v>58</v>
      </c>
      <c r="C51" s="17">
        <f>$D$48/C48</f>
        <v>1.0297384852789389</v>
      </c>
      <c r="D51" s="17">
        <f t="shared" ref="D51:R51" si="18">$D$48/D48</f>
        <v>1</v>
      </c>
      <c r="E51" s="17">
        <f t="shared" si="18"/>
        <v>0.96521941888638862</v>
      </c>
      <c r="F51" s="17">
        <f t="shared" si="18"/>
        <v>0.93517298316404651</v>
      </c>
      <c r="G51" s="17">
        <f t="shared" si="18"/>
        <v>0.92875978208265808</v>
      </c>
      <c r="H51" s="17">
        <f t="shared" si="18"/>
        <v>0.91505115061280318</v>
      </c>
      <c r="I51" s="17">
        <f t="shared" si="18"/>
        <v>0.88881312478878016</v>
      </c>
      <c r="J51" s="17">
        <f t="shared" si="18"/>
        <v>0.88187946595951849</v>
      </c>
      <c r="K51" s="17">
        <f t="shared" si="18"/>
        <v>0.85663783544904948</v>
      </c>
      <c r="L51" s="17">
        <f t="shared" si="18"/>
        <v>0.8328009565495974</v>
      </c>
      <c r="M51" s="17">
        <f t="shared" si="18"/>
        <v>0.80066927836389168</v>
      </c>
      <c r="N51" s="17">
        <f t="shared" si="18"/>
        <v>0.77840914204100331</v>
      </c>
      <c r="O51" s="17">
        <f t="shared" si="18"/>
        <v>0.73740652056723843</v>
      </c>
      <c r="P51" s="17">
        <f t="shared" si="18"/>
        <v>0.68925936475263905</v>
      </c>
      <c r="Q51" s="17">
        <f t="shared" si="18"/>
        <v>0.65296763349458165</v>
      </c>
      <c r="R51" s="17">
        <f t="shared" si="18"/>
        <v>0.62030649356206646</v>
      </c>
    </row>
    <row r="52" spans="1:18" s="12" customFormat="1" x14ac:dyDescent="0.15">
      <c r="B52" s="10" t="s">
        <v>36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s="12" customFormat="1" ht="18" customHeight="1" x14ac:dyDescent="0.15">
      <c r="A53" s="15" t="s">
        <v>64</v>
      </c>
      <c r="B53" s="9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</row>
    <row r="54" spans="1:18" s="52" customFormat="1" x14ac:dyDescent="0.15">
      <c r="B54" s="10" t="s">
        <v>47</v>
      </c>
      <c r="C54" s="57">
        <f>(C45*($C$60+ C12*C21*C22*C23*($C$64 + C25*($C$65 + C9*$C$66)) ) + $C$62*(C27)^2 + $C$63*((C27)^2)/(C10/C25) )/1000000000</f>
        <v>8.6893158400000008</v>
      </c>
      <c r="D54" s="57">
        <f>$C$67*(D45*($C$60+ $C$61*3*D15+D16*D28+D12*D21*D22*D23*($C$64 + D25*($C$65 + D9*$C$66)) ) + $C$62*(D27)^2 + $C$63*((D27)^2)/(D10/D25) )/1000000000</f>
        <v>8.9477229311918887</v>
      </c>
      <c r="E54" s="57">
        <f t="shared" ref="E54:R54" si="19">$C$67*(E45*($C$60+ $C$61*3*E15+E16*E28+E12*E21*E22*E23*($C$64 + E25*($C$65 + E9*$C$66)) ) + $C$62*(E27)^2 + $C$63*((E27)^2)/(E10/E25) )/1000000000</f>
        <v>9.2872977732046209</v>
      </c>
      <c r="F54" s="57">
        <f t="shared" si="19"/>
        <v>9.6216008465886063</v>
      </c>
      <c r="G54" s="57">
        <f t="shared" si="19"/>
        <v>9.7625550026466641</v>
      </c>
      <c r="H54" s="57">
        <f t="shared" si="19"/>
        <v>9.9086491915832031</v>
      </c>
      <c r="I54" s="57">
        <f t="shared" si="19"/>
        <v>10.200837569456283</v>
      </c>
      <c r="J54" s="57">
        <f t="shared" si="19"/>
        <v>10.446009332331966</v>
      </c>
      <c r="K54" s="57">
        <f t="shared" si="19"/>
        <v>10.752541568583949</v>
      </c>
      <c r="L54" s="57">
        <f t="shared" si="19"/>
        <v>11.059073804835931</v>
      </c>
      <c r="M54" s="57">
        <f t="shared" si="19"/>
        <v>11.894508989932179</v>
      </c>
      <c r="N54" s="57">
        <f t="shared" si="19"/>
        <v>12.229728942941962</v>
      </c>
      <c r="O54" s="57">
        <f t="shared" si="19"/>
        <v>12.900168848961533</v>
      </c>
      <c r="P54" s="57">
        <f t="shared" si="19"/>
        <v>14.814754629443806</v>
      </c>
      <c r="Q54" s="57">
        <f t="shared" si="19"/>
        <v>15.599851472001648</v>
      </c>
      <c r="R54" s="57">
        <f t="shared" si="19"/>
        <v>16.384948314559487</v>
      </c>
    </row>
    <row r="55" spans="1:18" s="12" customFormat="1" hidden="1" x14ac:dyDescent="0.15">
      <c r="B55" s="27" t="s">
        <v>66</v>
      </c>
      <c r="C55" s="60">
        <f>(C45*($C$41+C12*C21*C22*C23*($C$42 + C25*($C$43 + C9*$C$44)) ) + $C$62*(C27)^2 + $C$63*((C27)^2)/(C10/C25) )/1000000000</f>
        <v>8.6893158400000008</v>
      </c>
      <c r="D55" s="60">
        <f>(D45*($C$41+ $C$61*3*D15+D16*D28+D12*D21*D22*D23*($C$42 + D25*($C$43 + D9*$C$44)) ) + $C$62*(D27)^2 + $C$63*((D27)^2)/(D10/D25) )/1000000000</f>
        <v>8.7132822989909062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</row>
    <row r="56" spans="1:18" s="12" customFormat="1" x14ac:dyDescent="0.15">
      <c r="B56" s="10" t="s">
        <v>56</v>
      </c>
      <c r="C56" s="29">
        <f>1000000000*C54/C14</f>
        <v>3314.7109375</v>
      </c>
      <c r="D56" s="29">
        <f t="shared" ref="D56:R56" si="20">1000000000*D54/D14</f>
        <v>3413.2854199187809</v>
      </c>
      <c r="E56" s="29">
        <f t="shared" si="20"/>
        <v>3542.8229420488815</v>
      </c>
      <c r="F56" s="29">
        <f t="shared" si="20"/>
        <v>3670.3494440416739</v>
      </c>
      <c r="G56" s="29">
        <f t="shared" si="20"/>
        <v>3724.1191874109891</v>
      </c>
      <c r="H56" s="29">
        <f t="shared" si="20"/>
        <v>3779.8496977169807</v>
      </c>
      <c r="I56" s="29">
        <f t="shared" si="20"/>
        <v>3891.3107183289658</v>
      </c>
      <c r="J56" s="29">
        <f t="shared" si="20"/>
        <v>3984.8363236739983</v>
      </c>
      <c r="K56" s="29">
        <f t="shared" si="20"/>
        <v>4101.7690920196337</v>
      </c>
      <c r="L56" s="29">
        <f t="shared" si="20"/>
        <v>4218.7018603652696</v>
      </c>
      <c r="M56" s="29">
        <f t="shared" si="20"/>
        <v>4537.3950919846266</v>
      </c>
      <c r="N56" s="29">
        <f t="shared" si="20"/>
        <v>4665.271355797563</v>
      </c>
      <c r="O56" s="29">
        <f t="shared" si="20"/>
        <v>4921.023883423436</v>
      </c>
      <c r="P56" s="29">
        <f t="shared" si="20"/>
        <v>5651.3803975844594</v>
      </c>
      <c r="Q56" s="29">
        <f t="shared" si="20"/>
        <v>5950.8710754400818</v>
      </c>
      <c r="R56" s="29">
        <f t="shared" si="20"/>
        <v>6250.3617532957032</v>
      </c>
    </row>
    <row r="57" spans="1:18" s="12" customFormat="1" x14ac:dyDescent="0.15">
      <c r="B57" s="10" t="s">
        <v>58</v>
      </c>
      <c r="C57" s="17">
        <f>$D$54/C54</f>
        <v>1.0297384852789386</v>
      </c>
      <c r="D57" s="17">
        <f t="shared" ref="D57:R57" si="21">$D$54/D54</f>
        <v>1</v>
      </c>
      <c r="E57" s="17">
        <f t="shared" si="21"/>
        <v>0.96343663675859936</v>
      </c>
      <c r="F57" s="17">
        <f t="shared" si="21"/>
        <v>0.92996197554426252</v>
      </c>
      <c r="G57" s="17">
        <f t="shared" si="21"/>
        <v>0.91653495716706623</v>
      </c>
      <c r="H57" s="17">
        <f t="shared" si="21"/>
        <v>0.90302146722405274</v>
      </c>
      <c r="I57" s="17">
        <f t="shared" si="21"/>
        <v>0.87715571101568013</v>
      </c>
      <c r="J57" s="17">
        <f t="shared" si="21"/>
        <v>0.85656853699118796</v>
      </c>
      <c r="K57" s="17">
        <f t="shared" si="21"/>
        <v>0.83214957822946178</v>
      </c>
      <c r="L57" s="17">
        <f t="shared" si="21"/>
        <v>0.80908429486013678</v>
      </c>
      <c r="M57" s="17">
        <f t="shared" si="21"/>
        <v>0.75225660334238875</v>
      </c>
      <c r="N57" s="17">
        <f t="shared" si="21"/>
        <v>0.73163706022739039</v>
      </c>
      <c r="O57" s="17">
        <f t="shared" si="21"/>
        <v>0.69361285390556593</v>
      </c>
      <c r="P57" s="17">
        <f t="shared" si="21"/>
        <v>0.60397375150639365</v>
      </c>
      <c r="Q57" s="17">
        <f t="shared" si="21"/>
        <v>0.57357744381419995</v>
      </c>
      <c r="R57" s="17">
        <f t="shared" si="21"/>
        <v>0.54609405897490926</v>
      </c>
    </row>
    <row r="58" spans="1:18" s="12" customFormat="1" x14ac:dyDescent="0.15">
      <c r="B58" s="10" t="s">
        <v>36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</row>
    <row r="59" spans="1:18" s="12" customFormat="1" ht="18" customHeight="1" x14ac:dyDescent="0.15">
      <c r="A59" s="15" t="s">
        <v>65</v>
      </c>
      <c r="B59" s="9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B60" s="10" t="s">
        <v>53</v>
      </c>
      <c r="C60" s="59">
        <v>300000</v>
      </c>
    </row>
    <row r="61" spans="1:18" x14ac:dyDescent="0.15">
      <c r="B61" s="10" t="s">
        <v>55</v>
      </c>
      <c r="C61" s="53">
        <v>11</v>
      </c>
    </row>
    <row r="62" spans="1:18" x14ac:dyDescent="0.15">
      <c r="B62" s="10" t="s">
        <v>59</v>
      </c>
      <c r="C62" s="53">
        <v>10</v>
      </c>
    </row>
    <row r="63" spans="1:18" x14ac:dyDescent="0.15">
      <c r="B63" s="10" t="s">
        <v>67</v>
      </c>
      <c r="C63" s="53">
        <v>0</v>
      </c>
    </row>
    <row r="64" spans="1:18" x14ac:dyDescent="0.15">
      <c r="B64" s="10" t="s">
        <v>60</v>
      </c>
      <c r="C64" s="34">
        <v>11000</v>
      </c>
    </row>
    <row r="65" spans="1:18" x14ac:dyDescent="0.15">
      <c r="B65" s="10" t="s">
        <v>61</v>
      </c>
      <c r="C65" s="1">
        <v>1100</v>
      </c>
    </row>
    <row r="66" spans="1:18" x14ac:dyDescent="0.15">
      <c r="B66" s="10" t="s">
        <v>62</v>
      </c>
      <c r="C66" s="1">
        <v>1100</v>
      </c>
    </row>
    <row r="67" spans="1:18" x14ac:dyDescent="0.15">
      <c r="B67" s="6" t="s">
        <v>52</v>
      </c>
      <c r="C67" s="35">
        <f>(D33/C33)/(D55/C55)</f>
        <v>1.0269061215000614</v>
      </c>
    </row>
    <row r="68" spans="1:18" s="12" customFormat="1" x14ac:dyDescent="0.15">
      <c r="B68" s="10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</row>
    <row r="69" spans="1:18" ht="17" thickBot="1" x14ac:dyDescent="0.25">
      <c r="A69" s="20" t="s">
        <v>13</v>
      </c>
      <c r="B69" s="49"/>
    </row>
    <row r="70" spans="1:18" x14ac:dyDescent="0.15">
      <c r="B70" s="27" t="s">
        <v>14</v>
      </c>
      <c r="C70" s="34">
        <f t="shared" ref="C70:R70" si="22">C18*C19*C20-C4</f>
        <v>0</v>
      </c>
      <c r="D70" s="34">
        <f t="shared" si="22"/>
        <v>0</v>
      </c>
      <c r="E70" s="34">
        <f t="shared" si="22"/>
        <v>0</v>
      </c>
      <c r="F70" s="34">
        <f t="shared" si="22"/>
        <v>0</v>
      </c>
      <c r="G70" s="34">
        <f t="shared" si="22"/>
        <v>0</v>
      </c>
      <c r="H70" s="34">
        <f t="shared" si="22"/>
        <v>0</v>
      </c>
      <c r="I70" s="34">
        <f t="shared" si="22"/>
        <v>0</v>
      </c>
      <c r="J70" s="34">
        <f t="shared" si="22"/>
        <v>0</v>
      </c>
      <c r="K70" s="34">
        <f t="shared" si="22"/>
        <v>0</v>
      </c>
      <c r="L70" s="34">
        <f t="shared" si="22"/>
        <v>0</v>
      </c>
      <c r="M70" s="34">
        <f t="shared" si="22"/>
        <v>0</v>
      </c>
      <c r="N70" s="34">
        <f t="shared" si="22"/>
        <v>0</v>
      </c>
      <c r="O70" s="34">
        <f t="shared" si="22"/>
        <v>0</v>
      </c>
      <c r="P70" s="34">
        <f t="shared" si="22"/>
        <v>0</v>
      </c>
      <c r="Q70" s="34">
        <f t="shared" si="22"/>
        <v>0</v>
      </c>
      <c r="R70" s="34">
        <f t="shared" si="22"/>
        <v>0</v>
      </c>
    </row>
    <row r="71" spans="1:18" x14ac:dyDescent="0.15">
      <c r="B71" s="27" t="s">
        <v>15</v>
      </c>
      <c r="C71" s="34">
        <f t="shared" ref="C71:R71" si="23">C11/C4 - $C$11</f>
        <v>0</v>
      </c>
      <c r="D71" s="34">
        <f t="shared" si="23"/>
        <v>0</v>
      </c>
      <c r="E71" s="34">
        <f t="shared" si="23"/>
        <v>0</v>
      </c>
      <c r="F71" s="34">
        <f t="shared" si="23"/>
        <v>0</v>
      </c>
      <c r="G71" s="34">
        <f t="shared" si="23"/>
        <v>0</v>
      </c>
      <c r="H71" s="34">
        <f t="shared" si="23"/>
        <v>0</v>
      </c>
      <c r="I71" s="34">
        <f t="shared" si="23"/>
        <v>0</v>
      </c>
      <c r="J71" s="34">
        <f t="shared" si="23"/>
        <v>0</v>
      </c>
      <c r="K71" s="34">
        <f t="shared" si="23"/>
        <v>0</v>
      </c>
      <c r="L71" s="34">
        <f t="shared" si="23"/>
        <v>0</v>
      </c>
      <c r="M71" s="34">
        <f t="shared" si="23"/>
        <v>0</v>
      </c>
      <c r="N71" s="34">
        <f t="shared" si="23"/>
        <v>0</v>
      </c>
      <c r="O71" s="34">
        <f t="shared" si="23"/>
        <v>0</v>
      </c>
      <c r="P71" s="34">
        <f t="shared" si="23"/>
        <v>0</v>
      </c>
      <c r="Q71" s="34">
        <f t="shared" si="23"/>
        <v>0</v>
      </c>
      <c r="R71" s="34">
        <f t="shared" si="23"/>
        <v>0</v>
      </c>
    </row>
    <row r="72" spans="1:18" x14ac:dyDescent="0.15">
      <c r="B72" s="27" t="s">
        <v>9</v>
      </c>
      <c r="C72" s="34">
        <f t="shared" ref="C72:R72" si="24">C18*C21-C6</f>
        <v>0</v>
      </c>
      <c r="D72" s="34">
        <f t="shared" si="24"/>
        <v>0</v>
      </c>
      <c r="E72" s="34">
        <f t="shared" si="24"/>
        <v>0</v>
      </c>
      <c r="F72" s="34">
        <f t="shared" si="24"/>
        <v>0</v>
      </c>
      <c r="G72" s="34">
        <f t="shared" si="24"/>
        <v>0</v>
      </c>
      <c r="H72" s="34">
        <f t="shared" si="24"/>
        <v>0</v>
      </c>
      <c r="I72" s="34">
        <f t="shared" si="24"/>
        <v>0</v>
      </c>
      <c r="J72" s="34">
        <f t="shared" si="24"/>
        <v>0</v>
      </c>
      <c r="K72" s="34">
        <f t="shared" si="24"/>
        <v>0</v>
      </c>
      <c r="L72" s="34">
        <f t="shared" si="24"/>
        <v>0</v>
      </c>
      <c r="M72" s="34">
        <f t="shared" si="24"/>
        <v>0</v>
      </c>
      <c r="N72" s="34">
        <f t="shared" si="24"/>
        <v>0</v>
      </c>
      <c r="O72" s="34">
        <f t="shared" si="24"/>
        <v>0</v>
      </c>
      <c r="P72" s="34">
        <f t="shared" si="24"/>
        <v>0</v>
      </c>
      <c r="Q72" s="34">
        <f t="shared" si="24"/>
        <v>0</v>
      </c>
      <c r="R72" s="34">
        <f t="shared" si="24"/>
        <v>0</v>
      </c>
    </row>
    <row r="73" spans="1:18" x14ac:dyDescent="0.15">
      <c r="B73" s="27" t="s">
        <v>10</v>
      </c>
      <c r="C73" s="34">
        <f t="shared" ref="C73:R73" si="25">C19*C22-C7</f>
        <v>0</v>
      </c>
      <c r="D73" s="34">
        <f t="shared" si="25"/>
        <v>0</v>
      </c>
      <c r="E73" s="34">
        <f t="shared" si="25"/>
        <v>0</v>
      </c>
      <c r="F73" s="34">
        <f t="shared" si="25"/>
        <v>0</v>
      </c>
      <c r="G73" s="34">
        <f t="shared" si="25"/>
        <v>0</v>
      </c>
      <c r="H73" s="34">
        <f t="shared" si="25"/>
        <v>0</v>
      </c>
      <c r="I73" s="34">
        <f t="shared" si="25"/>
        <v>0</v>
      </c>
      <c r="J73" s="34">
        <f t="shared" si="25"/>
        <v>0</v>
      </c>
      <c r="K73" s="34">
        <f t="shared" si="25"/>
        <v>0</v>
      </c>
      <c r="L73" s="34">
        <f t="shared" si="25"/>
        <v>0</v>
      </c>
      <c r="M73" s="34">
        <f t="shared" si="25"/>
        <v>0</v>
      </c>
      <c r="N73" s="34">
        <f t="shared" si="25"/>
        <v>0</v>
      </c>
      <c r="O73" s="34">
        <f t="shared" si="25"/>
        <v>0</v>
      </c>
      <c r="P73" s="34">
        <f t="shared" si="25"/>
        <v>0</v>
      </c>
      <c r="Q73" s="34">
        <f t="shared" si="25"/>
        <v>0</v>
      </c>
      <c r="R73" s="34">
        <f t="shared" si="25"/>
        <v>0</v>
      </c>
    </row>
    <row r="74" spans="1:18" x14ac:dyDescent="0.15">
      <c r="B74" s="27" t="s">
        <v>16</v>
      </c>
      <c r="C74" s="34">
        <f t="shared" ref="C74:R74" si="26">C6*C7*C8*C9*C10/(C21*C22*C23*C25*C24)-C18*C19*C20*C27</f>
        <v>0</v>
      </c>
      <c r="D74" s="34">
        <f t="shared" si="26"/>
        <v>0</v>
      </c>
      <c r="E74" s="34">
        <f t="shared" si="26"/>
        <v>0</v>
      </c>
      <c r="F74" s="34">
        <f t="shared" si="26"/>
        <v>0</v>
      </c>
      <c r="G74" s="34">
        <f t="shared" si="26"/>
        <v>0</v>
      </c>
      <c r="H74" s="34">
        <f t="shared" si="26"/>
        <v>0</v>
      </c>
      <c r="I74" s="34">
        <f t="shared" si="26"/>
        <v>0</v>
      </c>
      <c r="J74" s="34">
        <f t="shared" si="26"/>
        <v>0</v>
      </c>
      <c r="K74" s="34">
        <f t="shared" si="26"/>
        <v>0</v>
      </c>
      <c r="L74" s="34">
        <f t="shared" si="26"/>
        <v>0</v>
      </c>
      <c r="M74" s="34">
        <f t="shared" si="26"/>
        <v>0</v>
      </c>
      <c r="N74" s="34">
        <f t="shared" si="26"/>
        <v>0</v>
      </c>
      <c r="O74" s="34">
        <f t="shared" si="26"/>
        <v>0</v>
      </c>
      <c r="P74" s="34">
        <f t="shared" si="26"/>
        <v>0</v>
      </c>
      <c r="Q74" s="34">
        <f t="shared" si="26"/>
        <v>0</v>
      </c>
      <c r="R74" s="34">
        <f t="shared" si="26"/>
        <v>0</v>
      </c>
    </row>
    <row r="75" spans="1:18" x14ac:dyDescent="0.15">
      <c r="B75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71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99</v>
      </c>
      <c r="D9" s="2">
        <v>99</v>
      </c>
      <c r="E9" s="2">
        <v>99</v>
      </c>
      <c r="F9" s="2">
        <v>99</v>
      </c>
      <c r="G9" s="2">
        <v>99</v>
      </c>
      <c r="H9" s="2">
        <v>99</v>
      </c>
      <c r="I9" s="2">
        <v>99</v>
      </c>
      <c r="J9" s="2">
        <v>99</v>
      </c>
      <c r="K9" s="2">
        <v>99</v>
      </c>
      <c r="L9" s="2">
        <v>99</v>
      </c>
      <c r="M9" s="2">
        <v>99</v>
      </c>
      <c r="N9" s="2">
        <v>99</v>
      </c>
      <c r="O9" s="2">
        <v>99</v>
      </c>
      <c r="P9" s="2">
        <v>99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129761280</v>
      </c>
      <c r="D13" s="34">
        <f t="shared" ref="D13:P13" si="2">D11*D12*D10*D9</f>
        <v>1038090240</v>
      </c>
      <c r="E13" s="34">
        <f t="shared" si="2"/>
        <v>8304721920</v>
      </c>
      <c r="F13" s="34">
        <f t="shared" si="2"/>
        <v>66437775360</v>
      </c>
      <c r="G13" s="34">
        <f t="shared" si="2"/>
        <v>132875550720</v>
      </c>
      <c r="H13" s="34">
        <f t="shared" si="2"/>
        <v>265751101440</v>
      </c>
      <c r="I13" s="34">
        <f t="shared" si="2"/>
        <v>531502202880</v>
      </c>
      <c r="J13" s="34">
        <f t="shared" si="2"/>
        <v>1063004405760</v>
      </c>
      <c r="K13" s="34">
        <f t="shared" si="2"/>
        <v>2126008811520</v>
      </c>
      <c r="L13" s="34">
        <f t="shared" si="2"/>
        <v>4252017623040</v>
      </c>
      <c r="M13" s="34">
        <f t="shared" si="2"/>
        <v>8504035246080</v>
      </c>
      <c r="N13" s="34">
        <f t="shared" si="2"/>
        <v>17008070492160</v>
      </c>
      <c r="O13" s="34">
        <f t="shared" si="2"/>
        <v>34016140984320</v>
      </c>
      <c r="P13" s="34">
        <f t="shared" si="2"/>
        <v>51024211476480</v>
      </c>
    </row>
    <row r="14" spans="1:16" x14ac:dyDescent="0.15">
      <c r="B14" s="6" t="s">
        <v>26</v>
      </c>
      <c r="C14" s="34">
        <f t="shared" ref="C14:P14" si="3">C13/C4</f>
        <v>129761280</v>
      </c>
      <c r="D14" s="34">
        <f t="shared" si="3"/>
        <v>129761280</v>
      </c>
      <c r="E14" s="34">
        <f t="shared" si="3"/>
        <v>129761280</v>
      </c>
      <c r="F14" s="34">
        <f t="shared" si="3"/>
        <v>129761280</v>
      </c>
      <c r="G14" s="34">
        <f t="shared" si="3"/>
        <v>129761280</v>
      </c>
      <c r="H14" s="34">
        <f t="shared" si="3"/>
        <v>129761280</v>
      </c>
      <c r="I14" s="34">
        <f t="shared" si="3"/>
        <v>129761280</v>
      </c>
      <c r="J14" s="34">
        <f t="shared" si="3"/>
        <v>129761280</v>
      </c>
      <c r="K14" s="34">
        <f t="shared" si="3"/>
        <v>129761280</v>
      </c>
      <c r="L14" s="34">
        <f t="shared" si="3"/>
        <v>129761280</v>
      </c>
      <c r="M14" s="34">
        <f t="shared" si="3"/>
        <v>129761280</v>
      </c>
      <c r="N14" s="34">
        <f t="shared" si="3"/>
        <v>129761280</v>
      </c>
      <c r="O14" s="34">
        <f t="shared" si="3"/>
        <v>129761280</v>
      </c>
      <c r="P14" s="34">
        <f t="shared" si="3"/>
        <v>129761280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99</v>
      </c>
      <c r="D24" s="7">
        <f t="shared" ref="D24:P24" si="7">D9</f>
        <v>99</v>
      </c>
      <c r="E24" s="7">
        <f t="shared" si="7"/>
        <v>99</v>
      </c>
      <c r="F24" s="7">
        <f t="shared" si="7"/>
        <v>99</v>
      </c>
      <c r="G24" s="7">
        <f t="shared" si="7"/>
        <v>99</v>
      </c>
      <c r="H24" s="7">
        <f t="shared" si="7"/>
        <v>99</v>
      </c>
      <c r="I24" s="7">
        <f t="shared" si="7"/>
        <v>99</v>
      </c>
      <c r="J24" s="7">
        <f t="shared" si="7"/>
        <v>99</v>
      </c>
      <c r="K24" s="7">
        <f t="shared" si="7"/>
        <v>99</v>
      </c>
      <c r="L24" s="7">
        <f t="shared" si="7"/>
        <v>99</v>
      </c>
      <c r="M24" s="7">
        <f t="shared" si="7"/>
        <v>99</v>
      </c>
      <c r="N24" s="7">
        <f t="shared" si="7"/>
        <v>99</v>
      </c>
      <c r="O24" s="7">
        <f t="shared" si="7"/>
        <v>99</v>
      </c>
      <c r="P24" s="7">
        <f t="shared" si="7"/>
        <v>99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1140480</v>
      </c>
      <c r="E28" s="1">
        <f t="shared" ref="E28:P28" si="10">( E21*E23 + E22*E23 + E21*E22)*E24*E25*4</f>
        <v>601920</v>
      </c>
      <c r="F28" s="1">
        <f t="shared" si="10"/>
        <v>316800</v>
      </c>
      <c r="G28" s="1">
        <f t="shared" si="10"/>
        <v>174240</v>
      </c>
      <c r="H28" s="1">
        <f t="shared" si="10"/>
        <v>174240</v>
      </c>
      <c r="I28" s="1">
        <f t="shared" si="10"/>
        <v>174240</v>
      </c>
      <c r="J28" s="1">
        <f t="shared" si="10"/>
        <v>95040</v>
      </c>
      <c r="K28" s="1">
        <f t="shared" si="10"/>
        <v>95040</v>
      </c>
      <c r="L28" s="1">
        <f t="shared" si="10"/>
        <v>95040</v>
      </c>
      <c r="M28" s="1">
        <f t="shared" si="10"/>
        <v>55440</v>
      </c>
      <c r="N28" s="1">
        <f t="shared" si="10"/>
        <v>55440</v>
      </c>
      <c r="O28" s="1">
        <f t="shared" si="10"/>
        <v>55440</v>
      </c>
      <c r="P28" s="1">
        <f t="shared" si="10"/>
        <v>55440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33.4</v>
      </c>
      <c r="D30" s="1">
        <v>40.67</v>
      </c>
      <c r="E30" s="1">
        <v>52.37</v>
      </c>
      <c r="F30" s="1">
        <v>64.45</v>
      </c>
      <c r="G30" s="1">
        <v>67.06</v>
      </c>
      <c r="H30" s="1">
        <v>70.459999999999994</v>
      </c>
      <c r="I30" s="74">
        <v>75.73</v>
      </c>
      <c r="J30" s="1">
        <v>74.260000000000005</v>
      </c>
      <c r="K30" s="1">
        <v>80.599999999999994</v>
      </c>
      <c r="L30" s="1">
        <v>81.94</v>
      </c>
      <c r="M30" s="1">
        <v>0</v>
      </c>
      <c r="N30" s="1">
        <v>0</v>
      </c>
      <c r="O30" s="12">
        <v>0</v>
      </c>
      <c r="P30" s="70">
        <v>0</v>
      </c>
    </row>
    <row r="31" spans="1:30" s="12" customFormat="1" x14ac:dyDescent="0.15">
      <c r="B31" s="10" t="s">
        <v>36</v>
      </c>
      <c r="C31" s="1">
        <v>52.1</v>
      </c>
      <c r="D31" s="1">
        <v>58.81</v>
      </c>
      <c r="E31" s="1">
        <v>74.48</v>
      </c>
      <c r="F31" s="1">
        <v>90.28</v>
      </c>
      <c r="G31" s="1">
        <v>95.38</v>
      </c>
      <c r="H31" s="1">
        <v>102.3</v>
      </c>
      <c r="I31" s="1">
        <v>107</v>
      </c>
      <c r="J31" s="1">
        <v>112.6</v>
      </c>
      <c r="K31" s="1">
        <v>122.2</v>
      </c>
      <c r="L31" s="1">
        <v>128.80000000000001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3.34</v>
      </c>
      <c r="D33" s="17">
        <f t="shared" si="11"/>
        <v>4.0670000000000002</v>
      </c>
      <c r="E33" s="17">
        <f t="shared" si="11"/>
        <v>5.2370000000000001</v>
      </c>
      <c r="F33" s="17">
        <f t="shared" si="11"/>
        <v>6.4450000000000003</v>
      </c>
      <c r="G33" s="17">
        <f t="shared" si="11"/>
        <v>6.7060000000000004</v>
      </c>
      <c r="H33" s="17">
        <f t="shared" si="11"/>
        <v>7.0459999999999994</v>
      </c>
      <c r="I33" s="17">
        <f>I30/I32</f>
        <v>7.5730000000000004</v>
      </c>
      <c r="J33" s="17">
        <f>J30/J32</f>
        <v>7.4260000000000002</v>
      </c>
      <c r="K33" s="17">
        <f>K30/K32</f>
        <v>8.0599999999999987</v>
      </c>
      <c r="L33" s="17">
        <f>L30/L32</f>
        <v>8.1939999999999991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25.739573469065657</v>
      </c>
      <c r="D34" s="13">
        <f t="shared" si="12"/>
        <v>31.342169251104799</v>
      </c>
      <c r="E34" s="13">
        <f t="shared" si="12"/>
        <v>40.358726424400253</v>
      </c>
      <c r="F34" s="13">
        <f t="shared" si="12"/>
        <v>49.668129044349747</v>
      </c>
      <c r="G34" s="13">
        <f t="shared" si="12"/>
        <v>51.679514875315654</v>
      </c>
      <c r="H34" s="13">
        <f t="shared" si="12"/>
        <v>54.299710976957066</v>
      </c>
      <c r="I34" s="13">
        <f t="shared" si="12"/>
        <v>58.361014934501263</v>
      </c>
      <c r="J34" s="13">
        <f t="shared" si="12"/>
        <v>57.228165443497474</v>
      </c>
      <c r="K34" s="13">
        <f t="shared" si="12"/>
        <v>62.114060527146457</v>
      </c>
      <c r="L34" s="13">
        <f t="shared" si="12"/>
        <v>63.146726049558076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698</v>
      </c>
      <c r="D36" s="73">
        <v>587.4</v>
      </c>
      <c r="E36" s="73">
        <v>631.1</v>
      </c>
      <c r="F36" s="73">
        <v>677.1</v>
      </c>
      <c r="G36" s="73">
        <v>837.3</v>
      </c>
      <c r="H36" s="73">
        <v>837.4</v>
      </c>
      <c r="I36" s="73">
        <v>811.1</v>
      </c>
      <c r="J36" s="73">
        <v>986.2</v>
      </c>
      <c r="K36" s="73">
        <v>974.2</v>
      </c>
      <c r="L36" s="73">
        <v>987.5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82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1.2176646706586827</v>
      </c>
      <c r="D40" s="37">
        <f t="shared" ref="D40:P40" si="13">$D$33/D33</f>
        <v>1</v>
      </c>
      <c r="E40" s="37">
        <f t="shared" si="13"/>
        <v>0.77658965056329965</v>
      </c>
      <c r="F40" s="37">
        <f t="shared" si="13"/>
        <v>0.63103180760279287</v>
      </c>
      <c r="G40" s="37">
        <f t="shared" si="13"/>
        <v>0.60647181628392488</v>
      </c>
      <c r="H40" s="37">
        <f t="shared" si="13"/>
        <v>0.57720692591541312</v>
      </c>
      <c r="I40" s="37">
        <f t="shared" si="13"/>
        <v>0.53703948237158328</v>
      </c>
      <c r="J40" s="37">
        <f t="shared" si="13"/>
        <v>0.54767034742795584</v>
      </c>
      <c r="K40" s="37">
        <f t="shared" si="13"/>
        <v>0.50459057071960312</v>
      </c>
      <c r="L40" s="37">
        <f t="shared" si="13"/>
        <v>0.49633878447644625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1.0201538375104722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3.3757440000000001</v>
      </c>
      <c r="D50" s="17">
        <f>$C$48*(D47*($C$43+ 3*D15+D16*D28+D12*D21*D22*D23*($C$44 + D25*($C$45 + D9*$C$46)) ) )/1000000000</f>
        <v>4.1105242059880238</v>
      </c>
      <c r="E50" s="17">
        <f t="shared" ref="E50:P50" si="15">$C$48*(E47*($C$43+ 3*E15+E16*E28+E12*E21*E22*E23*($C$44 + E25*($C$45 + E9*$C$46)) ) )/1000000000</f>
        <v>4.2794203068681451</v>
      </c>
      <c r="F50" s="17">
        <f t="shared" si="15"/>
        <v>4.4204298793908068</v>
      </c>
      <c r="G50" s="17">
        <f t="shared" si="15"/>
        <v>4.4578418093609526</v>
      </c>
      <c r="H50" s="17">
        <f t="shared" si="15"/>
        <v>4.5246259563176698</v>
      </c>
      <c r="I50" s="17">
        <f t="shared" si="15"/>
        <v>4.6581942502311069</v>
      </c>
      <c r="J50" s="17">
        <f t="shared" si="15"/>
        <v>4.6305678447265723</v>
      </c>
      <c r="K50" s="17">
        <f t="shared" si="15"/>
        <v>4.7670118327848137</v>
      </c>
      <c r="L50" s="17">
        <f t="shared" si="15"/>
        <v>4.903455820843055</v>
      </c>
      <c r="M50" s="17">
        <f t="shared" si="15"/>
        <v>4.9723945666639171</v>
      </c>
      <c r="N50" s="17">
        <f t="shared" si="15"/>
        <v>5.1145899430117696</v>
      </c>
      <c r="O50" s="17">
        <f t="shared" si="15"/>
        <v>5.3989806957074711</v>
      </c>
      <c r="P50" s="17">
        <f t="shared" si="15"/>
        <v>5.6833714484031734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3.3757440000000001</v>
      </c>
      <c r="D51" s="60">
        <f>(D47*($C$43+ 3*D15+D16*D28+D12*D21*D22*D23*($C$44 + D25*($C$45 + D9*$C$46)) ) )/1000000000</f>
        <v>4.029317986019759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26.015033143939394</v>
      </c>
      <c r="D52" s="29">
        <f t="shared" ref="D52:P52" si="16">1000000000*D50/D14</f>
        <v>31.677586765389673</v>
      </c>
      <c r="E52" s="29">
        <f t="shared" si="16"/>
        <v>32.979177662767697</v>
      </c>
      <c r="F52" s="29">
        <f t="shared" si="16"/>
        <v>34.065862169291236</v>
      </c>
      <c r="G52" s="29">
        <f t="shared" si="16"/>
        <v>34.354175678299043</v>
      </c>
      <c r="H52" s="29">
        <f t="shared" si="16"/>
        <v>34.868844976850333</v>
      </c>
      <c r="I52" s="29">
        <f t="shared" si="16"/>
        <v>35.898183573952927</v>
      </c>
      <c r="J52" s="29">
        <f t="shared" si="16"/>
        <v>35.68528180923132</v>
      </c>
      <c r="K52" s="29">
        <f t="shared" si="16"/>
        <v>36.736781825709592</v>
      </c>
      <c r="L52" s="29">
        <f t="shared" si="16"/>
        <v>37.788281842187864</v>
      </c>
      <c r="M52" s="29">
        <f t="shared" si="16"/>
        <v>38.319555468811018</v>
      </c>
      <c r="N52" s="29">
        <f t="shared" si="16"/>
        <v>39.415378324040645</v>
      </c>
      <c r="O52" s="29">
        <f t="shared" si="16"/>
        <v>41.607024034499901</v>
      </c>
      <c r="P52" s="29">
        <f t="shared" si="16"/>
        <v>43.798669744959156</v>
      </c>
    </row>
    <row r="53" spans="1:16" s="12" customFormat="1" x14ac:dyDescent="0.15">
      <c r="B53" s="10" t="s">
        <v>58</v>
      </c>
      <c r="C53" s="17">
        <f>$D$50/C50</f>
        <v>1.2176646706586827</v>
      </c>
      <c r="D53" s="17">
        <f t="shared" ref="D53:P53" si="17">$D$50/D50</f>
        <v>1</v>
      </c>
      <c r="E53" s="17">
        <f t="shared" si="17"/>
        <v>0.96053294867787209</v>
      </c>
      <c r="F53" s="17">
        <f t="shared" si="17"/>
        <v>0.9298924127611109</v>
      </c>
      <c r="G53" s="17">
        <f t="shared" si="17"/>
        <v>0.92208839653224073</v>
      </c>
      <c r="H53" s="17">
        <f t="shared" si="17"/>
        <v>0.90847823569781683</v>
      </c>
      <c r="I53" s="17">
        <f t="shared" si="17"/>
        <v>0.88242868055235968</v>
      </c>
      <c r="J53" s="17">
        <f t="shared" si="17"/>
        <v>0.88769333347943713</v>
      </c>
      <c r="K53" s="17">
        <f t="shared" si="17"/>
        <v>0.86228529531186837</v>
      </c>
      <c r="L53" s="17">
        <f t="shared" si="17"/>
        <v>0.83829126970319034</v>
      </c>
      <c r="M53" s="17">
        <f t="shared" si="17"/>
        <v>0.82666895212739722</v>
      </c>
      <c r="N53" s="17">
        <f t="shared" si="17"/>
        <v>0.80368597517859008</v>
      </c>
      <c r="O53" s="17">
        <f t="shared" si="17"/>
        <v>0.76135189911980028</v>
      </c>
      <c r="P53" s="17">
        <f t="shared" si="17"/>
        <v>0.72325454060246863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3.3757440000000001</v>
      </c>
      <c r="D56" s="57">
        <f>$C$69*(D47*($C$62+ $C$63*3*D15+D16*D28+D12*D21*D22*D23*($C$66 + D25*($C$67 + D9*$C$68)) ) + $C$64*(D27)^2 + $C$65*((D27)^2)/(D10/D25) )/1000000000</f>
        <v>4.1105242059880238</v>
      </c>
      <c r="E56" s="57">
        <f t="shared" ref="E56:P56" si="18">$C$69*(E47*($C$62+ $C$63*3*E15+E16*E28+E12*E21*E22*E23*($C$66 + E25*($C$67 + E9*$C$68)) ) + $C$64*(E27)^2 + $C$65*((E27)^2)/(E10/E25) )/1000000000</f>
        <v>4.2794203068681451</v>
      </c>
      <c r="F56" s="57">
        <f t="shared" si="18"/>
        <v>4.4204298793908068</v>
      </c>
      <c r="G56" s="57">
        <f t="shared" si="18"/>
        <v>4.4578418093609526</v>
      </c>
      <c r="H56" s="57">
        <f t="shared" si="18"/>
        <v>4.5246259563176698</v>
      </c>
      <c r="I56" s="57">
        <f t="shared" si="18"/>
        <v>4.6581942502311069</v>
      </c>
      <c r="J56" s="57">
        <f t="shared" si="18"/>
        <v>4.6305678447265723</v>
      </c>
      <c r="K56" s="57">
        <f t="shared" si="18"/>
        <v>4.7670118327848137</v>
      </c>
      <c r="L56" s="57">
        <f t="shared" si="18"/>
        <v>4.903455820843055</v>
      </c>
      <c r="M56" s="57">
        <f t="shared" si="18"/>
        <v>4.9723945666639171</v>
      </c>
      <c r="N56" s="57">
        <f t="shared" si="18"/>
        <v>5.1145899430117696</v>
      </c>
      <c r="O56" s="57">
        <f t="shared" si="18"/>
        <v>5.3989806957074711</v>
      </c>
      <c r="P56" s="57">
        <f t="shared" si="18"/>
        <v>5.6833714484031734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3.3757440000000001</v>
      </c>
      <c r="D57" s="60">
        <f>(D47*($C$43+ $C$63*3*D15+D16*D28+D12*D21*D22*D23*($C$44 + D25*($C$45 + D9*$C$46)) ) + $C$64*(D27)^2 + $C$65*((D27)^2)/(D10/D25) )/1000000000</f>
        <v>4.029317986019759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26.015033143939394</v>
      </c>
      <c r="D58" s="29">
        <f t="shared" ref="D58:P58" si="19">1000000000*D56/D14</f>
        <v>31.677586765389673</v>
      </c>
      <c r="E58" s="29">
        <f t="shared" si="19"/>
        <v>32.979177662767697</v>
      </c>
      <c r="F58" s="29">
        <f t="shared" si="19"/>
        <v>34.065862169291236</v>
      </c>
      <c r="G58" s="29">
        <f t="shared" si="19"/>
        <v>34.354175678299043</v>
      </c>
      <c r="H58" s="29">
        <f t="shared" si="19"/>
        <v>34.868844976850333</v>
      </c>
      <c r="I58" s="29">
        <f t="shared" si="19"/>
        <v>35.898183573952927</v>
      </c>
      <c r="J58" s="29">
        <f t="shared" si="19"/>
        <v>35.68528180923132</v>
      </c>
      <c r="K58" s="29">
        <f t="shared" si="19"/>
        <v>36.736781825709592</v>
      </c>
      <c r="L58" s="29">
        <f t="shared" si="19"/>
        <v>37.788281842187864</v>
      </c>
      <c r="M58" s="29">
        <f t="shared" si="19"/>
        <v>38.319555468811018</v>
      </c>
      <c r="N58" s="29">
        <f t="shared" si="19"/>
        <v>39.415378324040645</v>
      </c>
      <c r="O58" s="29">
        <f t="shared" si="19"/>
        <v>41.607024034499901</v>
      </c>
      <c r="P58" s="29">
        <f t="shared" si="19"/>
        <v>43.798669744959156</v>
      </c>
    </row>
    <row r="59" spans="1:16" s="12" customFormat="1" x14ac:dyDescent="0.15">
      <c r="B59" s="10" t="s">
        <v>58</v>
      </c>
      <c r="C59" s="17">
        <f>$D$56/C56</f>
        <v>1.2176646706586827</v>
      </c>
      <c r="D59" s="17">
        <f t="shared" ref="D59:P59" si="20">$D$56/D56</f>
        <v>1</v>
      </c>
      <c r="E59" s="17">
        <f t="shared" si="20"/>
        <v>0.96053294867787209</v>
      </c>
      <c r="F59" s="17">
        <f t="shared" si="20"/>
        <v>0.9298924127611109</v>
      </c>
      <c r="G59" s="17">
        <f t="shared" si="20"/>
        <v>0.92208839653224073</v>
      </c>
      <c r="H59" s="17">
        <f t="shared" si="20"/>
        <v>0.90847823569781683</v>
      </c>
      <c r="I59" s="17">
        <f t="shared" si="20"/>
        <v>0.88242868055235968</v>
      </c>
      <c r="J59" s="17">
        <f t="shared" si="20"/>
        <v>0.88769333347943713</v>
      </c>
      <c r="K59" s="17">
        <f t="shared" si="20"/>
        <v>0.86228529531186837</v>
      </c>
      <c r="L59" s="17">
        <f t="shared" si="20"/>
        <v>0.83829126970319034</v>
      </c>
      <c r="M59" s="17">
        <f t="shared" si="20"/>
        <v>0.82666895212739722</v>
      </c>
      <c r="N59" s="17">
        <f t="shared" si="20"/>
        <v>0.80368597517859008</v>
      </c>
      <c r="O59" s="17">
        <f t="shared" si="20"/>
        <v>0.76135189911980028</v>
      </c>
      <c r="P59" s="17">
        <f t="shared" si="20"/>
        <v>0.72325454060246863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1.0201538375104722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R75"/>
  <sheetViews>
    <sheetView workbookViewId="0">
      <selection activeCell="C60" sqref="C60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8.33203125" style="1" customWidth="1"/>
    <col min="4" max="7" width="8.6640625" style="1" customWidth="1"/>
    <col min="8" max="8" width="9.1640625" style="1" customWidth="1"/>
    <col min="9" max="9" width="10.33203125" style="1" customWidth="1"/>
    <col min="10" max="12" width="9.6640625" style="1" customWidth="1"/>
    <col min="13" max="13" width="11" style="1" customWidth="1"/>
    <col min="14" max="14" width="10.6640625" style="1"/>
    <col min="15" max="15" width="10.33203125" style="1" bestFit="1" customWidth="1"/>
    <col min="16" max="16" width="11.6640625" style="1" customWidth="1"/>
    <col min="17" max="17" width="12" style="1" customWidth="1"/>
    <col min="18" max="16384" width="10.6640625" style="1"/>
  </cols>
  <sheetData>
    <row r="1" spans="1:18" s="33" customFormat="1" ht="18" customHeight="1" thickBot="1" x14ac:dyDescent="0.25">
      <c r="A1" s="41" t="s">
        <v>37</v>
      </c>
      <c r="B1" s="41"/>
      <c r="C1" s="41"/>
      <c r="D1" s="41"/>
      <c r="E1" s="41"/>
      <c r="F1" s="41"/>
      <c r="G1" s="41"/>
      <c r="H1" s="41"/>
    </row>
    <row r="2" spans="1:18" s="2" customFormat="1" ht="18" customHeight="1" thickBot="1" x14ac:dyDescent="0.2">
      <c r="B2" s="50"/>
      <c r="C2" s="45" t="s">
        <v>40</v>
      </c>
      <c r="D2" s="46" t="s">
        <v>48</v>
      </c>
      <c r="E2" s="45" t="s">
        <v>41</v>
      </c>
      <c r="F2" s="46" t="s">
        <v>42</v>
      </c>
      <c r="G2" s="45" t="s">
        <v>43</v>
      </c>
      <c r="H2" s="46" t="s">
        <v>39</v>
      </c>
      <c r="I2" s="45" t="s">
        <v>44</v>
      </c>
      <c r="J2" s="47">
        <v>40324</v>
      </c>
      <c r="K2" s="42"/>
      <c r="L2" s="43"/>
      <c r="M2" s="43"/>
      <c r="N2" s="43"/>
      <c r="O2" s="43"/>
      <c r="P2" s="44"/>
      <c r="Q2" s="43"/>
    </row>
    <row r="3" spans="1:18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8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 t="shared" ref="K4:R4" si="0">2*J4</f>
        <v>16384</v>
      </c>
      <c r="L4" s="51">
        <f t="shared" si="0"/>
        <v>32768</v>
      </c>
      <c r="M4" s="51">
        <f t="shared" si="0"/>
        <v>65536</v>
      </c>
      <c r="N4" s="51">
        <f t="shared" si="0"/>
        <v>131072</v>
      </c>
      <c r="O4" s="51">
        <f t="shared" si="0"/>
        <v>262144</v>
      </c>
      <c r="P4" s="51">
        <f t="shared" si="0"/>
        <v>524288</v>
      </c>
      <c r="Q4" s="51">
        <f t="shared" si="0"/>
        <v>1048576</v>
      </c>
      <c r="R4" s="51">
        <f t="shared" si="0"/>
        <v>2097152</v>
      </c>
    </row>
    <row r="5" spans="1:18" ht="18" customHeight="1" x14ac:dyDescent="0.2">
      <c r="A5" s="18" t="s">
        <v>18</v>
      </c>
      <c r="B5" s="5"/>
    </row>
    <row r="6" spans="1:18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1">2*G6</f>
        <v>256</v>
      </c>
      <c r="K6" s="1">
        <f t="shared" si="1"/>
        <v>512</v>
      </c>
      <c r="L6" s="1">
        <f t="shared" si="1"/>
        <v>512</v>
      </c>
      <c r="M6" s="1">
        <v>512</v>
      </c>
      <c r="N6" s="1">
        <v>1024</v>
      </c>
      <c r="O6" s="1">
        <v>1024</v>
      </c>
      <c r="P6" s="1">
        <v>1024</v>
      </c>
      <c r="Q6" s="1">
        <v>2048</v>
      </c>
      <c r="R6" s="1">
        <v>2048</v>
      </c>
    </row>
    <row r="7" spans="1:18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1"/>
        <v>256</v>
      </c>
      <c r="K7" s="1">
        <f t="shared" si="1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  <c r="Q7" s="1">
        <v>1024</v>
      </c>
      <c r="R7" s="1">
        <v>2048</v>
      </c>
    </row>
    <row r="8" spans="1:18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1"/>
        <v>512</v>
      </c>
      <c r="K8" s="1">
        <f t="shared" si="1"/>
        <v>512</v>
      </c>
      <c r="L8" s="1">
        <f t="shared" si="1"/>
        <v>512</v>
      </c>
      <c r="M8" s="1">
        <v>1024</v>
      </c>
      <c r="N8" s="1">
        <v>1024</v>
      </c>
      <c r="O8" s="1">
        <v>1024</v>
      </c>
      <c r="P8" s="1">
        <v>2048</v>
      </c>
      <c r="Q8" s="1">
        <v>2048</v>
      </c>
      <c r="R8" s="1">
        <v>2048</v>
      </c>
    </row>
    <row r="9" spans="1:18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</row>
    <row r="10" spans="1:18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  <c r="Q10" s="1">
        <v>80</v>
      </c>
      <c r="R10" s="1">
        <v>80</v>
      </c>
    </row>
    <row r="11" spans="1:18" x14ac:dyDescent="0.15">
      <c r="B11" s="6" t="s">
        <v>35</v>
      </c>
      <c r="C11" s="56">
        <f>C6*C7*C8</f>
        <v>4096</v>
      </c>
      <c r="D11" s="8">
        <f t="shared" ref="D11:R11" si="2">D6*D7*D8</f>
        <v>32768</v>
      </c>
      <c r="E11" s="8">
        <f t="shared" si="2"/>
        <v>262144</v>
      </c>
      <c r="F11" s="8">
        <f t="shared" si="2"/>
        <v>2097152</v>
      </c>
      <c r="G11" s="8">
        <f t="shared" si="2"/>
        <v>4194304</v>
      </c>
      <c r="H11" s="8">
        <f t="shared" si="2"/>
        <v>8388608</v>
      </c>
      <c r="I11" s="8">
        <f t="shared" si="2"/>
        <v>16777216</v>
      </c>
      <c r="J11" s="8">
        <f t="shared" si="2"/>
        <v>33554432</v>
      </c>
      <c r="K11" s="8">
        <f t="shared" si="2"/>
        <v>67108864</v>
      </c>
      <c r="L11" s="8">
        <f t="shared" si="2"/>
        <v>134217728</v>
      </c>
      <c r="M11" s="8">
        <f t="shared" si="2"/>
        <v>268435456</v>
      </c>
      <c r="N11" s="8">
        <f t="shared" si="2"/>
        <v>536870912</v>
      </c>
      <c r="O11" s="8">
        <f t="shared" si="2"/>
        <v>1073741824</v>
      </c>
      <c r="P11" s="8">
        <f t="shared" si="2"/>
        <v>2147483648</v>
      </c>
      <c r="Q11" s="8">
        <f t="shared" si="2"/>
        <v>4294967296</v>
      </c>
      <c r="R11" s="8">
        <f t="shared" si="2"/>
        <v>8589934592</v>
      </c>
    </row>
    <row r="12" spans="1:18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  <c r="Q12" s="1">
        <v>8</v>
      </c>
      <c r="R12" s="1">
        <v>8</v>
      </c>
    </row>
    <row r="13" spans="1:18" x14ac:dyDescent="0.15">
      <c r="B13" s="6" t="s">
        <v>25</v>
      </c>
      <c r="C13" s="34">
        <f>C9*C10*C11*C12</f>
        <v>2621440</v>
      </c>
      <c r="D13" s="34">
        <f t="shared" ref="D13:R13" si="3">D11*D12*D10*D9</f>
        <v>20971520</v>
      </c>
      <c r="E13" s="34">
        <f t="shared" si="3"/>
        <v>167772160</v>
      </c>
      <c r="F13" s="34">
        <f t="shared" si="3"/>
        <v>1342177280</v>
      </c>
      <c r="G13" s="34">
        <f t="shared" si="3"/>
        <v>2684354560</v>
      </c>
      <c r="H13" s="34">
        <f t="shared" si="3"/>
        <v>5368709120</v>
      </c>
      <c r="I13" s="34">
        <f t="shared" si="3"/>
        <v>10737418240</v>
      </c>
      <c r="J13" s="34">
        <f t="shared" si="3"/>
        <v>21474836480</v>
      </c>
      <c r="K13" s="34">
        <f t="shared" si="3"/>
        <v>42949672960</v>
      </c>
      <c r="L13" s="34">
        <f t="shared" si="3"/>
        <v>85899345920</v>
      </c>
      <c r="M13" s="34">
        <f t="shared" si="3"/>
        <v>171798691840</v>
      </c>
      <c r="N13" s="34">
        <f t="shared" si="3"/>
        <v>343597383680</v>
      </c>
      <c r="O13" s="34">
        <f t="shared" si="3"/>
        <v>687194767360</v>
      </c>
      <c r="P13" s="34">
        <f t="shared" si="3"/>
        <v>1374389534720</v>
      </c>
      <c r="Q13" s="34">
        <f t="shared" si="3"/>
        <v>2748779069440</v>
      </c>
      <c r="R13" s="34">
        <f t="shared" si="3"/>
        <v>5497558138880</v>
      </c>
    </row>
    <row r="14" spans="1:18" x14ac:dyDescent="0.15">
      <c r="B14" s="6" t="s">
        <v>26</v>
      </c>
      <c r="C14" s="34">
        <f t="shared" ref="C14:R14" si="4">C13/C4</f>
        <v>2621440</v>
      </c>
      <c r="D14" s="34">
        <f t="shared" si="4"/>
        <v>2621440</v>
      </c>
      <c r="E14" s="34">
        <f t="shared" si="4"/>
        <v>2621440</v>
      </c>
      <c r="F14" s="34">
        <f t="shared" si="4"/>
        <v>2621440</v>
      </c>
      <c r="G14" s="34">
        <f t="shared" si="4"/>
        <v>2621440</v>
      </c>
      <c r="H14" s="34">
        <f t="shared" si="4"/>
        <v>2621440</v>
      </c>
      <c r="I14" s="34">
        <f t="shared" si="4"/>
        <v>2621440</v>
      </c>
      <c r="J14" s="34">
        <f t="shared" si="4"/>
        <v>2621440</v>
      </c>
      <c r="K14" s="34">
        <f t="shared" si="4"/>
        <v>2621440</v>
      </c>
      <c r="L14" s="34">
        <f t="shared" si="4"/>
        <v>2621440</v>
      </c>
      <c r="M14" s="34">
        <f t="shared" si="4"/>
        <v>2621440</v>
      </c>
      <c r="N14" s="34">
        <f t="shared" si="4"/>
        <v>2621440</v>
      </c>
      <c r="O14" s="34">
        <f t="shared" si="4"/>
        <v>2621440</v>
      </c>
      <c r="P14" s="34">
        <f t="shared" si="4"/>
        <v>2621440</v>
      </c>
      <c r="Q14" s="34">
        <f t="shared" si="4"/>
        <v>2621440</v>
      </c>
      <c r="R14" s="34">
        <f t="shared" si="4"/>
        <v>2621440</v>
      </c>
    </row>
    <row r="15" spans="1:18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  <c r="Q15" s="34">
        <v>4114.74</v>
      </c>
      <c r="R15" s="34">
        <v>4114.74</v>
      </c>
    </row>
    <row r="16" spans="1:18" x14ac:dyDescent="0.15">
      <c r="B16" s="6" t="s">
        <v>5</v>
      </c>
      <c r="C16" s="34"/>
      <c r="D16" s="34">
        <f>1/0.2239</f>
        <v>4.4662795891022782</v>
      </c>
      <c r="E16" s="34">
        <f t="shared" ref="E16:R16" si="5">1/0.2239</f>
        <v>4.4662795891022782</v>
      </c>
      <c r="F16" s="34">
        <f t="shared" si="5"/>
        <v>4.4662795891022782</v>
      </c>
      <c r="G16" s="34">
        <f t="shared" si="5"/>
        <v>4.4662795891022782</v>
      </c>
      <c r="H16" s="34">
        <f t="shared" si="5"/>
        <v>4.4662795891022782</v>
      </c>
      <c r="I16" s="34">
        <f t="shared" si="5"/>
        <v>4.4662795891022782</v>
      </c>
      <c r="J16" s="34">
        <f t="shared" si="5"/>
        <v>4.4662795891022782</v>
      </c>
      <c r="K16" s="34">
        <f t="shared" si="5"/>
        <v>4.4662795891022782</v>
      </c>
      <c r="L16" s="34">
        <f t="shared" si="5"/>
        <v>4.4662795891022782</v>
      </c>
      <c r="M16" s="34">
        <f t="shared" si="5"/>
        <v>4.4662795891022782</v>
      </c>
      <c r="N16" s="34">
        <f t="shared" si="5"/>
        <v>4.4662795891022782</v>
      </c>
      <c r="O16" s="34">
        <f t="shared" si="5"/>
        <v>4.4662795891022782</v>
      </c>
      <c r="P16" s="34">
        <f t="shared" si="5"/>
        <v>4.4662795891022782</v>
      </c>
      <c r="Q16" s="34">
        <f t="shared" si="5"/>
        <v>4.4662795891022782</v>
      </c>
      <c r="R16" s="34">
        <f t="shared" si="5"/>
        <v>4.4662795891022782</v>
      </c>
    </row>
    <row r="17" spans="1:1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  <c r="Q17" s="24"/>
      <c r="R17" s="24"/>
    </row>
    <row r="18" spans="1:1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6">2*H18</f>
        <v>64</v>
      </c>
      <c r="K18" s="1">
        <f t="shared" si="6"/>
        <v>128</v>
      </c>
      <c r="L18" s="1">
        <f t="shared" si="6"/>
        <v>128</v>
      </c>
      <c r="M18" s="1">
        <v>256</v>
      </c>
      <c r="N18" s="1">
        <v>256</v>
      </c>
      <c r="O18" s="1">
        <v>512</v>
      </c>
      <c r="P18" s="1">
        <v>512</v>
      </c>
      <c r="Q18" s="1">
        <v>1024</v>
      </c>
      <c r="R18" s="1">
        <v>1024</v>
      </c>
    </row>
    <row r="19" spans="1:1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6"/>
        <v>64</v>
      </c>
      <c r="K19" s="1">
        <f t="shared" si="6"/>
        <v>64</v>
      </c>
      <c r="L19" s="1">
        <f t="shared" si="6"/>
        <v>128</v>
      </c>
      <c r="M19" s="1">
        <v>128</v>
      </c>
      <c r="N19" s="1">
        <v>256</v>
      </c>
      <c r="O19" s="1">
        <v>256</v>
      </c>
      <c r="P19" s="1">
        <v>512</v>
      </c>
      <c r="Q19" s="1">
        <v>512</v>
      </c>
      <c r="R19" s="1">
        <v>1024</v>
      </c>
    </row>
    <row r="20" spans="1:1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  <c r="Q20" s="7">
        <v>2</v>
      </c>
      <c r="R20" s="7">
        <v>2</v>
      </c>
    </row>
    <row r="21" spans="1:18" x14ac:dyDescent="0.15">
      <c r="B21" s="6" t="s">
        <v>28</v>
      </c>
      <c r="C21" s="7">
        <f>C6/C18</f>
        <v>16</v>
      </c>
      <c r="D21" s="7">
        <f t="shared" ref="D21:R22" si="7">D6/D18</f>
        <v>16</v>
      </c>
      <c r="E21" s="7">
        <f t="shared" si="7"/>
        <v>8</v>
      </c>
      <c r="F21" s="7">
        <f t="shared" si="7"/>
        <v>8</v>
      </c>
      <c r="G21" s="7">
        <f t="shared" si="7"/>
        <v>4</v>
      </c>
      <c r="H21" s="7">
        <f t="shared" si="7"/>
        <v>8</v>
      </c>
      <c r="I21" s="7">
        <f t="shared" si="7"/>
        <v>4</v>
      </c>
      <c r="J21" s="7">
        <f t="shared" si="7"/>
        <v>4</v>
      </c>
      <c r="K21" s="7">
        <f t="shared" si="7"/>
        <v>4</v>
      </c>
      <c r="L21" s="7">
        <f t="shared" si="7"/>
        <v>4</v>
      </c>
      <c r="M21" s="7">
        <f t="shared" si="7"/>
        <v>2</v>
      </c>
      <c r="N21" s="7">
        <f t="shared" si="7"/>
        <v>4</v>
      </c>
      <c r="O21" s="7">
        <f t="shared" si="7"/>
        <v>2</v>
      </c>
      <c r="P21" s="7">
        <f t="shared" si="7"/>
        <v>2</v>
      </c>
      <c r="Q21" s="7">
        <f t="shared" si="7"/>
        <v>2</v>
      </c>
      <c r="R21" s="7">
        <f t="shared" si="7"/>
        <v>2</v>
      </c>
    </row>
    <row r="22" spans="1:18" x14ac:dyDescent="0.15">
      <c r="B22" s="6" t="s">
        <v>29</v>
      </c>
      <c r="C22" s="7">
        <f>C7/C19</f>
        <v>16</v>
      </c>
      <c r="D22" s="7">
        <f t="shared" si="7"/>
        <v>16</v>
      </c>
      <c r="E22" s="7">
        <f t="shared" si="7"/>
        <v>16</v>
      </c>
      <c r="F22" s="7">
        <f t="shared" si="7"/>
        <v>8</v>
      </c>
      <c r="G22" s="7">
        <f t="shared" si="7"/>
        <v>8</v>
      </c>
      <c r="H22" s="7">
        <f t="shared" si="7"/>
        <v>4</v>
      </c>
      <c r="I22" s="7">
        <f t="shared" si="7"/>
        <v>8</v>
      </c>
      <c r="J22" s="7">
        <f t="shared" si="7"/>
        <v>4</v>
      </c>
      <c r="K22" s="7">
        <f t="shared" si="7"/>
        <v>4</v>
      </c>
      <c r="L22" s="7">
        <f t="shared" si="7"/>
        <v>4</v>
      </c>
      <c r="M22" s="7">
        <f t="shared" si="7"/>
        <v>4</v>
      </c>
      <c r="N22" s="7">
        <f t="shared" si="7"/>
        <v>2</v>
      </c>
      <c r="O22" s="7">
        <f t="shared" si="7"/>
        <v>4</v>
      </c>
      <c r="P22" s="7">
        <f t="shared" si="7"/>
        <v>2</v>
      </c>
      <c r="Q22" s="7">
        <f t="shared" si="7"/>
        <v>2</v>
      </c>
      <c r="R22" s="7">
        <f t="shared" si="7"/>
        <v>2</v>
      </c>
    </row>
    <row r="23" spans="1:1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  <c r="Q23" s="36">
        <v>1</v>
      </c>
      <c r="R23" s="36">
        <v>1</v>
      </c>
    </row>
    <row r="24" spans="1:18" s="2" customFormat="1" x14ac:dyDescent="0.15">
      <c r="B24" s="10" t="s">
        <v>32</v>
      </c>
      <c r="C24" s="7">
        <f>C9</f>
        <v>1</v>
      </c>
      <c r="D24" s="7">
        <f t="shared" ref="D24:L24" si="8">D9</f>
        <v>1</v>
      </c>
      <c r="E24" s="7">
        <f t="shared" si="8"/>
        <v>1</v>
      </c>
      <c r="F24" s="7">
        <f t="shared" si="8"/>
        <v>1</v>
      </c>
      <c r="G24" s="7">
        <f t="shared" si="8"/>
        <v>1</v>
      </c>
      <c r="H24" s="7">
        <f t="shared" si="8"/>
        <v>1</v>
      </c>
      <c r="I24" s="7">
        <f t="shared" si="8"/>
        <v>1</v>
      </c>
      <c r="J24" s="7">
        <f t="shared" si="8"/>
        <v>1</v>
      </c>
      <c r="K24" s="7">
        <f t="shared" si="8"/>
        <v>1</v>
      </c>
      <c r="L24" s="7">
        <f t="shared" si="8"/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</row>
    <row r="25" spans="1:1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  <c r="Q25" s="38">
        <v>10</v>
      </c>
      <c r="R25" s="38">
        <v>10</v>
      </c>
    </row>
    <row r="26" spans="1:18" x14ac:dyDescent="0.15">
      <c r="B26" s="10" t="s">
        <v>49</v>
      </c>
      <c r="C26" s="7">
        <f>(C6/(C18*C21))*(C7/(C19*C22))*(C8/(C20*C23))*(C9/C24)</f>
        <v>16</v>
      </c>
      <c r="D26" s="7">
        <f t="shared" ref="D26:R26" si="9">(D6/(D18*D21))*(D7/(D19*D22))*(D8/(D20*D23))*(D9/D24)</f>
        <v>16</v>
      </c>
      <c r="E26" s="7">
        <f t="shared" si="9"/>
        <v>32</v>
      </c>
      <c r="F26" s="7">
        <f t="shared" si="9"/>
        <v>64</v>
      </c>
      <c r="G26" s="7">
        <f t="shared" si="9"/>
        <v>128</v>
      </c>
      <c r="H26" s="7">
        <f t="shared" si="9"/>
        <v>128</v>
      </c>
      <c r="I26" s="7">
        <f t="shared" si="9"/>
        <v>128</v>
      </c>
      <c r="J26" s="7">
        <f t="shared" si="9"/>
        <v>256</v>
      </c>
      <c r="K26" s="7">
        <f t="shared" si="9"/>
        <v>256</v>
      </c>
      <c r="L26" s="7">
        <f t="shared" si="9"/>
        <v>256</v>
      </c>
      <c r="M26" s="7">
        <f t="shared" si="9"/>
        <v>512</v>
      </c>
      <c r="N26" s="7">
        <f t="shared" si="9"/>
        <v>512</v>
      </c>
      <c r="O26" s="7">
        <f t="shared" si="9"/>
        <v>512</v>
      </c>
      <c r="P26" s="7">
        <f t="shared" si="9"/>
        <v>1024</v>
      </c>
      <c r="Q26" s="7">
        <f t="shared" si="9"/>
        <v>1024</v>
      </c>
      <c r="R26" s="7">
        <f t="shared" si="9"/>
        <v>1024</v>
      </c>
    </row>
    <row r="27" spans="1:18" x14ac:dyDescent="0.15">
      <c r="B27" s="10" t="s">
        <v>8</v>
      </c>
      <c r="C27" s="1">
        <f t="shared" ref="C27:R27" si="10">(C6/(C18*C21))*(C7/(C19*C22))*(C8/(C20*C23))*(C10/C25)*(C9/C24)</f>
        <v>128</v>
      </c>
      <c r="D27" s="1">
        <f t="shared" si="10"/>
        <v>128</v>
      </c>
      <c r="E27" s="1">
        <f t="shared" si="10"/>
        <v>256</v>
      </c>
      <c r="F27" s="1">
        <f t="shared" si="10"/>
        <v>512</v>
      </c>
      <c r="G27" s="1">
        <f t="shared" si="10"/>
        <v>1024</v>
      </c>
      <c r="H27" s="1">
        <f t="shared" si="10"/>
        <v>1024</v>
      </c>
      <c r="I27" s="1">
        <f t="shared" si="10"/>
        <v>1024</v>
      </c>
      <c r="J27" s="1">
        <f t="shared" si="10"/>
        <v>2048</v>
      </c>
      <c r="K27" s="1">
        <f t="shared" si="10"/>
        <v>2048</v>
      </c>
      <c r="L27" s="1">
        <f t="shared" si="10"/>
        <v>2048</v>
      </c>
      <c r="M27" s="1">
        <f t="shared" si="10"/>
        <v>4096</v>
      </c>
      <c r="N27" s="1">
        <f t="shared" si="10"/>
        <v>4096</v>
      </c>
      <c r="O27" s="1">
        <f t="shared" si="10"/>
        <v>4096</v>
      </c>
      <c r="P27" s="1">
        <f t="shared" si="10"/>
        <v>8192</v>
      </c>
      <c r="Q27" s="1">
        <f t="shared" si="10"/>
        <v>8192</v>
      </c>
      <c r="R27" s="1">
        <f t="shared" si="10"/>
        <v>8192</v>
      </c>
    </row>
    <row r="28" spans="1:18" x14ac:dyDescent="0.15">
      <c r="B28" s="10" t="s">
        <v>50</v>
      </c>
      <c r="D28" s="1">
        <f>( D21*D23 + D22*D23 + D21*D22)*D24*D25*4</f>
        <v>11520</v>
      </c>
      <c r="E28" s="1">
        <f t="shared" ref="E28:R28" si="11">( E21*E23 + E22*E23 + E21*E22)*E24*E25*4</f>
        <v>6080</v>
      </c>
      <c r="F28" s="1">
        <f t="shared" si="11"/>
        <v>3200</v>
      </c>
      <c r="G28" s="1">
        <f t="shared" si="11"/>
        <v>1760</v>
      </c>
      <c r="H28" s="1">
        <f t="shared" si="11"/>
        <v>1760</v>
      </c>
      <c r="I28" s="1">
        <f t="shared" si="11"/>
        <v>1760</v>
      </c>
      <c r="J28" s="1">
        <f t="shared" si="11"/>
        <v>960</v>
      </c>
      <c r="K28" s="1">
        <f t="shared" si="11"/>
        <v>960</v>
      </c>
      <c r="L28" s="1">
        <f t="shared" si="11"/>
        <v>960</v>
      </c>
      <c r="M28" s="1">
        <f t="shared" si="11"/>
        <v>560</v>
      </c>
      <c r="N28" s="1">
        <f t="shared" si="11"/>
        <v>560</v>
      </c>
      <c r="O28" s="1">
        <f t="shared" si="11"/>
        <v>560</v>
      </c>
      <c r="P28" s="1">
        <f t="shared" si="11"/>
        <v>320</v>
      </c>
      <c r="Q28" s="1">
        <f t="shared" si="11"/>
        <v>320</v>
      </c>
      <c r="R28" s="1">
        <f t="shared" si="11"/>
        <v>320</v>
      </c>
    </row>
    <row r="29" spans="1:18" ht="18" customHeight="1" thickBot="1" x14ac:dyDescent="0.25">
      <c r="A29" s="20" t="s">
        <v>20</v>
      </c>
      <c r="B29" s="11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23"/>
      <c r="P29" s="23"/>
      <c r="Q29" s="23"/>
    </row>
    <row r="30" spans="1:18" s="12" customFormat="1" x14ac:dyDescent="0.15">
      <c r="B30" s="10" t="s">
        <v>38</v>
      </c>
      <c r="C30" s="40">
        <v>257.16500000000002</v>
      </c>
      <c r="D30" s="39">
        <v>290.02</v>
      </c>
      <c r="E30" s="39">
        <v>310.27199999999999</v>
      </c>
      <c r="F30" s="39">
        <v>337.04399999999998</v>
      </c>
      <c r="G30" s="39">
        <v>342.65699999999998</v>
      </c>
      <c r="H30" s="39">
        <v>353.99299999999999</v>
      </c>
      <c r="I30" s="39">
        <v>372.45400000000001</v>
      </c>
      <c r="J30" s="39">
        <v>384.22300000000001</v>
      </c>
      <c r="K30" s="39">
        <v>395.99099999999999</v>
      </c>
      <c r="L30" s="39">
        <v>407.93</v>
      </c>
      <c r="M30" s="39">
        <v>444.72699999999998</v>
      </c>
      <c r="N30" s="39">
        <v>458.52</v>
      </c>
      <c r="O30" s="39">
        <v>0</v>
      </c>
      <c r="P30" s="39">
        <v>0</v>
      </c>
      <c r="Q30" s="39">
        <v>0</v>
      </c>
      <c r="R30" s="39">
        <v>0</v>
      </c>
    </row>
    <row r="31" spans="1:18" s="12" customFormat="1" x14ac:dyDescent="0.15">
      <c r="B31" s="10" t="s">
        <v>36</v>
      </c>
      <c r="C31" s="40">
        <v>300.32499999999999</v>
      </c>
      <c r="D31" s="39">
        <v>342.96199999999999</v>
      </c>
      <c r="E31" s="39">
        <v>367.68200000000002</v>
      </c>
      <c r="F31" s="39">
        <v>400.20100000000002</v>
      </c>
      <c r="G31" s="39">
        <v>408.65300000000002</v>
      </c>
      <c r="H31" s="39">
        <v>421.99299999999999</v>
      </c>
      <c r="I31" s="39">
        <v>440.13900000000001</v>
      </c>
      <c r="J31" s="39">
        <v>457.76600000000002</v>
      </c>
      <c r="K31" s="39">
        <v>470.81900000000002</v>
      </c>
      <c r="L31" s="39">
        <v>483.64499999999998</v>
      </c>
      <c r="M31" s="39">
        <v>535.84299999999996</v>
      </c>
      <c r="N31" s="39">
        <v>546.08699999999999</v>
      </c>
      <c r="O31" s="39">
        <v>0</v>
      </c>
      <c r="P31" s="39">
        <v>0</v>
      </c>
      <c r="Q31" s="39">
        <v>0</v>
      </c>
      <c r="R31" s="39">
        <v>0</v>
      </c>
    </row>
    <row r="32" spans="1:18" x14ac:dyDescent="0.15">
      <c r="B32" s="6" t="s">
        <v>33</v>
      </c>
      <c r="C32" s="36">
        <v>46</v>
      </c>
      <c r="D32" s="38">
        <v>49</v>
      </c>
      <c r="E32" s="38">
        <v>50</v>
      </c>
      <c r="F32" s="38">
        <v>53</v>
      </c>
      <c r="G32" s="38">
        <v>53</v>
      </c>
      <c r="H32" s="38">
        <v>54</v>
      </c>
      <c r="I32" s="38">
        <v>55</v>
      </c>
      <c r="J32" s="38">
        <v>55</v>
      </c>
      <c r="K32" s="38">
        <v>55</v>
      </c>
      <c r="L32" s="38">
        <v>55</v>
      </c>
      <c r="M32" s="38">
        <v>55</v>
      </c>
      <c r="N32" s="38">
        <v>55</v>
      </c>
      <c r="O32" s="38">
        <v>0</v>
      </c>
      <c r="P32" s="38">
        <v>0</v>
      </c>
      <c r="Q32" s="38">
        <v>0</v>
      </c>
      <c r="R32" s="38">
        <v>0</v>
      </c>
    </row>
    <row r="33" spans="1:18" s="52" customFormat="1" x14ac:dyDescent="0.15">
      <c r="B33" s="10" t="s">
        <v>34</v>
      </c>
      <c r="C33" s="17">
        <f t="shared" ref="C33:R33" si="12">C30/C32</f>
        <v>5.5905434782608703</v>
      </c>
      <c r="D33" s="17">
        <f t="shared" si="12"/>
        <v>5.9187755102040809</v>
      </c>
      <c r="E33" s="17">
        <f t="shared" si="12"/>
        <v>6.2054399999999994</v>
      </c>
      <c r="F33" s="17">
        <f t="shared" si="12"/>
        <v>6.3593207547169808</v>
      </c>
      <c r="G33" s="17">
        <f t="shared" si="12"/>
        <v>6.4652264150943397</v>
      </c>
      <c r="H33" s="17">
        <f t="shared" si="12"/>
        <v>6.5554259259259258</v>
      </c>
      <c r="I33" s="17">
        <f t="shared" si="12"/>
        <v>6.7718909090909092</v>
      </c>
      <c r="J33" s="17">
        <f t="shared" si="12"/>
        <v>6.9858727272727279</v>
      </c>
      <c r="K33" s="17">
        <f t="shared" si="12"/>
        <v>7.1998363636363631</v>
      </c>
      <c r="L33" s="17">
        <f t="shared" si="12"/>
        <v>7.4169090909090913</v>
      </c>
      <c r="M33" s="17">
        <f t="shared" si="12"/>
        <v>8.0859454545454543</v>
      </c>
      <c r="N33" s="17">
        <f t="shared" si="12"/>
        <v>8.3367272727272717</v>
      </c>
      <c r="O33" s="17" t="e">
        <f t="shared" si="12"/>
        <v>#DIV/0!</v>
      </c>
      <c r="P33" s="17" t="e">
        <f t="shared" si="12"/>
        <v>#DIV/0!</v>
      </c>
      <c r="Q33" s="17" t="e">
        <f t="shared" si="12"/>
        <v>#DIV/0!</v>
      </c>
      <c r="R33" s="17" t="e">
        <f t="shared" si="12"/>
        <v>#DIV/0!</v>
      </c>
    </row>
    <row r="34" spans="1:18" x14ac:dyDescent="0.15">
      <c r="B34" s="6" t="s">
        <v>56</v>
      </c>
      <c r="C34" s="13">
        <f t="shared" ref="C34:R34" si="13">1000000000*C33/C14</f>
        <v>2132.6230919879417</v>
      </c>
      <c r="D34" s="13">
        <f t="shared" si="13"/>
        <v>2257.833675462372</v>
      </c>
      <c r="E34" s="13">
        <f t="shared" si="13"/>
        <v>2367.1874999999995</v>
      </c>
      <c r="F34" s="13">
        <f t="shared" si="13"/>
        <v>2425.8883494251177</v>
      </c>
      <c r="G34" s="13">
        <f t="shared" si="13"/>
        <v>2466.2881527306899</v>
      </c>
      <c r="H34" s="13">
        <f t="shared" si="13"/>
        <v>2500.6965354636864</v>
      </c>
      <c r="I34" s="13">
        <f t="shared" si="13"/>
        <v>2583.2713734019885</v>
      </c>
      <c r="J34" s="13">
        <f t="shared" si="13"/>
        <v>2664.8989590731535</v>
      </c>
      <c r="K34" s="13">
        <f t="shared" si="13"/>
        <v>2746.5196089311075</v>
      </c>
      <c r="L34" s="13">
        <f t="shared" si="13"/>
        <v>2829.3262828480115</v>
      </c>
      <c r="M34" s="13">
        <f t="shared" si="13"/>
        <v>3084.543401544744</v>
      </c>
      <c r="N34" s="13">
        <f t="shared" si="13"/>
        <v>3180.209073153409</v>
      </c>
      <c r="O34" s="13" t="e">
        <f t="shared" si="13"/>
        <v>#DIV/0!</v>
      </c>
      <c r="P34" s="13" t="e">
        <f t="shared" si="13"/>
        <v>#DIV/0!</v>
      </c>
      <c r="Q34" s="13" t="e">
        <f t="shared" si="13"/>
        <v>#DIV/0!</v>
      </c>
      <c r="R34" s="13" t="e">
        <f t="shared" si="13"/>
        <v>#DIV/0!</v>
      </c>
    </row>
    <row r="35" spans="1:18" x14ac:dyDescent="0.15">
      <c r="B35" s="30" t="s">
        <v>12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15">
      <c r="B36" s="10" t="s">
        <v>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15">
      <c r="B37" s="10" t="s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15">
      <c r="B38" s="10" t="s">
        <v>51</v>
      </c>
      <c r="C38" s="37">
        <f>$D$33/C33</f>
        <v>1.0587120077358416</v>
      </c>
      <c r="D38" s="37">
        <f t="shared" ref="D38:P38" si="14">$D$33/D33</f>
        <v>1</v>
      </c>
      <c r="E38" s="37">
        <f t="shared" si="14"/>
        <v>0.95380432494780087</v>
      </c>
      <c r="F38" s="37">
        <f t="shared" si="14"/>
        <v>0.93072448119775553</v>
      </c>
      <c r="G38" s="37">
        <f t="shared" si="14"/>
        <v>0.91547845816900364</v>
      </c>
      <c r="H38" s="37">
        <f t="shared" si="14"/>
        <v>0.90288191447576749</v>
      </c>
      <c r="I38" s="37">
        <f t="shared" si="14"/>
        <v>0.87402109538687844</v>
      </c>
      <c r="J38" s="37">
        <f t="shared" si="14"/>
        <v>0.84724926165592485</v>
      </c>
      <c r="K38" s="37">
        <f t="shared" si="14"/>
        <v>0.82207083762313904</v>
      </c>
      <c r="L38" s="37">
        <f t="shared" si="14"/>
        <v>0.79801106332268879</v>
      </c>
      <c r="M38" s="37">
        <f t="shared" si="14"/>
        <v>0.73198311112485737</v>
      </c>
      <c r="N38" s="37">
        <f t="shared" si="14"/>
        <v>0.70996391228566802</v>
      </c>
      <c r="O38" s="37" t="e">
        <f t="shared" si="14"/>
        <v>#DIV/0!</v>
      </c>
      <c r="P38" s="37" t="e">
        <f t="shared" si="14"/>
        <v>#DIV/0!</v>
      </c>
      <c r="Q38" s="37" t="e">
        <f>$C$33/Q33</f>
        <v>#DIV/0!</v>
      </c>
      <c r="R38" s="37" t="e">
        <f>$C$33/R33</f>
        <v>#DIV/0!</v>
      </c>
    </row>
    <row r="39" spans="1:18" ht="18" customHeight="1" thickBot="1" x14ac:dyDescent="0.25">
      <c r="A39" s="21" t="s">
        <v>21</v>
      </c>
      <c r="B39" s="14"/>
      <c r="C39" s="7"/>
    </row>
    <row r="40" spans="1:18" ht="18" customHeight="1" x14ac:dyDescent="0.15">
      <c r="A40" s="28" t="s">
        <v>63</v>
      </c>
      <c r="B40" s="10"/>
      <c r="C40" s="7"/>
    </row>
    <row r="41" spans="1:18" x14ac:dyDescent="0.15">
      <c r="B41" s="10" t="s">
        <v>53</v>
      </c>
      <c r="C41" s="59">
        <v>180000</v>
      </c>
    </row>
    <row r="42" spans="1:18" x14ac:dyDescent="0.15">
      <c r="B42" s="10" t="s">
        <v>60</v>
      </c>
      <c r="C42" s="34">
        <v>7050</v>
      </c>
    </row>
    <row r="43" spans="1:18" x14ac:dyDescent="0.15">
      <c r="B43" s="10" t="s">
        <v>61</v>
      </c>
      <c r="C43" s="1">
        <v>710</v>
      </c>
    </row>
    <row r="44" spans="1:18" x14ac:dyDescent="0.15">
      <c r="B44" s="10" t="s">
        <v>62</v>
      </c>
      <c r="C44" s="1">
        <v>710</v>
      </c>
    </row>
    <row r="45" spans="1:18" s="28" customFormat="1" x14ac:dyDescent="0.15">
      <c r="B45" s="10" t="s">
        <v>54</v>
      </c>
      <c r="C45" s="16">
        <f t="shared" ref="C45:R45" si="15">C27 + C18 - (2 - MOD(C18,2)) + C19 - (2  - MOD(C19,2)) + (C8/(C20*C23))*(C20 - (2 - MOD(C20,2)))</f>
        <v>128</v>
      </c>
      <c r="D45" s="16">
        <f t="shared" si="15"/>
        <v>128</v>
      </c>
      <c r="E45" s="16">
        <f t="shared" si="15"/>
        <v>264</v>
      </c>
      <c r="F45" s="16">
        <f t="shared" si="15"/>
        <v>540</v>
      </c>
      <c r="G45" s="16">
        <f t="shared" si="15"/>
        <v>1068</v>
      </c>
      <c r="H45" s="16">
        <f t="shared" si="15"/>
        <v>1084</v>
      </c>
      <c r="I45" s="16">
        <f t="shared" si="15"/>
        <v>1116</v>
      </c>
      <c r="J45" s="16">
        <f t="shared" si="15"/>
        <v>2172</v>
      </c>
      <c r="K45" s="16">
        <f t="shared" si="15"/>
        <v>2236</v>
      </c>
      <c r="L45" s="16">
        <f t="shared" si="15"/>
        <v>2300</v>
      </c>
      <c r="M45" s="16">
        <f t="shared" si="15"/>
        <v>4476</v>
      </c>
      <c r="N45" s="16">
        <f t="shared" si="15"/>
        <v>4604</v>
      </c>
      <c r="O45" s="16">
        <f t="shared" si="15"/>
        <v>4860</v>
      </c>
      <c r="P45" s="16">
        <f t="shared" si="15"/>
        <v>9212</v>
      </c>
      <c r="Q45" s="16">
        <f t="shared" si="15"/>
        <v>9724</v>
      </c>
      <c r="R45" s="16">
        <f t="shared" si="15"/>
        <v>10236</v>
      </c>
    </row>
    <row r="46" spans="1:18" x14ac:dyDescent="0.15">
      <c r="B46" s="10" t="s">
        <v>52</v>
      </c>
      <c r="C46" s="35">
        <f>(D33/C33)/(D49/C49)</f>
        <v>1.0571686923789878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</row>
    <row r="47" spans="1:18" s="12" customFormat="1" ht="18" customHeight="1" x14ac:dyDescent="0.15">
      <c r="A47" s="15" t="s">
        <v>57</v>
      </c>
      <c r="B47" s="9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 s="52" customFormat="1" x14ac:dyDescent="0.15">
      <c r="B48" s="10" t="s">
        <v>47</v>
      </c>
      <c r="C48" s="17">
        <f>(C45*($C$41+C12*C21*C22*C23*($C$42 + C25*($C$43 + C9*$C$44)) ) )/1000000000</f>
        <v>5.5936000000000003</v>
      </c>
      <c r="D48" s="17">
        <f>$C$46*(D45*($C$41+ 3*D15+D16*D28+D12*D21*D22*D23*($C$42 + D25*($C$43 + D9*$C$44)) ) )/1000000000</f>
        <v>5.9220114864712041</v>
      </c>
      <c r="E48" s="17">
        <f t="shared" ref="E48:R48" si="16">$C$46*(E45*($C$41+ 3*E15+E16*E28+E12*E21*E22*E23*($C$42 + E25*($C$43 + E9*$C$44)) ) )/1000000000</f>
        <v>6.1343141450725547</v>
      </c>
      <c r="F48" s="17">
        <f t="shared" si="16"/>
        <v>6.329040200465621</v>
      </c>
      <c r="G48" s="17">
        <f t="shared" si="16"/>
        <v>6.3681080739997347</v>
      </c>
      <c r="H48" s="17">
        <f t="shared" si="16"/>
        <v>6.4635104421495431</v>
      </c>
      <c r="I48" s="17">
        <f t="shared" si="16"/>
        <v>6.6543151784491616</v>
      </c>
      <c r="J48" s="17">
        <f t="shared" si="16"/>
        <v>6.69708371756031</v>
      </c>
      <c r="K48" s="17">
        <f t="shared" si="16"/>
        <v>6.8944195177094176</v>
      </c>
      <c r="L48" s="17">
        <f t="shared" si="16"/>
        <v>7.0917553178585244</v>
      </c>
      <c r="M48" s="17">
        <f t="shared" si="16"/>
        <v>7.3573525394377288</v>
      </c>
      <c r="N48" s="17">
        <f t="shared" si="16"/>
        <v>7.5677504672858147</v>
      </c>
      <c r="O48" s="17">
        <f t="shared" si="16"/>
        <v>7.9885463229819837</v>
      </c>
      <c r="P48" s="17">
        <f t="shared" si="16"/>
        <v>8.50936311854033</v>
      </c>
      <c r="Q48" s="17">
        <f t="shared" si="16"/>
        <v>8.9823107864400953</v>
      </c>
      <c r="R48" s="17">
        <f t="shared" si="16"/>
        <v>9.4552584543398606</v>
      </c>
    </row>
    <row r="49" spans="1:18" s="52" customFormat="1" hidden="1" x14ac:dyDescent="0.15">
      <c r="B49" s="27" t="s">
        <v>66</v>
      </c>
      <c r="C49" s="60">
        <f>(C45*($C$41+C12*C21*C22*C23*($C$42 + C25*($C$43 + C9*$C$44)) ) )/1000000000</f>
        <v>5.5936000000000003</v>
      </c>
      <c r="D49" s="60">
        <f>(D45*($C$41+ 3*D15+D16*D28+D12*D21*D22*D23*($C$42 + D25*($C$43 + D9*$C$44)) ) )/1000000000</f>
        <v>5.6017658573909062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s="12" customFormat="1" x14ac:dyDescent="0.15">
      <c r="B50" s="10" t="s">
        <v>56</v>
      </c>
      <c r="C50" s="29">
        <f>1000000000*C48/C14</f>
        <v>2133.7890625</v>
      </c>
      <c r="D50" s="29">
        <f t="shared" ref="D50:R50" si="17">1000000000*D48/D14</f>
        <v>2259.0681024441542</v>
      </c>
      <c r="E50" s="29">
        <f t="shared" si="17"/>
        <v>2340.0551395693033</v>
      </c>
      <c r="F50" s="29">
        <f t="shared" si="17"/>
        <v>2414.3372346746905</v>
      </c>
      <c r="G50" s="29">
        <f t="shared" si="17"/>
        <v>2429.2404457091275</v>
      </c>
      <c r="H50" s="29">
        <f t="shared" si="17"/>
        <v>2465.6335610006495</v>
      </c>
      <c r="I50" s="29">
        <f t="shared" si="17"/>
        <v>2538.4197915836949</v>
      </c>
      <c r="J50" s="29">
        <f t="shared" si="17"/>
        <v>2554.7346945039026</v>
      </c>
      <c r="K50" s="29">
        <f t="shared" si="17"/>
        <v>2630.0123282277746</v>
      </c>
      <c r="L50" s="29">
        <f t="shared" si="17"/>
        <v>2705.2899619516465</v>
      </c>
      <c r="M50" s="29">
        <f t="shared" si="17"/>
        <v>2806.6072614432255</v>
      </c>
      <c r="N50" s="29">
        <f t="shared" si="17"/>
        <v>2886.8677014487512</v>
      </c>
      <c r="O50" s="29">
        <f t="shared" si="17"/>
        <v>3047.3885814598025</v>
      </c>
      <c r="P50" s="29">
        <f t="shared" si="17"/>
        <v>3246.0644220506019</v>
      </c>
      <c r="Q50" s="29">
        <f t="shared" si="17"/>
        <v>3426.4796396026977</v>
      </c>
      <c r="R50" s="29">
        <f t="shared" si="17"/>
        <v>3606.894857154793</v>
      </c>
    </row>
    <row r="51" spans="1:18" s="12" customFormat="1" x14ac:dyDescent="0.15">
      <c r="B51" s="10" t="s">
        <v>58</v>
      </c>
      <c r="C51" s="17">
        <f>$D$48/C48</f>
        <v>1.0587120077358416</v>
      </c>
      <c r="D51" s="17">
        <f t="shared" ref="D51:R51" si="18">$D$48/D48</f>
        <v>1</v>
      </c>
      <c r="E51" s="17">
        <f t="shared" si="18"/>
        <v>0.96539097059907097</v>
      </c>
      <c r="F51" s="17">
        <f t="shared" si="18"/>
        <v>0.9356887140700304</v>
      </c>
      <c r="G51" s="17">
        <f t="shared" si="18"/>
        <v>0.92994833279449318</v>
      </c>
      <c r="H51" s="17">
        <f t="shared" si="18"/>
        <v>0.91622215814069996</v>
      </c>
      <c r="I51" s="17">
        <f t="shared" si="18"/>
        <v>0.88995055503989118</v>
      </c>
      <c r="J51" s="17">
        <f t="shared" si="18"/>
        <v>0.88426720289358152</v>
      </c>
      <c r="K51" s="17">
        <f t="shared" si="18"/>
        <v>0.85895722928660956</v>
      </c>
      <c r="L51" s="17">
        <f t="shared" si="18"/>
        <v>0.83505581073254731</v>
      </c>
      <c r="M51" s="17">
        <f t="shared" si="18"/>
        <v>0.80491065974171494</v>
      </c>
      <c r="N51" s="17">
        <f t="shared" si="18"/>
        <v>0.78253260490962551</v>
      </c>
      <c r="O51" s="17">
        <f t="shared" si="18"/>
        <v>0.7413127804534807</v>
      </c>
      <c r="P51" s="17">
        <f t="shared" si="18"/>
        <v>0.6959406249297595</v>
      </c>
      <c r="Q51" s="17">
        <f t="shared" si="18"/>
        <v>0.65929710374876027</v>
      </c>
      <c r="R51" s="17">
        <f t="shared" si="18"/>
        <v>0.62631936663276144</v>
      </c>
    </row>
    <row r="52" spans="1:18" s="12" customFormat="1" x14ac:dyDescent="0.15">
      <c r="B52" s="10" t="s">
        <v>36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s="12" customFormat="1" ht="18" customHeight="1" x14ac:dyDescent="0.15">
      <c r="A53" s="15" t="s">
        <v>64</v>
      </c>
      <c r="B53" s="9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</row>
    <row r="54" spans="1:18" s="52" customFormat="1" x14ac:dyDescent="0.15">
      <c r="B54" s="10" t="s">
        <v>47</v>
      </c>
      <c r="C54" s="57">
        <f>(C45*($C$60+ C12*C21*C22*C23*($C$64 + C25*($C$65 + C9*$C$66)) ) + $C$62*(C27)^2 + $C$63*((C27)^2)/(C10/C25) )/1000000000</f>
        <v>5.5937638400000003</v>
      </c>
      <c r="D54" s="57">
        <f>$C$67*(D45*($C$60+ $C$61*3*D15+D16*D28+D12*D21*D22*D23*($C$64 + D25*($C$65 + D9*$C$66)) ) + $C$62*(D27)^2 + $C$63*((D27)^2)/(D10/D25) )/1000000000</f>
        <v>5.922184945846551</v>
      </c>
      <c r="E54" s="57">
        <f t="shared" ref="E54:R54" si="19">$C$67*(E45*($C$60+ $C$61*3*E15+E16*E28+E12*E21*E22*E23*($C$64 + E25*($C$65 + E9*$C$66)) ) + $C$62*(E27)^2 + $C$63*((E27)^2)/(E10/E25) )/1000000000</f>
        <v>6.1521066202011827</v>
      </c>
      <c r="F54" s="57">
        <f t="shared" si="19"/>
        <v>6.3842741077329528</v>
      </c>
      <c r="G54" s="57">
        <f t="shared" si="19"/>
        <v>6.5002324242578808</v>
      </c>
      <c r="H54" s="57">
        <f t="shared" si="19"/>
        <v>6.5974485798417319</v>
      </c>
      <c r="I54" s="57">
        <f t="shared" si="19"/>
        <v>6.791880891009435</v>
      </c>
      <c r="J54" s="57">
        <f t="shared" si="19"/>
        <v>7.0051108480506521</v>
      </c>
      <c r="K54" s="57">
        <f t="shared" si="19"/>
        <v>7.2102200839079611</v>
      </c>
      <c r="L54" s="57">
        <f t="shared" si="19"/>
        <v>7.4153293197652674</v>
      </c>
      <c r="M54" s="57">
        <f t="shared" si="19"/>
        <v>8.095995636437614</v>
      </c>
      <c r="N54" s="57">
        <f t="shared" si="19"/>
        <v>8.322458721674133</v>
      </c>
      <c r="O54" s="57">
        <f t="shared" si="19"/>
        <v>8.7753848921471675</v>
      </c>
      <c r="P54" s="57">
        <f t="shared" si="19"/>
        <v>10.391666002801546</v>
      </c>
      <c r="Q54" s="57">
        <f t="shared" si="19"/>
        <v>10.929911144172436</v>
      </c>
      <c r="R54" s="57">
        <f t="shared" si="19"/>
        <v>11.468156285543321</v>
      </c>
    </row>
    <row r="55" spans="1:18" s="12" customFormat="1" hidden="1" x14ac:dyDescent="0.15">
      <c r="B55" s="27" t="s">
        <v>66</v>
      </c>
      <c r="C55" s="60">
        <f>(C45*($C$41+C12*C21*C22*C23*($C$42 + C25*($C$43 + C9*$C$44)) ) + $C$62*(C27)^2 + $C$63*((C27)^2)/(C10/C25) )/1000000000</f>
        <v>5.5937638400000003</v>
      </c>
      <c r="D55" s="60">
        <f>(D45*($C$41+ $C$61*3*D15+D16*D28+D12*D21*D22*D23*($C$42 + D25*($C$43 + D9*$C$44)) ) + $C$62*(D27)^2 + $C$63*((D27)^2)/(D10/D25) )/1000000000</f>
        <v>5.6177302989909066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</row>
    <row r="56" spans="1:18" s="12" customFormat="1" x14ac:dyDescent="0.15">
      <c r="B56" s="10" t="s">
        <v>56</v>
      </c>
      <c r="C56" s="29">
        <f>1000000000*C54/C14</f>
        <v>2133.8515625</v>
      </c>
      <c r="D56" s="29">
        <f t="shared" ref="D56:R56" si="20">1000000000*D54/D14</f>
        <v>2259.1342719446375</v>
      </c>
      <c r="E56" s="29">
        <f t="shared" si="20"/>
        <v>2346.8424301914911</v>
      </c>
      <c r="F56" s="29">
        <f t="shared" si="20"/>
        <v>2435.4072981769382</v>
      </c>
      <c r="G56" s="29">
        <f t="shared" si="20"/>
        <v>2479.6418854743506</v>
      </c>
      <c r="H56" s="29">
        <f t="shared" si="20"/>
        <v>2516.7269057623794</v>
      </c>
      <c r="I56" s="29">
        <f t="shared" si="20"/>
        <v>2590.8969463384378</v>
      </c>
      <c r="J56" s="29">
        <f t="shared" si="20"/>
        <v>2672.237719745885</v>
      </c>
      <c r="K56" s="29">
        <f t="shared" si="20"/>
        <v>2750.4806838638156</v>
      </c>
      <c r="L56" s="29">
        <f t="shared" si="20"/>
        <v>2828.7236479817457</v>
      </c>
      <c r="M56" s="29">
        <f t="shared" si="20"/>
        <v>3088.3772416830498</v>
      </c>
      <c r="N56" s="29">
        <f t="shared" si="20"/>
        <v>3174.766052884725</v>
      </c>
      <c r="O56" s="29">
        <f t="shared" si="20"/>
        <v>3347.5436752880732</v>
      </c>
      <c r="P56" s="29">
        <f t="shared" si="20"/>
        <v>3964.1059886175331</v>
      </c>
      <c r="Q56" s="29">
        <f t="shared" si="20"/>
        <v>4169.4302155198802</v>
      </c>
      <c r="R56" s="29">
        <f t="shared" si="20"/>
        <v>4374.7544424222269</v>
      </c>
    </row>
    <row r="57" spans="1:18" s="12" customFormat="1" x14ac:dyDescent="0.15">
      <c r="B57" s="10" t="s">
        <v>58</v>
      </c>
      <c r="C57" s="17">
        <f>$D$54/C54</f>
        <v>1.0587120077358416</v>
      </c>
      <c r="D57" s="17">
        <f t="shared" ref="D57:R57" si="21">$D$54/D54</f>
        <v>1</v>
      </c>
      <c r="E57" s="17">
        <f t="shared" si="21"/>
        <v>0.96262716358008882</v>
      </c>
      <c r="F57" s="17">
        <f t="shared" si="21"/>
        <v>0.92762072021207609</v>
      </c>
      <c r="G57" s="17">
        <f t="shared" si="21"/>
        <v>0.91107279852730427</v>
      </c>
      <c r="H57" s="17">
        <f t="shared" si="21"/>
        <v>0.89764776097559518</v>
      </c>
      <c r="I57" s="17">
        <f t="shared" si="21"/>
        <v>0.87195064826385282</v>
      </c>
      <c r="J57" s="17">
        <f t="shared" si="21"/>
        <v>0.8454091697199263</v>
      </c>
      <c r="K57" s="17">
        <f t="shared" si="21"/>
        <v>0.82135980274220821</v>
      </c>
      <c r="L57" s="17">
        <f t="shared" si="21"/>
        <v>0.79864085470367463</v>
      </c>
      <c r="M57" s="17">
        <f t="shared" si="21"/>
        <v>0.7314955703771131</v>
      </c>
      <c r="N57" s="17">
        <f t="shared" si="21"/>
        <v>0.7115907863169616</v>
      </c>
      <c r="O57" s="17">
        <f t="shared" si="21"/>
        <v>0.67486327023059001</v>
      </c>
      <c r="P57" s="17">
        <f t="shared" si="21"/>
        <v>0.5698975452299907</v>
      </c>
      <c r="Q57" s="17">
        <f t="shared" si="21"/>
        <v>0.54183285369196399</v>
      </c>
      <c r="R57" s="17">
        <f t="shared" si="21"/>
        <v>0.51640253222848176</v>
      </c>
    </row>
    <row r="58" spans="1:18" s="12" customFormat="1" x14ac:dyDescent="0.15">
      <c r="B58" s="10" t="s">
        <v>36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</row>
    <row r="59" spans="1:18" s="12" customFormat="1" ht="18" customHeight="1" x14ac:dyDescent="0.15">
      <c r="A59" s="15" t="s">
        <v>65</v>
      </c>
      <c r="B59" s="9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B60" s="10" t="s">
        <v>53</v>
      </c>
      <c r="C60" s="59">
        <v>180000</v>
      </c>
    </row>
    <row r="61" spans="1:18" x14ac:dyDescent="0.15">
      <c r="B61" s="10" t="s">
        <v>55</v>
      </c>
      <c r="C61" s="53">
        <v>11</v>
      </c>
    </row>
    <row r="62" spans="1:18" x14ac:dyDescent="0.15">
      <c r="B62" s="10" t="s">
        <v>59</v>
      </c>
      <c r="C62" s="53">
        <v>10</v>
      </c>
    </row>
    <row r="63" spans="1:18" x14ac:dyDescent="0.15">
      <c r="B63" s="10" t="s">
        <v>67</v>
      </c>
      <c r="C63" s="53">
        <v>0</v>
      </c>
    </row>
    <row r="64" spans="1:18" x14ac:dyDescent="0.15">
      <c r="B64" s="10" t="s">
        <v>60</v>
      </c>
      <c r="C64" s="34">
        <v>7050</v>
      </c>
    </row>
    <row r="65" spans="1:18" x14ac:dyDescent="0.15">
      <c r="B65" s="10" t="s">
        <v>61</v>
      </c>
      <c r="C65" s="1">
        <v>710</v>
      </c>
    </row>
    <row r="66" spans="1:18" x14ac:dyDescent="0.15">
      <c r="B66" s="10" t="s">
        <v>62</v>
      </c>
      <c r="C66" s="1">
        <v>710</v>
      </c>
    </row>
    <row r="67" spans="1:18" x14ac:dyDescent="0.15">
      <c r="B67" s="6" t="s">
        <v>52</v>
      </c>
      <c r="C67" s="35">
        <f>(D33/C33)/(D55/C55)</f>
        <v>1.0541953121014607</v>
      </c>
    </row>
    <row r="68" spans="1:18" s="12" customFormat="1" x14ac:dyDescent="0.15">
      <c r="B68" s="10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</row>
    <row r="69" spans="1:18" ht="17" thickBot="1" x14ac:dyDescent="0.25">
      <c r="A69" s="20" t="s">
        <v>13</v>
      </c>
      <c r="B69" s="49"/>
    </row>
    <row r="70" spans="1:18" x14ac:dyDescent="0.15">
      <c r="B70" s="27" t="s">
        <v>14</v>
      </c>
      <c r="C70" s="34">
        <f t="shared" ref="C70:R70" si="22">C18*C19*C20-C4</f>
        <v>0</v>
      </c>
      <c r="D70" s="34">
        <f t="shared" si="22"/>
        <v>0</v>
      </c>
      <c r="E70" s="34">
        <f t="shared" si="22"/>
        <v>0</v>
      </c>
      <c r="F70" s="34">
        <f t="shared" si="22"/>
        <v>0</v>
      </c>
      <c r="G70" s="34">
        <f t="shared" si="22"/>
        <v>0</v>
      </c>
      <c r="H70" s="34">
        <f t="shared" si="22"/>
        <v>0</v>
      </c>
      <c r="I70" s="34">
        <f t="shared" si="22"/>
        <v>0</v>
      </c>
      <c r="J70" s="34">
        <f t="shared" si="22"/>
        <v>0</v>
      </c>
      <c r="K70" s="34">
        <f t="shared" si="22"/>
        <v>0</v>
      </c>
      <c r="L70" s="34">
        <f t="shared" si="22"/>
        <v>0</v>
      </c>
      <c r="M70" s="34">
        <f t="shared" si="22"/>
        <v>0</v>
      </c>
      <c r="N70" s="34">
        <f t="shared" si="22"/>
        <v>0</v>
      </c>
      <c r="O70" s="34">
        <f t="shared" si="22"/>
        <v>0</v>
      </c>
      <c r="P70" s="34">
        <f t="shared" si="22"/>
        <v>0</v>
      </c>
      <c r="Q70" s="34">
        <f t="shared" si="22"/>
        <v>0</v>
      </c>
      <c r="R70" s="34">
        <f t="shared" si="22"/>
        <v>0</v>
      </c>
    </row>
    <row r="71" spans="1:18" x14ac:dyDescent="0.15">
      <c r="B71" s="27" t="s">
        <v>15</v>
      </c>
      <c r="C71" s="34">
        <f t="shared" ref="C71:R71" si="23">C11/C4 - $C$11</f>
        <v>0</v>
      </c>
      <c r="D71" s="34">
        <f t="shared" si="23"/>
        <v>0</v>
      </c>
      <c r="E71" s="34">
        <f t="shared" si="23"/>
        <v>0</v>
      </c>
      <c r="F71" s="34">
        <f t="shared" si="23"/>
        <v>0</v>
      </c>
      <c r="G71" s="34">
        <f t="shared" si="23"/>
        <v>0</v>
      </c>
      <c r="H71" s="34">
        <f t="shared" si="23"/>
        <v>0</v>
      </c>
      <c r="I71" s="34">
        <f t="shared" si="23"/>
        <v>0</v>
      </c>
      <c r="J71" s="34">
        <f t="shared" si="23"/>
        <v>0</v>
      </c>
      <c r="K71" s="34">
        <f t="shared" si="23"/>
        <v>0</v>
      </c>
      <c r="L71" s="34">
        <f t="shared" si="23"/>
        <v>0</v>
      </c>
      <c r="M71" s="34">
        <f t="shared" si="23"/>
        <v>0</v>
      </c>
      <c r="N71" s="34">
        <f t="shared" si="23"/>
        <v>0</v>
      </c>
      <c r="O71" s="34">
        <f t="shared" si="23"/>
        <v>0</v>
      </c>
      <c r="P71" s="34">
        <f t="shared" si="23"/>
        <v>0</v>
      </c>
      <c r="Q71" s="34">
        <f t="shared" si="23"/>
        <v>0</v>
      </c>
      <c r="R71" s="34">
        <f t="shared" si="23"/>
        <v>0</v>
      </c>
    </row>
    <row r="72" spans="1:18" x14ac:dyDescent="0.15">
      <c r="B72" s="27" t="s">
        <v>9</v>
      </c>
      <c r="C72" s="34">
        <f t="shared" ref="C72:R72" si="24">C18*C21-C6</f>
        <v>0</v>
      </c>
      <c r="D72" s="34">
        <f t="shared" si="24"/>
        <v>0</v>
      </c>
      <c r="E72" s="34">
        <f t="shared" si="24"/>
        <v>0</v>
      </c>
      <c r="F72" s="34">
        <f t="shared" si="24"/>
        <v>0</v>
      </c>
      <c r="G72" s="34">
        <f t="shared" si="24"/>
        <v>0</v>
      </c>
      <c r="H72" s="34">
        <f t="shared" si="24"/>
        <v>0</v>
      </c>
      <c r="I72" s="34">
        <f t="shared" si="24"/>
        <v>0</v>
      </c>
      <c r="J72" s="34">
        <f t="shared" si="24"/>
        <v>0</v>
      </c>
      <c r="K72" s="34">
        <f t="shared" si="24"/>
        <v>0</v>
      </c>
      <c r="L72" s="34">
        <f t="shared" si="24"/>
        <v>0</v>
      </c>
      <c r="M72" s="34">
        <f t="shared" si="24"/>
        <v>0</v>
      </c>
      <c r="N72" s="34">
        <f t="shared" si="24"/>
        <v>0</v>
      </c>
      <c r="O72" s="34">
        <f t="shared" si="24"/>
        <v>0</v>
      </c>
      <c r="P72" s="34">
        <f t="shared" si="24"/>
        <v>0</v>
      </c>
      <c r="Q72" s="34">
        <f t="shared" si="24"/>
        <v>0</v>
      </c>
      <c r="R72" s="34">
        <f t="shared" si="24"/>
        <v>0</v>
      </c>
    </row>
    <row r="73" spans="1:18" x14ac:dyDescent="0.15">
      <c r="B73" s="27" t="s">
        <v>10</v>
      </c>
      <c r="C73" s="34">
        <f t="shared" ref="C73:R73" si="25">C19*C22-C7</f>
        <v>0</v>
      </c>
      <c r="D73" s="34">
        <f t="shared" si="25"/>
        <v>0</v>
      </c>
      <c r="E73" s="34">
        <f t="shared" si="25"/>
        <v>0</v>
      </c>
      <c r="F73" s="34">
        <f t="shared" si="25"/>
        <v>0</v>
      </c>
      <c r="G73" s="34">
        <f t="shared" si="25"/>
        <v>0</v>
      </c>
      <c r="H73" s="34">
        <f t="shared" si="25"/>
        <v>0</v>
      </c>
      <c r="I73" s="34">
        <f t="shared" si="25"/>
        <v>0</v>
      </c>
      <c r="J73" s="34">
        <f t="shared" si="25"/>
        <v>0</v>
      </c>
      <c r="K73" s="34">
        <f t="shared" si="25"/>
        <v>0</v>
      </c>
      <c r="L73" s="34">
        <f t="shared" si="25"/>
        <v>0</v>
      </c>
      <c r="M73" s="34">
        <f t="shared" si="25"/>
        <v>0</v>
      </c>
      <c r="N73" s="34">
        <f t="shared" si="25"/>
        <v>0</v>
      </c>
      <c r="O73" s="34">
        <f t="shared" si="25"/>
        <v>0</v>
      </c>
      <c r="P73" s="34">
        <f t="shared" si="25"/>
        <v>0</v>
      </c>
      <c r="Q73" s="34">
        <f t="shared" si="25"/>
        <v>0</v>
      </c>
      <c r="R73" s="34">
        <f t="shared" si="25"/>
        <v>0</v>
      </c>
    </row>
    <row r="74" spans="1:18" x14ac:dyDescent="0.15">
      <c r="B74" s="27" t="s">
        <v>16</v>
      </c>
      <c r="C74" s="34">
        <f t="shared" ref="C74:R74" si="26">C6*C7*C8*C9*C10/(C21*C22*C23*C25*C24)-C18*C19*C20*C27</f>
        <v>0</v>
      </c>
      <c r="D74" s="34">
        <f t="shared" si="26"/>
        <v>0</v>
      </c>
      <c r="E74" s="34">
        <f t="shared" si="26"/>
        <v>0</v>
      </c>
      <c r="F74" s="34">
        <f t="shared" si="26"/>
        <v>0</v>
      </c>
      <c r="G74" s="34">
        <f t="shared" si="26"/>
        <v>0</v>
      </c>
      <c r="H74" s="34">
        <f t="shared" si="26"/>
        <v>0</v>
      </c>
      <c r="I74" s="34">
        <f t="shared" si="26"/>
        <v>0</v>
      </c>
      <c r="J74" s="34">
        <f t="shared" si="26"/>
        <v>0</v>
      </c>
      <c r="K74" s="34">
        <f t="shared" si="26"/>
        <v>0</v>
      </c>
      <c r="L74" s="34">
        <f t="shared" si="26"/>
        <v>0</v>
      </c>
      <c r="M74" s="34">
        <f t="shared" si="26"/>
        <v>0</v>
      </c>
      <c r="N74" s="34">
        <f t="shared" si="26"/>
        <v>0</v>
      </c>
      <c r="O74" s="34">
        <f t="shared" si="26"/>
        <v>0</v>
      </c>
      <c r="P74" s="34">
        <f t="shared" si="26"/>
        <v>0</v>
      </c>
      <c r="Q74" s="34">
        <f t="shared" si="26"/>
        <v>0</v>
      </c>
      <c r="R74" s="34">
        <f t="shared" si="26"/>
        <v>0</v>
      </c>
    </row>
    <row r="75" spans="1:18" x14ac:dyDescent="0.15">
      <c r="B75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78"/>
  <sheetViews>
    <sheetView tabSelected="1" topLeftCell="A3" zoomScale="125" zoomScaleNormal="125" zoomScalePageLayoutView="125" workbookViewId="0">
      <selection activeCell="E50" sqref="E50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6640625" style="1" bestFit="1" customWidth="1"/>
    <col min="4" max="4" width="12.83203125" style="1" customWidth="1"/>
    <col min="5" max="5" width="10.6640625" style="1" customWidth="1"/>
    <col min="6" max="6" width="12.5" style="1" customWidth="1"/>
    <col min="7" max="7" width="15.1640625" style="1" customWidth="1"/>
    <col min="8" max="8" width="12.6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</row>
    <row r="4" spans="1:14" s="28" customFormat="1" ht="14" thickBot="1" x14ac:dyDescent="0.2">
      <c r="A4" s="3"/>
      <c r="B4" s="4" t="s">
        <v>11</v>
      </c>
      <c r="C4" s="51">
        <v>1</v>
      </c>
      <c r="D4" s="51">
        <f>D18*D19</f>
        <v>4</v>
      </c>
      <c r="E4" s="51">
        <f t="shared" ref="E4:H4" si="0">E18*E19</f>
        <v>16</v>
      </c>
      <c r="F4" s="51">
        <f t="shared" si="0"/>
        <v>64</v>
      </c>
      <c r="G4" s="51">
        <f t="shared" si="0"/>
        <v>256</v>
      </c>
      <c r="H4" s="51">
        <f t="shared" si="0"/>
        <v>1024</v>
      </c>
      <c r="I4" s="51"/>
      <c r="J4" s="51"/>
      <c r="K4" s="51"/>
      <c r="L4" s="51"/>
      <c r="M4" s="51"/>
      <c r="N4" s="51"/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256</v>
      </c>
      <c r="H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256</v>
      </c>
      <c r="H7" s="1">
        <v>512</v>
      </c>
    </row>
    <row r="8" spans="1:14" x14ac:dyDescent="0.15">
      <c r="B8" s="6" t="s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/>
      <c r="J8" s="7"/>
      <c r="K8" s="7"/>
      <c r="L8" s="7"/>
      <c r="M8" s="7"/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/>
      <c r="J9" s="2"/>
      <c r="K9" s="2"/>
      <c r="L9" s="2"/>
      <c r="M9" s="2"/>
      <c r="N9" s="2"/>
    </row>
    <row r="10" spans="1:14" x14ac:dyDescent="0.15">
      <c r="B10" s="6" t="s">
        <v>23</v>
      </c>
      <c r="C10" s="2">
        <f>36*4</f>
        <v>144</v>
      </c>
      <c r="D10" s="2">
        <f t="shared" ref="D10:H10" si="1">36*4</f>
        <v>144</v>
      </c>
      <c r="E10" s="2">
        <f t="shared" si="1"/>
        <v>144</v>
      </c>
      <c r="F10" s="2">
        <f t="shared" si="1"/>
        <v>144</v>
      </c>
      <c r="G10" s="2">
        <f t="shared" si="1"/>
        <v>144</v>
      </c>
      <c r="H10" s="2">
        <f t="shared" si="1"/>
        <v>144</v>
      </c>
      <c r="I10" s="2"/>
      <c r="J10" s="2"/>
      <c r="K10" s="2"/>
      <c r="L10" s="2"/>
      <c r="M10" s="2"/>
      <c r="N10" s="2"/>
    </row>
    <row r="11" spans="1:14" x14ac:dyDescent="0.15">
      <c r="B11" s="6" t="s">
        <v>35</v>
      </c>
      <c r="C11" s="56">
        <f>C6*C7*C8</f>
        <v>256</v>
      </c>
      <c r="D11" s="8">
        <f t="shared" ref="D11:H11" si="2">D6*D7*D8</f>
        <v>1024</v>
      </c>
      <c r="E11" s="8">
        <f t="shared" si="2"/>
        <v>4096</v>
      </c>
      <c r="F11" s="8">
        <f t="shared" si="2"/>
        <v>16384</v>
      </c>
      <c r="G11" s="8">
        <f t="shared" si="2"/>
        <v>65536</v>
      </c>
      <c r="H11" s="8">
        <f t="shared" si="2"/>
        <v>262144</v>
      </c>
      <c r="I11" s="8"/>
      <c r="J11" s="8"/>
      <c r="K11" s="8"/>
      <c r="L11" s="8"/>
      <c r="M11" s="8"/>
      <c r="N11" s="8"/>
    </row>
    <row r="12" spans="1:14" x14ac:dyDescent="0.15">
      <c r="B12" s="6" t="s">
        <v>24</v>
      </c>
      <c r="C12" s="2">
        <v>4</v>
      </c>
      <c r="D12" s="2">
        <v>4</v>
      </c>
      <c r="E12" s="2">
        <v>4</v>
      </c>
      <c r="F12" s="2">
        <v>4</v>
      </c>
      <c r="G12" s="2">
        <v>4</v>
      </c>
      <c r="H12" s="2">
        <v>4</v>
      </c>
      <c r="I12" s="2"/>
      <c r="J12" s="2"/>
      <c r="K12" s="2"/>
      <c r="L12" s="2"/>
      <c r="M12" s="2"/>
      <c r="N12" s="2"/>
    </row>
    <row r="13" spans="1:14" x14ac:dyDescent="0.15">
      <c r="B13" s="6" t="s">
        <v>25</v>
      </c>
      <c r="C13" s="92">
        <f>C9*C10*C11*C12</f>
        <v>147456</v>
      </c>
      <c r="D13" s="92">
        <f t="shared" ref="D13:H13" si="3">D11*D12*D10*D9</f>
        <v>589824</v>
      </c>
      <c r="E13" s="92">
        <f t="shared" si="3"/>
        <v>2359296</v>
      </c>
      <c r="F13" s="92">
        <f t="shared" si="3"/>
        <v>9437184</v>
      </c>
      <c r="G13" s="92">
        <f t="shared" si="3"/>
        <v>37748736</v>
      </c>
      <c r="H13" s="92">
        <f t="shared" si="3"/>
        <v>150994944</v>
      </c>
      <c r="I13" s="34"/>
      <c r="J13" s="34"/>
      <c r="K13" s="34"/>
      <c r="L13" s="34"/>
      <c r="M13" s="34"/>
      <c r="N13" s="34"/>
    </row>
    <row r="14" spans="1:14" x14ac:dyDescent="0.15">
      <c r="B14" s="6" t="s">
        <v>26</v>
      </c>
      <c r="C14" s="92">
        <f t="shared" ref="C14:H14" si="4">C13/C4</f>
        <v>147456</v>
      </c>
      <c r="D14" s="92">
        <f t="shared" si="4"/>
        <v>147456</v>
      </c>
      <c r="E14" s="92">
        <f t="shared" si="4"/>
        <v>147456</v>
      </c>
      <c r="F14" s="92">
        <f t="shared" si="4"/>
        <v>147456</v>
      </c>
      <c r="G14" s="92">
        <f t="shared" si="4"/>
        <v>147456</v>
      </c>
      <c r="H14" s="92">
        <f t="shared" si="4"/>
        <v>147456</v>
      </c>
      <c r="I14" s="34"/>
      <c r="J14" s="34"/>
      <c r="K14" s="34"/>
      <c r="L14" s="34"/>
      <c r="M14" s="34"/>
      <c r="N14" s="34"/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/>
      <c r="J15" s="34"/>
      <c r="K15" s="34"/>
      <c r="L15" s="34"/>
      <c r="M15" s="34"/>
      <c r="N15" s="34"/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H16" si="5">1/0.2239</f>
        <v>4.4662795891022782</v>
      </c>
      <c r="F16" s="34">
        <f t="shared" si="5"/>
        <v>4.4662795891022782</v>
      </c>
      <c r="G16" s="34">
        <f t="shared" si="5"/>
        <v>4.4662795891022782</v>
      </c>
      <c r="H16" s="34">
        <f t="shared" si="5"/>
        <v>4.4662795891022782</v>
      </c>
      <c r="I16" s="34"/>
      <c r="J16" s="34"/>
      <c r="K16" s="34"/>
      <c r="L16" s="34"/>
      <c r="M16" s="34"/>
      <c r="N16" s="34"/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4</v>
      </c>
      <c r="F18" s="1">
        <v>8</v>
      </c>
      <c r="G18" s="1">
        <v>16</v>
      </c>
      <c r="H18" s="1">
        <v>32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8</v>
      </c>
      <c r="G19" s="1">
        <v>16</v>
      </c>
      <c r="H19" s="1">
        <v>32</v>
      </c>
    </row>
    <row r="20" spans="1:28" x14ac:dyDescent="0.15">
      <c r="B20" s="6" t="s">
        <v>27</v>
      </c>
      <c r="C20" s="7">
        <f>C4/(C18*C19)</f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/>
      <c r="J20" s="7"/>
      <c r="K20" s="7"/>
      <c r="L20" s="7"/>
      <c r="M20" s="7"/>
      <c r="N20" s="7"/>
    </row>
    <row r="21" spans="1:28" x14ac:dyDescent="0.15">
      <c r="B21" s="6" t="s">
        <v>28</v>
      </c>
      <c r="C21" s="7">
        <f>C6/C18</f>
        <v>16</v>
      </c>
      <c r="D21" s="7">
        <f t="shared" ref="D21:H22" si="6">D6/D18</f>
        <v>16</v>
      </c>
      <c r="E21" s="7">
        <f t="shared" si="6"/>
        <v>16</v>
      </c>
      <c r="F21" s="7">
        <f t="shared" si="6"/>
        <v>16</v>
      </c>
      <c r="G21" s="7">
        <f t="shared" si="6"/>
        <v>16</v>
      </c>
      <c r="H21" s="7">
        <f t="shared" si="6"/>
        <v>16</v>
      </c>
      <c r="I21" s="7"/>
      <c r="J21" s="7"/>
      <c r="K21" s="7"/>
      <c r="L21" s="7"/>
      <c r="M21" s="7"/>
      <c r="N21" s="7"/>
    </row>
    <row r="22" spans="1:28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16</v>
      </c>
      <c r="G22" s="7">
        <f t="shared" si="6"/>
        <v>16</v>
      </c>
      <c r="H22" s="7">
        <f t="shared" si="6"/>
        <v>16</v>
      </c>
      <c r="I22" s="7"/>
      <c r="J22" s="7"/>
      <c r="K22" s="7"/>
      <c r="L22" s="7"/>
      <c r="M22" s="7"/>
      <c r="N22" s="7"/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/>
      <c r="J23" s="36"/>
      <c r="K23" s="36"/>
      <c r="L23" s="36"/>
      <c r="M23" s="36"/>
      <c r="N23" s="36"/>
    </row>
    <row r="24" spans="1:28" s="2" customFormat="1" x14ac:dyDescent="0.15">
      <c r="B24" s="10" t="s">
        <v>32</v>
      </c>
      <c r="C24" s="7">
        <f>C9</f>
        <v>1</v>
      </c>
      <c r="D24" s="7">
        <f t="shared" ref="D24:H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/>
      <c r="J24" s="7"/>
      <c r="K24" s="7"/>
      <c r="L24" s="7"/>
      <c r="M24" s="7"/>
      <c r="N24" s="7"/>
    </row>
    <row r="25" spans="1:28" x14ac:dyDescent="0.15">
      <c r="B25" s="10" t="s">
        <v>31</v>
      </c>
      <c r="C25" s="36">
        <v>18</v>
      </c>
      <c r="D25" s="36">
        <v>18</v>
      </c>
      <c r="E25" s="36">
        <v>18</v>
      </c>
      <c r="F25" s="36">
        <v>18</v>
      </c>
      <c r="G25" s="36">
        <v>18</v>
      </c>
      <c r="H25" s="36">
        <v>18</v>
      </c>
      <c r="I25" s="36"/>
      <c r="J25" s="36"/>
      <c r="K25" s="36"/>
      <c r="L25" s="36"/>
      <c r="M25" s="36"/>
      <c r="N25" s="36"/>
    </row>
    <row r="26" spans="1:28" x14ac:dyDescent="0.15">
      <c r="B26" s="10" t="s">
        <v>49</v>
      </c>
      <c r="C26" s="7">
        <f>(C6/(C18*C21))*(C7/(C19*C22))*(C8/(C20*C23))*(C9/C24)</f>
        <v>1</v>
      </c>
      <c r="D26" s="7">
        <f t="shared" ref="D26:H26" si="8">(D6/(D18*D21))*(D7/(D19*D22))*(D8/(D20*D23))*(D9/D24)</f>
        <v>1</v>
      </c>
      <c r="E26" s="7">
        <f t="shared" si="8"/>
        <v>1</v>
      </c>
      <c r="F26" s="7">
        <f t="shared" si="8"/>
        <v>1</v>
      </c>
      <c r="G26" s="7">
        <f t="shared" si="8"/>
        <v>1</v>
      </c>
      <c r="H26" s="7">
        <f t="shared" si="8"/>
        <v>1</v>
      </c>
      <c r="I26" s="7"/>
      <c r="J26" s="7"/>
      <c r="K26" s="7"/>
      <c r="L26" s="7"/>
      <c r="M26" s="7"/>
      <c r="N26" s="7"/>
    </row>
    <row r="27" spans="1:28" x14ac:dyDescent="0.15">
      <c r="B27" s="10" t="s">
        <v>8</v>
      </c>
      <c r="C27" s="1">
        <f t="shared" ref="C27:H27" si="9">(C6/(C18*C21))*(C7/(C19*C22))*(C8/(C20*C23))*(C10/C25)*(C9/C24)</f>
        <v>8</v>
      </c>
      <c r="D27" s="1">
        <f t="shared" si="9"/>
        <v>8</v>
      </c>
      <c r="E27" s="1">
        <f t="shared" si="9"/>
        <v>8</v>
      </c>
      <c r="F27" s="1">
        <f t="shared" si="9"/>
        <v>8</v>
      </c>
      <c r="G27" s="1">
        <f t="shared" si="9"/>
        <v>8</v>
      </c>
      <c r="H27" s="1">
        <f t="shared" si="9"/>
        <v>8</v>
      </c>
    </row>
    <row r="28" spans="1:28" x14ac:dyDescent="0.15">
      <c r="B28" s="10" t="s">
        <v>81</v>
      </c>
      <c r="D28" s="1">
        <f>( D21+D22)*D24*D25*2</f>
        <v>1152</v>
      </c>
      <c r="E28" s="1">
        <f t="shared" ref="E28:H28" si="10">( E21+E22)*E24*E25*2</f>
        <v>1152</v>
      </c>
      <c r="F28" s="1">
        <f t="shared" si="10"/>
        <v>1152</v>
      </c>
      <c r="G28" s="1">
        <f t="shared" si="10"/>
        <v>1152</v>
      </c>
      <c r="H28" s="1">
        <f t="shared" si="10"/>
        <v>1152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/>
      <c r="D30"/>
      <c r="E30"/>
      <c r="F30"/>
      <c r="G30"/>
      <c r="H30"/>
      <c r="I30"/>
      <c r="J30"/>
      <c r="K30"/>
      <c r="L30" s="81"/>
      <c r="M30" s="81"/>
      <c r="N30" s="81"/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7">
        <v>10</v>
      </c>
      <c r="E32" s="7">
        <v>10</v>
      </c>
      <c r="F32" s="7">
        <v>10</v>
      </c>
      <c r="G32" s="7">
        <v>10</v>
      </c>
      <c r="H32" s="7">
        <v>10</v>
      </c>
    </row>
    <row r="33" spans="1:16" s="52" customFormat="1" x14ac:dyDescent="0.15">
      <c r="B33" s="10" t="s">
        <v>34</v>
      </c>
      <c r="C33" s="91">
        <v>1.23E-2</v>
      </c>
      <c r="D33" s="91">
        <v>1.35E-2</v>
      </c>
      <c r="E33" s="91">
        <v>2.768E-2</v>
      </c>
      <c r="F33" s="91">
        <v>0.05</v>
      </c>
      <c r="G33" s="91">
        <v>0.107</v>
      </c>
      <c r="H33" s="17" t="s">
        <v>82</v>
      </c>
      <c r="I33" s="17"/>
      <c r="J33" s="17"/>
      <c r="K33" s="17"/>
      <c r="L33" s="17"/>
      <c r="M33" s="17"/>
      <c r="N33" s="17"/>
      <c r="P33" s="79"/>
    </row>
    <row r="34" spans="1:16" x14ac:dyDescent="0.15">
      <c r="B34" s="6" t="s">
        <v>56</v>
      </c>
      <c r="C34" s="13">
        <f>1000000000*C33/C14</f>
        <v>83.414713541666671</v>
      </c>
      <c r="D34" s="13">
        <f t="shared" ref="D34:G34" si="11">1000000000*D33/D14</f>
        <v>91.552734375</v>
      </c>
      <c r="E34" s="13">
        <f t="shared" si="11"/>
        <v>187.71701388888889</v>
      </c>
      <c r="F34" s="13">
        <f t="shared" si="11"/>
        <v>339.08420138888891</v>
      </c>
      <c r="G34" s="13">
        <f t="shared" si="11"/>
        <v>725.64019097222217</v>
      </c>
      <c r="H34" s="13" t="s">
        <v>82</v>
      </c>
      <c r="I34" s="13"/>
      <c r="J34" s="13"/>
      <c r="K34" s="13"/>
      <c r="L34" s="13"/>
      <c r="M34" s="13"/>
      <c r="N34" s="13"/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/>
      <c r="J35" s="68"/>
      <c r="K35" s="68"/>
      <c r="L35" s="68"/>
      <c r="M35" s="68"/>
      <c r="N35" s="68"/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/>
      <c r="J36" s="73"/>
      <c r="K36" s="73"/>
      <c r="L36" s="73"/>
      <c r="M36" s="73"/>
      <c r="N36" s="73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/>
      <c r="J37" s="31"/>
      <c r="K37" s="31"/>
      <c r="L37" s="31"/>
      <c r="M37" s="31"/>
      <c r="N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1.097560975609756</v>
      </c>
      <c r="D40" s="37">
        <f t="shared" ref="D40:G40" si="12">$D$33/D33</f>
        <v>1</v>
      </c>
      <c r="E40" s="37">
        <f t="shared" si="12"/>
        <v>0.48771676300578032</v>
      </c>
      <c r="F40" s="37">
        <f t="shared" si="12"/>
        <v>0.26999999999999996</v>
      </c>
      <c r="G40" s="37">
        <f t="shared" si="12"/>
        <v>0.12616822429906543</v>
      </c>
      <c r="H40" s="37" t="s">
        <v>82</v>
      </c>
      <c r="I40" s="37"/>
      <c r="J40" s="37"/>
      <c r="K40" s="37"/>
      <c r="L40" s="37"/>
      <c r="M40" s="37"/>
      <c r="N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>
        <v>147.07541159338601</v>
      </c>
    </row>
    <row r="44" spans="1:16" x14ac:dyDescent="0.15">
      <c r="B44" s="10" t="s">
        <v>60</v>
      </c>
      <c r="C44">
        <v>1208.38272719675</v>
      </c>
    </row>
    <row r="45" spans="1:16" x14ac:dyDescent="0.15">
      <c r="B45" s="10" t="s">
        <v>61</v>
      </c>
      <c r="C45">
        <v>65.546143325338704</v>
      </c>
    </row>
    <row r="46" spans="1:16" x14ac:dyDescent="0.15">
      <c r="B46" s="10" t="s">
        <v>62</v>
      </c>
      <c r="C46">
        <v>175.027192838281</v>
      </c>
    </row>
    <row r="47" spans="1:16" s="28" customFormat="1" x14ac:dyDescent="0.15">
      <c r="B47" s="10" t="s">
        <v>54</v>
      </c>
      <c r="C47" s="16">
        <f t="shared" ref="C47" si="13">C27 + C18 - (2 - MOD(C18,2)) + C19 - (2  - MOD(C19,2)) + (C8/(C20*C23))*(C20 - (2 - MOD(C20,2)))</f>
        <v>8</v>
      </c>
      <c r="D47" s="16">
        <f>D27 + D18 - (2 - MOD(D18,2)) + D19 - (2  - MOD(D19,2))</f>
        <v>8</v>
      </c>
      <c r="E47" s="16">
        <f>E27 + E18 - (2 - MOD(E18,2)) + E19 - (2  - MOD(E19,2))</f>
        <v>12</v>
      </c>
      <c r="F47" s="16">
        <f>F27 + F18 - (2 - MOD(F18,2)) + F19 - (2  - MOD(F19,2))</f>
        <v>20</v>
      </c>
      <c r="G47" s="16">
        <f>G27 + G18 - (2 - MOD(G18,2)) + G19 - (2  - MOD(G19,2))</f>
        <v>36</v>
      </c>
      <c r="H47" s="16">
        <f>H27 + H18 - (2 - MOD(H18,2)) + H19 - (2  - MOD(H19,2))</f>
        <v>68</v>
      </c>
      <c r="I47" s="16"/>
      <c r="J47" s="16"/>
      <c r="K47" s="16"/>
      <c r="L47" s="16"/>
      <c r="M47" s="16"/>
      <c r="N47" s="16"/>
    </row>
    <row r="48" spans="1:16" s="28" customFormat="1" x14ac:dyDescent="0.15">
      <c r="B48" s="10" t="s">
        <v>85</v>
      </c>
      <c r="C48" s="16">
        <v>1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15">
      <c r="B49" s="10" t="s">
        <v>52</v>
      </c>
      <c r="C49" s="35">
        <v>1.32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</row>
    <row r="50" spans="1:14" s="12" customFormat="1" ht="18" customHeight="1" x14ac:dyDescent="0.15">
      <c r="A50" s="15" t="s">
        <v>57</v>
      </c>
      <c r="B50" s="9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</row>
    <row r="51" spans="1:14" s="52" customFormat="1" x14ac:dyDescent="0.15">
      <c r="B51" s="10" t="s">
        <v>47</v>
      </c>
      <c r="C51" s="91">
        <f>(C47*($C$43+C21*C22*C23*($C$44 + C25*($C$45 + C9*$C$46)) ) )/1000000000</f>
        <v>1.1344439892927367E-2</v>
      </c>
      <c r="D51" s="91">
        <f>$C$49*(D47*($C$43+ 2*D15*$C$48+D16*D28+D21*D22*D23*($C$44 + D25*($C$45 + D9*$C$46)) ) )/1000000000</f>
        <v>1.5115896794619105E-2</v>
      </c>
      <c r="E51" s="91">
        <f t="shared" ref="E51:H51" si="14">$C$49*(E47*($C$43+ 2*E15*$C$48+E16*E28+E21*E22*E23*($C$44 + E25*($C$45 + E9*$C$46)) ) )/1000000000</f>
        <v>2.2673845191928662E-2</v>
      </c>
      <c r="F51" s="91">
        <f t="shared" si="14"/>
        <v>3.7789741986547762E-2</v>
      </c>
      <c r="G51" s="91">
        <f t="shared" si="14"/>
        <v>6.8021535575785982E-2</v>
      </c>
      <c r="H51" s="91">
        <f t="shared" si="14"/>
        <v>0.12848512275426241</v>
      </c>
      <c r="I51" s="91"/>
      <c r="J51" s="91"/>
      <c r="K51" s="91"/>
      <c r="L51" s="91"/>
      <c r="M51" s="91"/>
      <c r="N51" s="17"/>
    </row>
    <row r="52" spans="1:14" s="52" customFormat="1" ht="13" hidden="1" customHeight="1" x14ac:dyDescent="0.15">
      <c r="B52" s="27" t="s">
        <v>66</v>
      </c>
      <c r="C52" s="60">
        <f>(C47*($C$43+C12*C21*C22*C23*($C$44 + C25*($C$45 + C9*$C$46)) ) )/1000000000</f>
        <v>4.5374229761831232E-2</v>
      </c>
      <c r="D52" s="60">
        <f>(D47*($C$43+ 3*D15+D16*D28+D12*D21*D22*D23*($C$44 + D25*($C$45 + D9*$C$46)) ) )/1000000000</f>
        <v>4.5514144754524394E-2</v>
      </c>
      <c r="E52" s="17"/>
      <c r="F52" s="17"/>
      <c r="G52" s="17"/>
      <c r="H52" s="17"/>
      <c r="I52" s="17"/>
      <c r="J52" s="17"/>
      <c r="K52" s="17"/>
      <c r="L52" s="17"/>
      <c r="M52" s="17"/>
      <c r="N52" s="17"/>
    </row>
    <row r="53" spans="1:14" s="12" customFormat="1" x14ac:dyDescent="0.15">
      <c r="B53" s="10" t="s">
        <v>56</v>
      </c>
      <c r="C53" s="29">
        <f>1000000000*C51/C14</f>
        <v>76.934406825950575</v>
      </c>
      <c r="D53" s="29">
        <f t="shared" ref="D53:H53" si="15">1000000000*D51/D14</f>
        <v>102.5112358576057</v>
      </c>
      <c r="E53" s="29">
        <f t="shared" si="15"/>
        <v>153.76685378640857</v>
      </c>
      <c r="F53" s="29">
        <f t="shared" si="15"/>
        <v>256.27808964401424</v>
      </c>
      <c r="G53" s="29">
        <f t="shared" si="15"/>
        <v>461.30056135922564</v>
      </c>
      <c r="H53" s="29">
        <f t="shared" si="15"/>
        <v>871.34550478964843</v>
      </c>
      <c r="I53" s="29"/>
      <c r="J53" s="29"/>
      <c r="K53" s="29"/>
      <c r="L53" s="29"/>
      <c r="M53" s="29"/>
      <c r="N53" s="29"/>
    </row>
    <row r="54" spans="1:14" s="12" customFormat="1" x14ac:dyDescent="0.15">
      <c r="B54" s="10" t="s">
        <v>58</v>
      </c>
      <c r="C54" s="17">
        <f>$D$51/C51</f>
        <v>1.3324498112985756</v>
      </c>
      <c r="D54" s="17">
        <f t="shared" ref="D54:H54" si="16">$D$51/D51</f>
        <v>1</v>
      </c>
      <c r="E54" s="17">
        <f t="shared" si="16"/>
        <v>0.66666666666666652</v>
      </c>
      <c r="F54" s="17">
        <f t="shared" si="16"/>
        <v>0.4</v>
      </c>
      <c r="G54" s="17">
        <f t="shared" si="16"/>
        <v>0.22222222222222218</v>
      </c>
      <c r="H54" s="17">
        <f t="shared" si="16"/>
        <v>0.1176470588235294</v>
      </c>
      <c r="I54" s="17"/>
      <c r="J54" s="17"/>
      <c r="K54" s="17"/>
      <c r="L54" s="17"/>
      <c r="M54" s="17"/>
      <c r="N54" s="17"/>
    </row>
    <row r="55" spans="1:14" s="12" customFormat="1" x14ac:dyDescent="0.15">
      <c r="B55" s="10" t="s">
        <v>87</v>
      </c>
      <c r="C55" s="96">
        <f>ABS(C33-C51)/C33</f>
        <v>7.7687813583140905E-2</v>
      </c>
      <c r="D55" s="96">
        <f t="shared" ref="D55:G55" si="17">ABS(D33-D51)/D33</f>
        <v>0.11969605886067447</v>
      </c>
      <c r="E55" s="96">
        <f t="shared" si="17"/>
        <v>0.18085819393321306</v>
      </c>
      <c r="F55" s="96">
        <f t="shared" si="17"/>
        <v>0.24420516026904482</v>
      </c>
      <c r="G55" s="96">
        <f t="shared" si="17"/>
        <v>0.36428471424499081</v>
      </c>
      <c r="H55" s="96"/>
      <c r="I55" s="32"/>
      <c r="J55" s="32"/>
      <c r="K55" s="32"/>
      <c r="L55" s="32"/>
      <c r="M55" s="32"/>
      <c r="N55" s="32"/>
    </row>
    <row r="56" spans="1:14" s="12" customFormat="1" ht="18" customHeight="1" x14ac:dyDescent="0.15">
      <c r="A56" s="15" t="s">
        <v>83</v>
      </c>
      <c r="B56" s="9"/>
      <c r="C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</row>
    <row r="57" spans="1:14" s="52" customFormat="1" x14ac:dyDescent="0.15">
      <c r="B57" s="10" t="s">
        <v>47</v>
      </c>
      <c r="C57" s="93">
        <v>3.0469999999999998E-3</v>
      </c>
      <c r="D57" s="95">
        <v>1.338E-2</v>
      </c>
      <c r="E57" s="95">
        <v>2.0065E-2</v>
      </c>
      <c r="F57" s="95">
        <v>3.3500000000000002E-2</v>
      </c>
      <c r="G57" s="95">
        <v>6.0199999999999997E-2</v>
      </c>
      <c r="H57" s="95">
        <v>0.1137</v>
      </c>
      <c r="I57" s="57"/>
      <c r="J57" s="57"/>
      <c r="K57" s="57"/>
      <c r="L57" s="57"/>
      <c r="M57" s="57"/>
      <c r="N57" s="57"/>
    </row>
    <row r="58" spans="1:14" s="12" customFormat="1" ht="13" hidden="1" customHeight="1" x14ac:dyDescent="0.15">
      <c r="B58" s="27"/>
      <c r="C58" s="60"/>
      <c r="D58" s="60"/>
      <c r="E58" s="58"/>
      <c r="F58" s="58"/>
      <c r="G58" s="58"/>
      <c r="H58" s="58"/>
      <c r="I58" s="58"/>
      <c r="J58" s="58"/>
      <c r="K58" s="58"/>
      <c r="L58" s="58"/>
      <c r="M58" s="58"/>
      <c r="N58" s="58"/>
    </row>
    <row r="59" spans="1:14" s="12" customFormat="1" x14ac:dyDescent="0.15">
      <c r="A59" s="52"/>
      <c r="B59" s="10" t="s">
        <v>84</v>
      </c>
      <c r="C59" s="94">
        <f t="shared" ref="C59:H59" si="18">ABS(C57-C51)/C51</f>
        <v>0.73141027421727223</v>
      </c>
      <c r="D59" s="94">
        <f t="shared" si="18"/>
        <v>0.11483915365425378</v>
      </c>
      <c r="E59" s="94">
        <f t="shared" si="18"/>
        <v>0.11505967205145019</v>
      </c>
      <c r="F59" s="94">
        <f t="shared" si="18"/>
        <v>0.11351604327107617</v>
      </c>
      <c r="G59" s="94">
        <f t="shared" si="18"/>
        <v>0.11498616591905142</v>
      </c>
      <c r="H59" s="94">
        <f t="shared" si="18"/>
        <v>0.11507264372187345</v>
      </c>
      <c r="I59" s="29"/>
      <c r="J59" s="29"/>
      <c r="K59" s="29"/>
      <c r="L59" s="29"/>
      <c r="M59" s="29"/>
      <c r="N59" s="29"/>
    </row>
    <row r="60" spans="1:14" s="12" customFormat="1" x14ac:dyDescent="0.15">
      <c r="B60" s="10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spans="1:14" s="12" customFormat="1" x14ac:dyDescent="0.15">
      <c r="B61" s="10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</row>
    <row r="62" spans="1:14" s="12" customFormat="1" ht="18" customHeight="1" x14ac:dyDescent="0.15">
      <c r="A62" s="15"/>
      <c r="B62" s="9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spans="1:14" x14ac:dyDescent="0.15">
      <c r="B63" s="10"/>
      <c r="C63" s="59"/>
      <c r="D63" s="63"/>
    </row>
    <row r="64" spans="1:14" x14ac:dyDescent="0.15">
      <c r="B64" s="10"/>
      <c r="C64" s="53"/>
      <c r="D64" s="52">
        <f>0.01206/(C13) * 1000000000</f>
        <v>81.787109375</v>
      </c>
    </row>
    <row r="65" spans="1:14" x14ac:dyDescent="0.15">
      <c r="B65" s="10"/>
      <c r="C65" s="53"/>
      <c r="D65" s="52"/>
    </row>
    <row r="66" spans="1:14" x14ac:dyDescent="0.15">
      <c r="B66" s="10"/>
      <c r="C66" s="53"/>
      <c r="D66" s="52"/>
    </row>
    <row r="67" spans="1:14" x14ac:dyDescent="0.15">
      <c r="B67" s="10"/>
      <c r="C67" s="34"/>
      <c r="D67" s="34"/>
    </row>
    <row r="68" spans="1:14" x14ac:dyDescent="0.15">
      <c r="B68" s="10"/>
    </row>
    <row r="69" spans="1:14" x14ac:dyDescent="0.15">
      <c r="B69" s="10"/>
    </row>
    <row r="70" spans="1:14" x14ac:dyDescent="0.15">
      <c r="B70" s="6"/>
      <c r="C70" s="35"/>
      <c r="D70" s="35"/>
    </row>
    <row r="71" spans="1:14" s="12" customFormat="1" x14ac:dyDescent="0.15">
      <c r="B71" s="10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</row>
    <row r="72" spans="1:14" ht="16" x14ac:dyDescent="0.2">
      <c r="A72" s="75" t="s">
        <v>13</v>
      </c>
      <c r="B72" s="77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</row>
    <row r="73" spans="1:14" x14ac:dyDescent="0.15">
      <c r="B73" s="27" t="s">
        <v>14</v>
      </c>
      <c r="C73" s="34">
        <f t="shared" ref="C73:H73" si="19">C18*C19*C20-C4</f>
        <v>0</v>
      </c>
      <c r="D73" s="34">
        <f t="shared" si="19"/>
        <v>0</v>
      </c>
      <c r="E73" s="34">
        <f t="shared" si="19"/>
        <v>0</v>
      </c>
      <c r="F73" s="34">
        <f t="shared" si="19"/>
        <v>0</v>
      </c>
      <c r="G73" s="34">
        <f t="shared" si="19"/>
        <v>0</v>
      </c>
      <c r="H73" s="34">
        <f t="shared" si="19"/>
        <v>0</v>
      </c>
      <c r="I73" s="34"/>
      <c r="J73" s="34"/>
      <c r="K73" s="34"/>
      <c r="L73" s="34"/>
      <c r="M73" s="34"/>
      <c r="N73" s="34"/>
    </row>
    <row r="74" spans="1:14" x14ac:dyDescent="0.15">
      <c r="B74" s="27" t="s">
        <v>15</v>
      </c>
      <c r="C74" s="34">
        <f t="shared" ref="C74:H74" si="20">C11/C4 - $C$11</f>
        <v>0</v>
      </c>
      <c r="D74" s="34">
        <f t="shared" si="20"/>
        <v>0</v>
      </c>
      <c r="E74" s="34">
        <f t="shared" si="20"/>
        <v>0</v>
      </c>
      <c r="F74" s="34">
        <f t="shared" si="20"/>
        <v>0</v>
      </c>
      <c r="G74" s="34">
        <f t="shared" si="20"/>
        <v>0</v>
      </c>
      <c r="H74" s="34">
        <f t="shared" si="20"/>
        <v>0</v>
      </c>
      <c r="I74" s="34"/>
      <c r="J74" s="34"/>
      <c r="K74" s="34"/>
      <c r="L74" s="34"/>
      <c r="M74" s="34"/>
      <c r="N74" s="34"/>
    </row>
    <row r="75" spans="1:14" x14ac:dyDescent="0.15">
      <c r="B75" s="27" t="s">
        <v>9</v>
      </c>
      <c r="C75" s="34">
        <f t="shared" ref="C75:H76" si="21">C18*C21-C6</f>
        <v>0</v>
      </c>
      <c r="D75" s="34">
        <f t="shared" si="21"/>
        <v>0</v>
      </c>
      <c r="E75" s="34">
        <f t="shared" si="21"/>
        <v>0</v>
      </c>
      <c r="F75" s="34">
        <f t="shared" si="21"/>
        <v>0</v>
      </c>
      <c r="G75" s="34">
        <f t="shared" si="21"/>
        <v>0</v>
      </c>
      <c r="H75" s="34">
        <f t="shared" si="21"/>
        <v>0</v>
      </c>
      <c r="I75" s="34"/>
      <c r="J75" s="34"/>
      <c r="K75" s="34"/>
      <c r="L75" s="34"/>
      <c r="M75" s="34"/>
      <c r="N75" s="34"/>
    </row>
    <row r="76" spans="1:14" x14ac:dyDescent="0.15">
      <c r="B76" s="27" t="s">
        <v>10</v>
      </c>
      <c r="C76" s="34">
        <f t="shared" si="21"/>
        <v>0</v>
      </c>
      <c r="D76" s="34">
        <f t="shared" si="21"/>
        <v>0</v>
      </c>
      <c r="E76" s="34">
        <f t="shared" si="21"/>
        <v>0</v>
      </c>
      <c r="F76" s="34">
        <f t="shared" si="21"/>
        <v>0</v>
      </c>
      <c r="G76" s="34">
        <f t="shared" si="21"/>
        <v>0</v>
      </c>
      <c r="H76" s="34">
        <f t="shared" si="21"/>
        <v>0</v>
      </c>
      <c r="I76" s="34"/>
      <c r="J76" s="34"/>
      <c r="K76" s="34"/>
      <c r="L76" s="34"/>
      <c r="M76" s="34"/>
      <c r="N76" s="34"/>
    </row>
    <row r="77" spans="1:14" x14ac:dyDescent="0.15">
      <c r="B77" s="27" t="s">
        <v>16</v>
      </c>
      <c r="C77" s="34">
        <f t="shared" ref="C77:H77" si="22">C6*C7*C8*C9*C10/(C21*C22*C23*C25*C24)-C18*C19*C20*C27</f>
        <v>0</v>
      </c>
      <c r="D77" s="34">
        <f t="shared" si="22"/>
        <v>0</v>
      </c>
      <c r="E77" s="34">
        <f t="shared" si="22"/>
        <v>0</v>
      </c>
      <c r="F77" s="34">
        <f t="shared" si="22"/>
        <v>0</v>
      </c>
      <c r="G77" s="34">
        <f t="shared" si="22"/>
        <v>0</v>
      </c>
      <c r="H77" s="34">
        <f t="shared" si="22"/>
        <v>0</v>
      </c>
      <c r="I77" s="34"/>
      <c r="J77" s="34"/>
      <c r="K77" s="34"/>
      <c r="L77" s="34"/>
      <c r="M77" s="34"/>
      <c r="N77" s="34"/>
    </row>
    <row r="78" spans="1:14" x14ac:dyDescent="0.15">
      <c r="B78" s="48"/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AB79"/>
  <sheetViews>
    <sheetView topLeftCell="A6" zoomScale="125" zoomScaleNormal="125" zoomScalePageLayoutView="125" workbookViewId="0">
      <selection activeCell="D28" sqref="D28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</row>
    <row r="4" spans="1:14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v>90112</v>
      </c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704</v>
      </c>
    </row>
    <row r="8" spans="1:14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</row>
    <row r="10" spans="1:14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</row>
    <row r="11" spans="1:14" x14ac:dyDescent="0.15">
      <c r="B11" s="6" t="s">
        <v>35</v>
      </c>
      <c r="C11" s="56">
        <f>C6*C7*C8</f>
        <v>4096</v>
      </c>
      <c r="D11" s="8">
        <f t="shared" ref="D11:N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369098752</v>
      </c>
    </row>
    <row r="12" spans="1:14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</row>
    <row r="13" spans="1:14" x14ac:dyDescent="0.15">
      <c r="B13" s="6" t="s">
        <v>25</v>
      </c>
      <c r="C13" s="34">
        <f>C9*C10*C11*C12</f>
        <v>2621440</v>
      </c>
      <c r="D13" s="34">
        <f t="shared" ref="D13:N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42949672960</v>
      </c>
      <c r="L13" s="34">
        <f t="shared" si="2"/>
        <v>85899345920</v>
      </c>
      <c r="M13" s="34">
        <f t="shared" si="2"/>
        <v>171798691840</v>
      </c>
      <c r="N13" s="34">
        <f t="shared" si="2"/>
        <v>236223201280</v>
      </c>
    </row>
    <row r="14" spans="1:14" x14ac:dyDescent="0.15">
      <c r="B14" s="6" t="s">
        <v>26</v>
      </c>
      <c r="C14" s="34">
        <f t="shared" ref="C14:N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2621440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N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176</v>
      </c>
    </row>
    <row r="20" spans="1:2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</row>
    <row r="21" spans="1:28" x14ac:dyDescent="0.15">
      <c r="B21" s="6" t="s">
        <v>28</v>
      </c>
      <c r="C21" s="7">
        <f>C6/C18</f>
        <v>16</v>
      </c>
      <c r="D21" s="7">
        <f>D6/D18</f>
        <v>16</v>
      </c>
      <c r="E21" s="7">
        <f t="shared" ref="D21:N22" si="6">E6/E18</f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2</v>
      </c>
    </row>
    <row r="22" spans="1:28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>F7/F19</f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v>4</v>
      </c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</row>
    <row r="24" spans="1:28" s="2" customFormat="1" x14ac:dyDescent="0.15">
      <c r="B24" s="10" t="s">
        <v>32</v>
      </c>
      <c r="C24" s="7">
        <f>C9</f>
        <v>1</v>
      </c>
      <c r="D24" s="7">
        <f t="shared" ref="D24:M24" si="7">D9</f>
        <v>1</v>
      </c>
      <c r="E24" s="7"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v>1</v>
      </c>
    </row>
    <row r="25" spans="1:2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</row>
    <row r="26" spans="1:28" x14ac:dyDescent="0.15">
      <c r="B26" s="10" t="s">
        <v>49</v>
      </c>
      <c r="C26" s="7">
        <f>(C6/(C18*C21))*(C7/(C19*C22))*(C8/(C20*C23))*(C9/C24)</f>
        <v>16</v>
      </c>
      <c r="D26" s="7">
        <f t="shared" ref="D26:N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</row>
    <row r="27" spans="1:28" x14ac:dyDescent="0.15">
      <c r="B27" s="10" t="s">
        <v>8</v>
      </c>
      <c r="C27" s="1">
        <f t="shared" ref="C27:N27" si="9">(C6/(C18*C21))*(C7/(C19*C22))*(C8/(C20*C23))*(C10/C25)*(C9/C24)</f>
        <v>128</v>
      </c>
      <c r="D27" s="1">
        <f t="shared" si="9"/>
        <v>128</v>
      </c>
      <c r="E27" s="1">
        <f>(E6/(E18*E21))*(E7/(E19*E22))*(E8/(E20*E23))*(E10/E25)*(E9/E24)</f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</row>
    <row r="28" spans="1:28" x14ac:dyDescent="0.15">
      <c r="B28" s="10" t="s">
        <v>50</v>
      </c>
      <c r="D28" s="1">
        <f>( D21*D23 + D22*D23 + D21*D22)*D24*D25*4</f>
        <v>11520</v>
      </c>
      <c r="E28" s="1">
        <f>( E21*E23 + E22*E23 + E21*E22)*E24*E25*4</f>
        <v>6080</v>
      </c>
      <c r="F28" s="1">
        <f t="shared" ref="F28:N28" si="10">( F21*F23 + F22*F23 + F21*F22)*F24*F25*4</f>
        <v>3200</v>
      </c>
      <c r="G28" s="1">
        <f>( G21*G23 + G22*G23 + G21*G22)*G24*G25*4</f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>
        <v>3.39</v>
      </c>
      <c r="D30">
        <v>4.4909999999999997</v>
      </c>
      <c r="E30">
        <v>4.5339999999999998</v>
      </c>
      <c r="F30">
        <v>4.9989999999999997</v>
      </c>
      <c r="G30">
        <v>5.0170000000000003</v>
      </c>
      <c r="H30">
        <v>5.0380000000000003</v>
      </c>
      <c r="I30">
        <v>5.2869999999999999</v>
      </c>
      <c r="J30">
        <v>6.0229999999999997</v>
      </c>
      <c r="K30">
        <v>6.2069999999999999</v>
      </c>
      <c r="L30" s="81">
        <v>6.6630000000000003</v>
      </c>
      <c r="M30" s="81">
        <v>6.8550000000000004</v>
      </c>
      <c r="N30" s="81">
        <v>7.2519999999999998</v>
      </c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</row>
    <row r="33" spans="1:16" s="52" customFormat="1" x14ac:dyDescent="0.15">
      <c r="B33" s="10" t="s">
        <v>34</v>
      </c>
      <c r="C33" s="17">
        <f t="shared" ref="C33:N33" si="11">C30/C32</f>
        <v>0.33900000000000002</v>
      </c>
      <c r="D33" s="17">
        <f t="shared" si="11"/>
        <v>0.44909999999999994</v>
      </c>
      <c r="E33" s="17">
        <f t="shared" si="11"/>
        <v>0.45339999999999997</v>
      </c>
      <c r="F33" s="17">
        <f t="shared" si="11"/>
        <v>0.49989999999999996</v>
      </c>
      <c r="G33" s="17">
        <f t="shared" si="11"/>
        <v>0.50170000000000003</v>
      </c>
      <c r="H33" s="17">
        <f t="shared" si="11"/>
        <v>0.50380000000000003</v>
      </c>
      <c r="I33" s="17">
        <f>I30/I32</f>
        <v>0.52869999999999995</v>
      </c>
      <c r="J33" s="17">
        <f>J30/J32</f>
        <v>0.60229999999999995</v>
      </c>
      <c r="K33" s="17">
        <f>K30/K32</f>
        <v>0.62070000000000003</v>
      </c>
      <c r="L33" s="17">
        <f>L30/L32</f>
        <v>0.6663</v>
      </c>
      <c r="M33" s="17">
        <f>M30/M32</f>
        <v>0.6855</v>
      </c>
      <c r="N33" s="17">
        <f t="shared" si="11"/>
        <v>0.72519999999999996</v>
      </c>
      <c r="P33" s="79"/>
    </row>
    <row r="34" spans="1:16" x14ac:dyDescent="0.15">
      <c r="B34" s="6" t="s">
        <v>56</v>
      </c>
      <c r="C34" s="13">
        <f t="shared" ref="C34:N34" si="12">1000000000*C33/C14</f>
        <v>129.3182373046875</v>
      </c>
      <c r="D34" s="13">
        <f t="shared" si="12"/>
        <v>171.31805419921872</v>
      </c>
      <c r="E34" s="13">
        <f t="shared" si="12"/>
        <v>172.95837402343747</v>
      </c>
      <c r="F34" s="13">
        <f t="shared" si="12"/>
        <v>190.69671630859372</v>
      </c>
      <c r="G34" s="13">
        <f t="shared" si="12"/>
        <v>191.38336181640628</v>
      </c>
      <c r="H34" s="13">
        <f t="shared" si="12"/>
        <v>192.1844482421875</v>
      </c>
      <c r="I34" s="13">
        <f t="shared" si="12"/>
        <v>201.68304443359372</v>
      </c>
      <c r="J34" s="13">
        <f t="shared" si="12"/>
        <v>229.75921630859375</v>
      </c>
      <c r="K34" s="13">
        <f t="shared" si="12"/>
        <v>236.77825927734375</v>
      </c>
      <c r="L34" s="13">
        <f t="shared" si="12"/>
        <v>254.17327880859375</v>
      </c>
      <c r="M34" s="13">
        <f t="shared" si="12"/>
        <v>261.49749755859375</v>
      </c>
      <c r="N34" s="13">
        <f t="shared" si="12"/>
        <v>276.641845703125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1.3247787610619466</v>
      </c>
      <c r="D40" s="37">
        <f t="shared" ref="D40:N40" si="13">$D$33/D33</f>
        <v>1</v>
      </c>
      <c r="E40" s="37">
        <f t="shared" si="13"/>
        <v>0.99051610057344497</v>
      </c>
      <c r="F40" s="37">
        <f t="shared" si="13"/>
        <v>0.89837967593518697</v>
      </c>
      <c r="G40" s="37">
        <f t="shared" si="13"/>
        <v>0.89515646800877002</v>
      </c>
      <c r="H40" s="37">
        <f t="shared" si="13"/>
        <v>0.89142516871774502</v>
      </c>
      <c r="I40" s="37">
        <f t="shared" si="13"/>
        <v>0.8494420276149045</v>
      </c>
      <c r="J40" s="37">
        <f t="shared" si="13"/>
        <v>0.74564170679063591</v>
      </c>
      <c r="K40" s="37">
        <f t="shared" si="13"/>
        <v>0.72353794103431601</v>
      </c>
      <c r="L40" s="37">
        <f t="shared" si="13"/>
        <v>0.67402071139126507</v>
      </c>
      <c r="M40" s="37">
        <f t="shared" si="13"/>
        <v>0.65514223194748356</v>
      </c>
      <c r="N40" s="37">
        <f t="shared" si="13"/>
        <v>0.61927744070601209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5779.9289114493604</v>
      </c>
    </row>
    <row r="44" spans="1:16" x14ac:dyDescent="0.15">
      <c r="B44" s="10" t="s">
        <v>60</v>
      </c>
      <c r="C44">
        <f xml:space="preserve"> 2683.7691293614</f>
        <v>2683.7691293613998</v>
      </c>
    </row>
    <row r="45" spans="1:16" x14ac:dyDescent="0.15">
      <c r="B45" s="10" t="s">
        <v>61</v>
      </c>
      <c r="C45" s="1">
        <v>111.971932555903</v>
      </c>
    </row>
    <row r="46" spans="1:16" x14ac:dyDescent="0.15">
      <c r="B46" s="10" t="s">
        <v>62</v>
      </c>
      <c r="C46" s="1">
        <v>559.12699999999995</v>
      </c>
    </row>
    <row r="47" spans="1:16" s="28" customFormat="1" x14ac:dyDescent="0.15">
      <c r="B47" s="10" t="s">
        <v>54</v>
      </c>
      <c r="C47" s="16">
        <f t="shared" ref="C47:N47" si="14">C27 + C18 - (2 - MOD(C18,2)) + C19 - (2  - MOD(C19,2)) + (C8/(C20*C23))*(C20 - (2 - MOD(C20,2)))</f>
        <v>128</v>
      </c>
      <c r="D47" s="16">
        <f>D27 + D18 - (2 - MOD(D18,2)) + D19 - (2  - MOD(D19,2)) + (D8/(D20*D23))*(D20 - (2 - MOD(D20,2)))</f>
        <v>128</v>
      </c>
      <c r="E47" s="16">
        <f>E27 + E18 - (2 - MOD(E18,2)) + E19 - (2  - MOD(E19,2)) + (E8/(E20*E23))*(E20 - (2 - MOD(E20,2)))</f>
        <v>264</v>
      </c>
      <c r="F47" s="16">
        <f>F27 + F18 - (2 - MOD(F18,2)) + F19 - (2  - MOD(F19,2)) + (F8/(F20*F23))*(F20 - (2 - MOD(F20,2)))</f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4524</v>
      </c>
    </row>
    <row r="48" spans="1:16" x14ac:dyDescent="0.15">
      <c r="B48" s="10" t="s">
        <v>52</v>
      </c>
      <c r="C48" s="35">
        <f>(D33/C33)/(D51/C51)</f>
        <v>1.3204020086243005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 spans="1:14" s="52" customFormat="1" x14ac:dyDescent="0.15">
      <c r="B50" s="10" t="s">
        <v>47</v>
      </c>
      <c r="C50" s="37">
        <f>(C47*($C$43+C21*C22*C23*($C$44 + C25*($C$45 + C9*$C$46)) ) )/1000000000</f>
        <v>0.30858727595149815</v>
      </c>
      <c r="D50" s="37">
        <f>$C$48*(D47*($C$43+ 3*D15+D16*D28+D21*D22*D23*($C$44 + D25*($C$45 + D9*$C$46)) ) )/1000000000</f>
        <v>0.41824147350335217</v>
      </c>
      <c r="E50" s="37">
        <f>$C$48*(E47*($C$43+ 3*E15+E16*E28+E21*E22*E23*($C$44 + E25*($C$45 + E9*$C$46)) ) )/1000000000</f>
        <v>0.43496863561511723</v>
      </c>
      <c r="F50" s="17">
        <f t="shared" ref="F50:N50" si="15">$C$48*(F47*($C$43+ 3*F15+F16*F28+F21*F22*F23*($C$44 + F25*($C$45 + F9*$C$46)) ) )/1000000000</f>
        <v>0.45182522571821992</v>
      </c>
      <c r="G50" s="17">
        <f t="shared" si="15"/>
        <v>0.46059191425771689</v>
      </c>
      <c r="H50" s="17">
        <f t="shared" si="15"/>
        <v>0.46749216765483631</v>
      </c>
      <c r="I50" s="17">
        <f t="shared" si="15"/>
        <v>0.48129267444907503</v>
      </c>
      <c r="J50" s="17">
        <f t="shared" si="15"/>
        <v>0.4953686541044684</v>
      </c>
      <c r="K50" s="17">
        <f t="shared" si="15"/>
        <v>0.50996515219962768</v>
      </c>
      <c r="L50" s="17">
        <f t="shared" si="15"/>
        <v>0.52456165029478696</v>
      </c>
      <c r="M50" s="17">
        <f t="shared" si="15"/>
        <v>0.56609093437323477</v>
      </c>
      <c r="N50" s="17">
        <f t="shared" si="15"/>
        <v>0.57216161463460991</v>
      </c>
    </row>
    <row r="51" spans="1:14" s="52" customFormat="1" ht="13" hidden="1" customHeight="1" x14ac:dyDescent="0.15">
      <c r="B51" s="27" t="s">
        <v>66</v>
      </c>
      <c r="C51" s="60">
        <f>(C47*($C$43+C12*C21*C22*C23*($C$44 + C25*($C$45 + C9*$C$46)) ) )/1000000000</f>
        <v>2.4635193913073263</v>
      </c>
      <c r="D51" s="60">
        <f>(D47*($C$43+ 3*D15+D16*D28+D12*D21*D22*D23*($C$44 + D25*($C$45 + D9*$C$46)) ) )/1000000000</f>
        <v>2.471685248698233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s="12" customFormat="1" x14ac:dyDescent="0.15">
      <c r="B52" s="10" t="s">
        <v>56</v>
      </c>
      <c r="C52" s="29">
        <f>1000000000*C50/C14</f>
        <v>117.71670377788473</v>
      </c>
      <c r="D52" s="29">
        <f t="shared" ref="D52:N52" si="16">1000000000*D50/D14</f>
        <v>159.54646053442085</v>
      </c>
      <c r="E52" s="29">
        <f t="shared" si="16"/>
        <v>165.92736649136248</v>
      </c>
      <c r="F52" s="29">
        <f t="shared" si="16"/>
        <v>172.35764530876921</v>
      </c>
      <c r="G52" s="29">
        <f t="shared" si="16"/>
        <v>175.70187158878971</v>
      </c>
      <c r="H52" s="29">
        <f t="shared" si="16"/>
        <v>178.33410936540082</v>
      </c>
      <c r="I52" s="29">
        <f t="shared" si="16"/>
        <v>183.59858491862298</v>
      </c>
      <c r="J52" s="29">
        <f t="shared" si="16"/>
        <v>188.96814502886519</v>
      </c>
      <c r="K52" s="29">
        <f t="shared" si="16"/>
        <v>194.53626716599567</v>
      </c>
      <c r="L52" s="29">
        <f t="shared" si="16"/>
        <v>200.10438930312614</v>
      </c>
      <c r="M52" s="29">
        <f t="shared" si="16"/>
        <v>215.94655394486799</v>
      </c>
      <c r="N52" s="29">
        <f t="shared" si="16"/>
        <v>218.26233468422316</v>
      </c>
    </row>
    <row r="53" spans="1:14" s="12" customFormat="1" x14ac:dyDescent="0.15">
      <c r="B53" s="10" t="s">
        <v>58</v>
      </c>
      <c r="C53" s="17">
        <f>$D$50/C50</f>
        <v>1.3553425759819364</v>
      </c>
      <c r="D53" s="17">
        <f t="shared" ref="D53:N53" si="17">$D$50/D50</f>
        <v>1</v>
      </c>
      <c r="E53" s="17">
        <f t="shared" si="17"/>
        <v>0.96154398100886029</v>
      </c>
      <c r="F53" s="17">
        <f t="shared" si="17"/>
        <v>0.92567092250884586</v>
      </c>
      <c r="G53" s="17">
        <f t="shared" si="17"/>
        <v>0.90805214020611702</v>
      </c>
      <c r="H53" s="17">
        <f t="shared" si="17"/>
        <v>0.89464915658683841</v>
      </c>
      <c r="I53" s="17">
        <f t="shared" si="17"/>
        <v>0.86899613417574628</v>
      </c>
      <c r="J53" s="17">
        <f t="shared" si="17"/>
        <v>0.84430346982582616</v>
      </c>
      <c r="K53" s="17">
        <f t="shared" si="17"/>
        <v>0.82013735977714419</v>
      </c>
      <c r="L53" s="17">
        <f t="shared" si="17"/>
        <v>0.79731614628769332</v>
      </c>
      <c r="M53" s="17">
        <f t="shared" si="17"/>
        <v>0.73882383219300496</v>
      </c>
      <c r="N53" s="17">
        <f t="shared" si="17"/>
        <v>0.7309848525410898</v>
      </c>
    </row>
    <row r="54" spans="1:14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14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 s="52" customFormat="1" x14ac:dyDescent="0.15">
      <c r="B56" s="10" t="s">
        <v>47</v>
      </c>
      <c r="C56" s="57">
        <f>(C47*($C$62+ C21*C22*C23*($C$66 + C25*($C$67 + C9*$C$68)) ) + $C$64*(C27)^2 + $C$65*((C27)^2)/(C10/C25) )/1000000000</f>
        <v>0.30858727595149815</v>
      </c>
      <c r="D56" s="57">
        <f t="shared" ref="D56:N56" si="18">$C$69*(D47*($C$62+ $C$63*3*D15+D16*D28+D21*D22*D23*($C$66 + D25*($C$67 + D9*$C$68)) ) + $C$64*(D27)^2 + $C$65*((D27)^2)/(D10/D25) )/1000000000</f>
        <v>0.423687871728054</v>
      </c>
      <c r="E56" s="57">
        <f t="shared" si="18"/>
        <v>0.44702041467029169</v>
      </c>
      <c r="F56" s="57">
        <f t="shared" si="18"/>
        <v>0.47731475413058544</v>
      </c>
      <c r="G56" s="57">
        <f t="shared" si="18"/>
        <v>0.51183338636794973</v>
      </c>
      <c r="H56" s="57">
        <f t="shared" si="18"/>
        <v>0.51950130226859315</v>
      </c>
      <c r="I56" s="57">
        <f t="shared" si="18"/>
        <v>0.53483713406987998</v>
      </c>
      <c r="J56" s="57">
        <f t="shared" si="18"/>
        <v>0.60042361900159769</v>
      </c>
      <c r="K56" s="57">
        <f t="shared" si="18"/>
        <v>0.61811565934050294</v>
      </c>
      <c r="L56" s="57">
        <f t="shared" si="18"/>
        <v>0.6358076996794082</v>
      </c>
      <c r="M56" s="57">
        <f t="shared" si="18"/>
        <v>0.78345587020077978</v>
      </c>
      <c r="N56" s="57">
        <f t="shared" si="18"/>
        <v>0.79185754173108303</v>
      </c>
    </row>
    <row r="57" spans="1:14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2.4635193913073263</v>
      </c>
      <c r="D57" s="60">
        <f>(D47*($C$43+ $C$63*3*D15+D16*D28+D12*D21*D22*D23*($C$44 + D25*($C$45 + D9*$C$46)) ) + $C$64*(D27)^2 + $C$65*((D27)^2)/(D10/D25) )/1000000000</f>
        <v>2.4764254291782333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spans="1:14" s="12" customFormat="1" x14ac:dyDescent="0.15">
      <c r="B58" s="10" t="s">
        <v>56</v>
      </c>
      <c r="C58" s="29">
        <f>1000000000*C56/C14</f>
        <v>117.71670377788473</v>
      </c>
      <c r="D58" s="29">
        <f t="shared" ref="D58:N58" si="19">1000000000*D56/D14</f>
        <v>161.62409657594833</v>
      </c>
      <c r="E58" s="29">
        <f t="shared" si="19"/>
        <v>170.52475535213154</v>
      </c>
      <c r="F58" s="29">
        <f t="shared" si="19"/>
        <v>182.08112874244134</v>
      </c>
      <c r="G58" s="29">
        <f t="shared" si="19"/>
        <v>195.24894194334018</v>
      </c>
      <c r="H58" s="29">
        <f t="shared" si="19"/>
        <v>198.17401972526289</v>
      </c>
      <c r="I58" s="29">
        <f t="shared" si="19"/>
        <v>204.02417528910829</v>
      </c>
      <c r="J58" s="29">
        <f t="shared" si="19"/>
        <v>229.04343376220612</v>
      </c>
      <c r="K58" s="29">
        <f t="shared" si="19"/>
        <v>235.79241155262108</v>
      </c>
      <c r="L58" s="29">
        <f t="shared" si="19"/>
        <v>242.54138934303597</v>
      </c>
      <c r="M58" s="29">
        <f t="shared" si="19"/>
        <v>298.86469657927694</v>
      </c>
      <c r="N58" s="29">
        <f t="shared" si="19"/>
        <v>302.0696799206097</v>
      </c>
    </row>
    <row r="59" spans="1:14" s="12" customFormat="1" x14ac:dyDescent="0.15">
      <c r="B59" s="10" t="s">
        <v>58</v>
      </c>
      <c r="C59" s="17">
        <f>$D$56/C56</f>
        <v>1.372992034171385</v>
      </c>
      <c r="D59" s="17">
        <f t="shared" ref="D59:N59" si="20">$D$56/D56</f>
        <v>1</v>
      </c>
      <c r="E59" s="17">
        <f t="shared" si="20"/>
        <v>0.94780430115379177</v>
      </c>
      <c r="F59" s="17">
        <f t="shared" si="20"/>
        <v>0.88764880628881626</v>
      </c>
      <c r="G59" s="17">
        <f t="shared" si="20"/>
        <v>0.82778474990584305</v>
      </c>
      <c r="H59" s="17">
        <f t="shared" si="20"/>
        <v>0.81556652481498193</v>
      </c>
      <c r="I59" s="17">
        <f t="shared" si="20"/>
        <v>0.79218110474860259</v>
      </c>
      <c r="J59" s="17">
        <f t="shared" si="20"/>
        <v>0.70564824287321481</v>
      </c>
      <c r="K59" s="17">
        <f t="shared" si="20"/>
        <v>0.68545079763891892</v>
      </c>
      <c r="L59" s="17">
        <f t="shared" si="20"/>
        <v>0.66637738413940117</v>
      </c>
      <c r="M59" s="17">
        <f t="shared" si="20"/>
        <v>0.54079353776425676</v>
      </c>
      <c r="N59" s="17">
        <f t="shared" si="20"/>
        <v>0.5350556752946094</v>
      </c>
    </row>
    <row r="60" spans="1:14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4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15">
      <c r="B62" s="10" t="s">
        <v>53</v>
      </c>
      <c r="C62" s="59">
        <v>5779.9289114493604</v>
      </c>
      <c r="D62" s="63"/>
    </row>
    <row r="63" spans="1:14" x14ac:dyDescent="0.15">
      <c r="B63" s="10" t="s">
        <v>55</v>
      </c>
      <c r="C63" s="53">
        <v>4</v>
      </c>
      <c r="D63" s="52"/>
    </row>
    <row r="64" spans="1:14" x14ac:dyDescent="0.15">
      <c r="B64" s="10" t="s">
        <v>59</v>
      </c>
      <c r="C64" s="53">
        <v>0</v>
      </c>
      <c r="D64" s="52"/>
    </row>
    <row r="65" spans="1:14" x14ac:dyDescent="0.15">
      <c r="B65" s="10" t="s">
        <v>67</v>
      </c>
      <c r="C65" s="53">
        <v>0</v>
      </c>
      <c r="D65" s="52"/>
    </row>
    <row r="66" spans="1:14" x14ac:dyDescent="0.15">
      <c r="B66" s="10" t="s">
        <v>60</v>
      </c>
      <c r="C66">
        <f xml:space="preserve"> 2683.7691293614</f>
        <v>2683.7691293613998</v>
      </c>
      <c r="D66" s="34"/>
    </row>
    <row r="67" spans="1:14" x14ac:dyDescent="0.15">
      <c r="B67" s="10" t="s">
        <v>61</v>
      </c>
      <c r="C67" s="1">
        <v>111.971932555903</v>
      </c>
    </row>
    <row r="68" spans="1:14" x14ac:dyDescent="0.15">
      <c r="B68" s="10" t="s">
        <v>62</v>
      </c>
      <c r="C68" s="1">
        <v>559.12699999999995</v>
      </c>
    </row>
    <row r="69" spans="1:14" x14ac:dyDescent="0.15">
      <c r="B69" s="6" t="s">
        <v>52</v>
      </c>
      <c r="C69" s="35">
        <f>(D33/C33)/(D57/C57)</f>
        <v>1.3178745980456135</v>
      </c>
      <c r="D69" s="35"/>
    </row>
    <row r="70" spans="1:14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1:14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15">
      <c r="B72" s="27" t="s">
        <v>14</v>
      </c>
      <c r="C72" s="34">
        <f t="shared" ref="C72:N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</row>
    <row r="73" spans="1:14" x14ac:dyDescent="0.15">
      <c r="B73" s="27" t="s">
        <v>15</v>
      </c>
      <c r="C73" s="34">
        <f t="shared" ref="C73:N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</row>
    <row r="74" spans="1:14" x14ac:dyDescent="0.15">
      <c r="B74" s="27" t="s">
        <v>9</v>
      </c>
      <c r="C74" s="34">
        <f t="shared" ref="C74:N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</row>
    <row r="75" spans="1:14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</row>
    <row r="76" spans="1:14" x14ac:dyDescent="0.15">
      <c r="B76" s="27" t="s">
        <v>16</v>
      </c>
      <c r="C76" s="34">
        <f t="shared" ref="C76:N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</row>
    <row r="77" spans="1:14" x14ac:dyDescent="0.15">
      <c r="B77" s="48"/>
    </row>
    <row r="78" spans="1:14" ht="16" x14ac:dyDescent="0.2">
      <c r="A78" s="75" t="s">
        <v>86</v>
      </c>
      <c r="B78" s="77"/>
    </row>
    <row r="79" spans="1:14" x14ac:dyDescent="0.15">
      <c r="B79" s="10" t="s">
        <v>47</v>
      </c>
      <c r="C79" s="1">
        <v>0.309</v>
      </c>
      <c r="D79" s="1">
        <v>0.41299999999999998</v>
      </c>
      <c r="E79" s="1">
        <v>0.43130000000000002</v>
      </c>
      <c r="F79" s="1">
        <v>0.44800000000000001</v>
      </c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enableFormatConditionsCalculation="0"/>
  <dimension ref="A1:AB77"/>
  <sheetViews>
    <sheetView zoomScale="125" zoomScaleNormal="125" zoomScalePageLayoutView="125" workbookViewId="0">
      <selection activeCell="L31" sqref="L3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</row>
    <row r="4" spans="1:14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v>90112</v>
      </c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704</v>
      </c>
    </row>
    <row r="8" spans="1:14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</row>
    <row r="10" spans="1:14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</row>
    <row r="11" spans="1:14" x14ac:dyDescent="0.15">
      <c r="B11" s="6" t="s">
        <v>35</v>
      </c>
      <c r="C11" s="56">
        <f>C6*C7*C8</f>
        <v>4096</v>
      </c>
      <c r="D11" s="8">
        <f t="shared" ref="D11:N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369098752</v>
      </c>
    </row>
    <row r="12" spans="1:14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</row>
    <row r="13" spans="1:14" x14ac:dyDescent="0.15">
      <c r="B13" s="6" t="s">
        <v>25</v>
      </c>
      <c r="C13" s="34">
        <f>C9*C10*C11*C12</f>
        <v>2621440</v>
      </c>
      <c r="D13" s="34">
        <f t="shared" ref="D13:N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42949672960</v>
      </c>
      <c r="L13" s="34">
        <f t="shared" si="2"/>
        <v>85899345920</v>
      </c>
      <c r="M13" s="34">
        <f t="shared" si="2"/>
        <v>171798691840</v>
      </c>
      <c r="N13" s="34">
        <f t="shared" si="2"/>
        <v>236223201280</v>
      </c>
    </row>
    <row r="14" spans="1:14" x14ac:dyDescent="0.15">
      <c r="B14" s="6" t="s">
        <v>26</v>
      </c>
      <c r="C14" s="34">
        <f t="shared" ref="C14:N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2621440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N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176</v>
      </c>
    </row>
    <row r="20" spans="1:2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</row>
    <row r="21" spans="1:28" x14ac:dyDescent="0.15">
      <c r="B21" s="6" t="s">
        <v>28</v>
      </c>
      <c r="C21" s="7">
        <f>C6/C18</f>
        <v>16</v>
      </c>
      <c r="D21" s="7">
        <f t="shared" ref="D21:N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2</v>
      </c>
    </row>
    <row r="22" spans="1:28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v>4</v>
      </c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</row>
    <row r="24" spans="1:28" s="2" customFormat="1" x14ac:dyDescent="0.15">
      <c r="B24" s="10" t="s">
        <v>32</v>
      </c>
      <c r="C24" s="7">
        <f>C9</f>
        <v>1</v>
      </c>
      <c r="D24" s="7">
        <f t="shared" ref="D24:M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v>1</v>
      </c>
    </row>
    <row r="25" spans="1:2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</row>
    <row r="26" spans="1:28" x14ac:dyDescent="0.15">
      <c r="B26" s="10" t="s">
        <v>49</v>
      </c>
      <c r="C26" s="7">
        <f>(C6/(C18*C21))*(C7/(C19*C22))*(C8/(C20*C23))*(C9/C24)</f>
        <v>16</v>
      </c>
      <c r="D26" s="7">
        <f t="shared" ref="D26:N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</row>
    <row r="27" spans="1:28" x14ac:dyDescent="0.15">
      <c r="B27" s="10" t="s">
        <v>8</v>
      </c>
      <c r="C27" s="1">
        <f t="shared" ref="C27:N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</row>
    <row r="28" spans="1:28" x14ac:dyDescent="0.15">
      <c r="B28" s="10" t="s">
        <v>50</v>
      </c>
      <c r="D28" s="1">
        <f>( D21*D23 + D22*D23 + D21*D22)*D24*D25*4</f>
        <v>11520</v>
      </c>
      <c r="E28" s="1">
        <f t="shared" ref="E28:N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>
        <v>2.8</v>
      </c>
      <c r="D30">
        <v>3.8849999999999998</v>
      </c>
      <c r="E30">
        <v>4.7089999999999996</v>
      </c>
      <c r="F30">
        <v>5.1079999999999997</v>
      </c>
      <c r="G30">
        <v>5.8940000000000001</v>
      </c>
      <c r="H30">
        <v>5.9749999999999996</v>
      </c>
      <c r="I30">
        <v>6.4089999999999998</v>
      </c>
      <c r="J30">
        <v>6.94</v>
      </c>
      <c r="K30">
        <v>7.4080000000000004</v>
      </c>
      <c r="L30" s="80">
        <v>7.6749999999999998</v>
      </c>
      <c r="M30" s="80"/>
      <c r="N30" s="80"/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</row>
    <row r="33" spans="1:16" s="52" customFormat="1" x14ac:dyDescent="0.15">
      <c r="B33" s="10" t="s">
        <v>34</v>
      </c>
      <c r="C33" s="17">
        <f t="shared" ref="C33:N33" si="11">C30/C32</f>
        <v>0.27999999999999997</v>
      </c>
      <c r="D33" s="17">
        <f t="shared" si="11"/>
        <v>0.38849999999999996</v>
      </c>
      <c r="E33" s="17">
        <f t="shared" si="11"/>
        <v>0.47089999999999999</v>
      </c>
      <c r="F33" s="17">
        <f t="shared" si="11"/>
        <v>0.51079999999999992</v>
      </c>
      <c r="G33" s="17">
        <f t="shared" si="11"/>
        <v>0.58940000000000003</v>
      </c>
      <c r="H33" s="17">
        <f t="shared" si="11"/>
        <v>0.59749999999999992</v>
      </c>
      <c r="I33" s="17">
        <f>I30/I32</f>
        <v>0.64090000000000003</v>
      </c>
      <c r="J33" s="17">
        <f>J30/J32</f>
        <v>0.69400000000000006</v>
      </c>
      <c r="K33" s="17">
        <f>K30/K32</f>
        <v>0.74080000000000001</v>
      </c>
      <c r="L33" s="17">
        <f>L30/L32</f>
        <v>0.76749999999999996</v>
      </c>
      <c r="M33" s="17">
        <f>M30/M32</f>
        <v>0</v>
      </c>
      <c r="N33" s="17">
        <f t="shared" si="11"/>
        <v>0</v>
      </c>
      <c r="P33" s="79"/>
    </row>
    <row r="34" spans="1:16" x14ac:dyDescent="0.15">
      <c r="B34" s="6" t="s">
        <v>56</v>
      </c>
      <c r="C34" s="13">
        <f t="shared" ref="C34:N34" si="12">1000000000*C33/C14</f>
        <v>106.8115234375</v>
      </c>
      <c r="D34" s="13">
        <f t="shared" si="12"/>
        <v>148.20098876953122</v>
      </c>
      <c r="E34" s="13">
        <f t="shared" si="12"/>
        <v>179.63409423828125</v>
      </c>
      <c r="F34" s="13">
        <f t="shared" si="12"/>
        <v>194.85473632812497</v>
      </c>
      <c r="G34" s="13">
        <f t="shared" si="12"/>
        <v>224.8382568359375</v>
      </c>
      <c r="H34" s="13">
        <f t="shared" si="12"/>
        <v>227.92816162109369</v>
      </c>
      <c r="I34" s="13">
        <f t="shared" si="12"/>
        <v>244.48394775390625</v>
      </c>
      <c r="J34" s="13">
        <f t="shared" si="12"/>
        <v>264.73999023437506</v>
      </c>
      <c r="K34" s="13">
        <f t="shared" si="12"/>
        <v>282.5927734375</v>
      </c>
      <c r="L34" s="13">
        <f t="shared" si="12"/>
        <v>292.77801513671875</v>
      </c>
      <c r="M34" s="13">
        <f t="shared" si="12"/>
        <v>0</v>
      </c>
      <c r="N34" s="13">
        <f t="shared" si="12"/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1.3875</v>
      </c>
      <c r="D40" s="37">
        <f t="shared" ref="D40:N40" si="13">$D$33/D33</f>
        <v>1</v>
      </c>
      <c r="E40" s="37">
        <f t="shared" si="13"/>
        <v>0.82501592694839665</v>
      </c>
      <c r="F40" s="37">
        <f t="shared" si="13"/>
        <v>0.76057165231010182</v>
      </c>
      <c r="G40" s="37">
        <f t="shared" si="13"/>
        <v>0.65914489311163882</v>
      </c>
      <c r="H40" s="37">
        <f t="shared" si="13"/>
        <v>0.6502092050209205</v>
      </c>
      <c r="I40" s="37">
        <f t="shared" si="13"/>
        <v>0.60617881104696514</v>
      </c>
      <c r="J40" s="37">
        <f t="shared" si="13"/>
        <v>0.55979827089337164</v>
      </c>
      <c r="K40" s="37">
        <f t="shared" si="13"/>
        <v>0.52443304535637147</v>
      </c>
      <c r="L40" s="37">
        <f t="shared" si="13"/>
        <v>0.50618892508143321</v>
      </c>
      <c r="M40" s="37" t="e">
        <f t="shared" si="13"/>
        <v>#DIV/0!</v>
      </c>
      <c r="N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100</v>
      </c>
    </row>
    <row r="46" spans="1:16" x14ac:dyDescent="0.15">
      <c r="B46" s="10" t="s">
        <v>62</v>
      </c>
      <c r="C46" s="1">
        <v>75</v>
      </c>
    </row>
    <row r="47" spans="1:16" s="28" customFormat="1" x14ac:dyDescent="0.15">
      <c r="B47" s="10" t="s">
        <v>54</v>
      </c>
      <c r="C47" s="16">
        <f t="shared" ref="C47:N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4524</v>
      </c>
    </row>
    <row r="48" spans="1:16" x14ac:dyDescent="0.15">
      <c r="B48" s="10" t="s">
        <v>52</v>
      </c>
      <c r="C48" s="35">
        <f>(D33/C33)/(D51/C51)</f>
        <v>1.3720542186642457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 spans="1:14" s="52" customFormat="1" x14ac:dyDescent="0.15">
      <c r="B50" s="10" t="s">
        <v>47</v>
      </c>
      <c r="C50" s="17">
        <f>(C47*($C$43+C12*C21*C22*C23*($C$44 + C25*($C$45 + C9*$C$46)) ) )/1000000000</f>
        <v>0.72537600000000002</v>
      </c>
      <c r="D50" s="17">
        <f>$C$48*(D47*($C$43+ 3*D15+D16*D28+D12*D21*D22*D23*($C$44 + D25*($C$45 + D9*$C$46)) ) )/1000000000</f>
        <v>1.0064592000000001</v>
      </c>
      <c r="E50" s="17">
        <f t="shared" ref="E50:N50" si="15">$C$48*(E47*($C$43+ 3*E15+E16*E28+E12*E21*E22*E23*($C$44 + E25*($C$45 + E9*$C$46)) ) )/1000000000</f>
        <v>1.0470033080154943</v>
      </c>
      <c r="F50" s="17">
        <f t="shared" si="15"/>
        <v>1.0888671809515882</v>
      </c>
      <c r="G50" s="17">
        <f t="shared" si="15"/>
        <v>1.1125038243977645</v>
      </c>
      <c r="H50" s="17">
        <f t="shared" si="15"/>
        <v>1.1291705483587797</v>
      </c>
      <c r="I50" s="17">
        <f t="shared" si="15"/>
        <v>1.1625039962808101</v>
      </c>
      <c r="J50" s="17">
        <f t="shared" si="15"/>
        <v>1.2028639830115673</v>
      </c>
      <c r="K50" s="17">
        <f t="shared" si="15"/>
        <v>1.2383074889566597</v>
      </c>
      <c r="L50" s="17">
        <f t="shared" si="15"/>
        <v>1.2737509949017518</v>
      </c>
      <c r="M50" s="17">
        <f t="shared" si="15"/>
        <v>1.3869872815053301</v>
      </c>
      <c r="N50" s="17">
        <f t="shared" si="15"/>
        <v>1.4018611397520357</v>
      </c>
    </row>
    <row r="51" spans="1:14" s="52" customFormat="1" ht="13" hidden="1" customHeight="1" x14ac:dyDescent="0.15">
      <c r="B51" s="27" t="s">
        <v>66</v>
      </c>
      <c r="C51" s="60">
        <f>(C47*($C$43+C12*C21*C22*C23*($C$44 + C25*($C$45 + C9*$C$46)) ) )/1000000000</f>
        <v>0.72537600000000002</v>
      </c>
      <c r="D51" s="60">
        <f>(D47*($C$43+ 3*D15+D16*D28+D12*D21*D22*D23*($C$44 + D25*($C$45 + D9*$C$46)) ) )/1000000000</f>
        <v>0.73354185739090672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s="12" customFormat="1" x14ac:dyDescent="0.15">
      <c r="B52" s="10" t="s">
        <v>56</v>
      </c>
      <c r="C52" s="29">
        <f>1000000000*C50/C14</f>
        <v>276.708984375</v>
      </c>
      <c r="D52" s="29">
        <f t="shared" ref="D52:N52" si="16">1000000000*D50/D14</f>
        <v>383.93371582031256</v>
      </c>
      <c r="E52" s="29">
        <f t="shared" si="16"/>
        <v>399.40006561870359</v>
      </c>
      <c r="F52" s="29">
        <f t="shared" si="16"/>
        <v>415.36986578048254</v>
      </c>
      <c r="G52" s="29">
        <f t="shared" si="16"/>
        <v>424.38652969275074</v>
      </c>
      <c r="H52" s="29">
        <f t="shared" si="16"/>
        <v>430.74438032485187</v>
      </c>
      <c r="I52" s="29">
        <f t="shared" si="16"/>
        <v>443.46008158905414</v>
      </c>
      <c r="J52" s="29">
        <f t="shared" si="16"/>
        <v>458.85619469130222</v>
      </c>
      <c r="K52" s="29">
        <f t="shared" si="16"/>
        <v>472.37681921259292</v>
      </c>
      <c r="L52" s="29">
        <f t="shared" si="16"/>
        <v>485.89744373388356</v>
      </c>
      <c r="M52" s="29">
        <f t="shared" si="16"/>
        <v>529.09365902150353</v>
      </c>
      <c r="N52" s="29">
        <f t="shared" si="16"/>
        <v>534.76758565980367</v>
      </c>
    </row>
    <row r="53" spans="1:14" s="12" customFormat="1" x14ac:dyDescent="0.15">
      <c r="B53" s="10" t="s">
        <v>58</v>
      </c>
      <c r="C53" s="17">
        <f>$D$50/C50</f>
        <v>1.3875000000000002</v>
      </c>
      <c r="D53" s="17">
        <f t="shared" ref="D53:N53" si="17">$D$50/D50</f>
        <v>1</v>
      </c>
      <c r="E53" s="17">
        <f t="shared" si="17"/>
        <v>0.96127604592544968</v>
      </c>
      <c r="F53" s="17">
        <f t="shared" si="17"/>
        <v>0.92431769237496009</v>
      </c>
      <c r="G53" s="17">
        <f t="shared" si="17"/>
        <v>0.90467931698556636</v>
      </c>
      <c r="H53" s="17">
        <f t="shared" si="17"/>
        <v>0.89132611673485695</v>
      </c>
      <c r="I53" s="17">
        <f t="shared" si="17"/>
        <v>0.86576837862059575</v>
      </c>
      <c r="J53" s="17">
        <f t="shared" si="17"/>
        <v>0.83671904239759876</v>
      </c>
      <c r="K53" s="17">
        <f t="shared" si="17"/>
        <v>0.81277001792825776</v>
      </c>
      <c r="L53" s="17">
        <f t="shared" si="17"/>
        <v>0.79015380873373242</v>
      </c>
      <c r="M53" s="17">
        <f t="shared" si="17"/>
        <v>0.72564414499004359</v>
      </c>
      <c r="N53" s="17">
        <f t="shared" si="17"/>
        <v>0.71794500286813345</v>
      </c>
    </row>
    <row r="54" spans="1:14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14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0.72537600000000002</v>
      </c>
      <c r="D56" s="57">
        <f>$C$69*(D47*($C$62+ $C$63*3*D15+D16*D28+D12*D21*D22*D23*($C$66 + D25*($C$67 + D9*$C$68)) ) + $C$64*(D27)^2 + $C$65*((D27)^2)/(D10/D25) )/1000000000</f>
        <v>1.0064592000000001</v>
      </c>
      <c r="E56" s="57">
        <f t="shared" ref="E56:N56" si="18">$C$69*(E47*($C$62+ $C$63*3*E15+E16*E28+E12*E21*E22*E23*($C$66 + E25*($C$67 + E9*$C$68)) ) + $C$64*(E27)^2 + $C$65*((E27)^2)/(E10/E25) )/1000000000</f>
        <v>1.0470033080154943</v>
      </c>
      <c r="F56" s="57">
        <f t="shared" si="18"/>
        <v>1.0888671809515882</v>
      </c>
      <c r="G56" s="57">
        <f t="shared" si="18"/>
        <v>1.1125038243977645</v>
      </c>
      <c r="H56" s="57">
        <f t="shared" si="18"/>
        <v>1.1291705483587797</v>
      </c>
      <c r="I56" s="57">
        <f t="shared" si="18"/>
        <v>1.1625039962808101</v>
      </c>
      <c r="J56" s="57">
        <f t="shared" si="18"/>
        <v>1.2028639830115673</v>
      </c>
      <c r="K56" s="57">
        <f t="shared" si="18"/>
        <v>1.2383074889566597</v>
      </c>
      <c r="L56" s="57">
        <f t="shared" si="18"/>
        <v>1.2737509949017518</v>
      </c>
      <c r="M56" s="57">
        <f t="shared" si="18"/>
        <v>1.3869872815053301</v>
      </c>
      <c r="N56" s="57">
        <f t="shared" si="18"/>
        <v>1.4018611397520357</v>
      </c>
    </row>
    <row r="57" spans="1:14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0.72537600000000002</v>
      </c>
      <c r="D57" s="60">
        <f>(D47*($C$43+ $C$63*3*D15+D16*D28+D12*D21*D22*D23*($C$44 + D25*($C$45 + D9*$C$46)) ) + $C$64*(D27)^2 + $C$65*((D27)^2)/(D10/D25) )/1000000000</f>
        <v>0.73354185739090672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spans="1:14" s="12" customFormat="1" x14ac:dyDescent="0.15">
      <c r="B58" s="10" t="s">
        <v>56</v>
      </c>
      <c r="C58" s="29">
        <f>1000000000*C56/C14</f>
        <v>276.708984375</v>
      </c>
      <c r="D58" s="29">
        <f t="shared" ref="D58:N58" si="19">1000000000*D56/D14</f>
        <v>383.93371582031256</v>
      </c>
      <c r="E58" s="29">
        <f t="shared" si="19"/>
        <v>399.40006561870359</v>
      </c>
      <c r="F58" s="29">
        <f t="shared" si="19"/>
        <v>415.36986578048254</v>
      </c>
      <c r="G58" s="29">
        <f t="shared" si="19"/>
        <v>424.38652969275074</v>
      </c>
      <c r="H58" s="29">
        <f t="shared" si="19"/>
        <v>430.74438032485187</v>
      </c>
      <c r="I58" s="29">
        <f t="shared" si="19"/>
        <v>443.46008158905414</v>
      </c>
      <c r="J58" s="29">
        <f t="shared" si="19"/>
        <v>458.85619469130222</v>
      </c>
      <c r="K58" s="29">
        <f t="shared" si="19"/>
        <v>472.37681921259292</v>
      </c>
      <c r="L58" s="29">
        <f t="shared" si="19"/>
        <v>485.89744373388356</v>
      </c>
      <c r="M58" s="29">
        <f t="shared" si="19"/>
        <v>529.09365902150353</v>
      </c>
      <c r="N58" s="29">
        <f t="shared" si="19"/>
        <v>534.76758565980367</v>
      </c>
    </row>
    <row r="59" spans="1:14" s="12" customFormat="1" x14ac:dyDescent="0.15">
      <c r="B59" s="10" t="s">
        <v>58</v>
      </c>
      <c r="C59" s="17">
        <f>$D$56/C56</f>
        <v>1.3875000000000002</v>
      </c>
      <c r="D59" s="17">
        <f t="shared" ref="D59:N59" si="20">$D$56/D56</f>
        <v>1</v>
      </c>
      <c r="E59" s="17">
        <f t="shared" si="20"/>
        <v>0.96127604592544968</v>
      </c>
      <c r="F59" s="17">
        <f t="shared" si="20"/>
        <v>0.92431769237496009</v>
      </c>
      <c r="G59" s="17">
        <f t="shared" si="20"/>
        <v>0.90467931698556636</v>
      </c>
      <c r="H59" s="17">
        <f t="shared" si="20"/>
        <v>0.89132611673485695</v>
      </c>
      <c r="I59" s="17">
        <f t="shared" si="20"/>
        <v>0.86576837862059575</v>
      </c>
      <c r="J59" s="17">
        <f t="shared" si="20"/>
        <v>0.83671904239759876</v>
      </c>
      <c r="K59" s="17">
        <f t="shared" si="20"/>
        <v>0.81277001792825776</v>
      </c>
      <c r="L59" s="17">
        <f t="shared" si="20"/>
        <v>0.79015380873373242</v>
      </c>
      <c r="M59" s="17">
        <f t="shared" si="20"/>
        <v>0.72564414499004359</v>
      </c>
      <c r="N59" s="17">
        <f t="shared" si="20"/>
        <v>0.71794500286813345</v>
      </c>
    </row>
    <row r="60" spans="1:14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4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15">
      <c r="B62" s="10" t="s">
        <v>53</v>
      </c>
      <c r="C62" s="59">
        <v>35000</v>
      </c>
      <c r="D62" s="63"/>
    </row>
    <row r="63" spans="1:14" x14ac:dyDescent="0.15">
      <c r="B63" s="10" t="s">
        <v>55</v>
      </c>
      <c r="C63" s="53">
        <v>1</v>
      </c>
      <c r="D63" s="52"/>
    </row>
    <row r="64" spans="1:14" x14ac:dyDescent="0.15">
      <c r="B64" s="10" t="s">
        <v>59</v>
      </c>
      <c r="C64" s="53">
        <v>0</v>
      </c>
      <c r="D64" s="52"/>
    </row>
    <row r="65" spans="1:14" x14ac:dyDescent="0.15">
      <c r="B65" s="10" t="s">
        <v>67</v>
      </c>
      <c r="C65" s="53">
        <v>0</v>
      </c>
      <c r="D65" s="52"/>
    </row>
    <row r="66" spans="1:14" x14ac:dyDescent="0.15">
      <c r="B66" s="10" t="s">
        <v>60</v>
      </c>
      <c r="C66" s="34">
        <v>1000</v>
      </c>
      <c r="D66" s="34"/>
    </row>
    <row r="67" spans="1:14" x14ac:dyDescent="0.15">
      <c r="B67" s="10" t="s">
        <v>61</v>
      </c>
      <c r="C67" s="1">
        <v>100</v>
      </c>
    </row>
    <row r="68" spans="1:14" x14ac:dyDescent="0.15">
      <c r="B68" s="10" t="s">
        <v>62</v>
      </c>
      <c r="C68" s="1">
        <v>75</v>
      </c>
    </row>
    <row r="69" spans="1:14" x14ac:dyDescent="0.15">
      <c r="B69" s="6" t="s">
        <v>52</v>
      </c>
      <c r="C69" s="35">
        <f>(D33/C33)/(D57/C57)</f>
        <v>1.3720542186642457</v>
      </c>
      <c r="D69" s="35"/>
    </row>
    <row r="70" spans="1:14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1:14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15">
      <c r="B72" s="27" t="s">
        <v>14</v>
      </c>
      <c r="C72" s="34">
        <f t="shared" ref="C72:N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</row>
    <row r="73" spans="1:14" x14ac:dyDescent="0.15">
      <c r="B73" s="27" t="s">
        <v>15</v>
      </c>
      <c r="C73" s="34">
        <f t="shared" ref="C73:N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</row>
    <row r="74" spans="1:14" x14ac:dyDescent="0.15">
      <c r="B74" s="27" t="s">
        <v>9</v>
      </c>
      <c r="C74" s="34">
        <f t="shared" ref="C74:N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</row>
    <row r="75" spans="1:14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</row>
    <row r="76" spans="1:14" x14ac:dyDescent="0.15">
      <c r="B76" s="27" t="s">
        <v>16</v>
      </c>
      <c r="C76" s="34">
        <f t="shared" ref="C76:N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</row>
    <row r="77" spans="1:14" x14ac:dyDescent="0.15">
      <c r="B77" s="48"/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/>
  <dimension ref="A1:AD77"/>
  <sheetViews>
    <sheetView topLeftCell="A23" zoomScale="125" zoomScaleNormal="125" zoomScalePageLayoutView="125" workbookViewId="0">
      <selection activeCell="V19" sqref="V19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1307</v>
      </c>
      <c r="E2" s="65" t="s">
        <v>41</v>
      </c>
      <c r="F2" s="67">
        <v>2540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6.22</v>
      </c>
      <c r="D30" s="1">
        <v>7.5330000000000004</v>
      </c>
      <c r="E30" s="1">
        <v>9.1869999999999994</v>
      </c>
      <c r="F30" s="1">
        <v>10.72</v>
      </c>
      <c r="G30" s="1">
        <v>10.18</v>
      </c>
      <c r="H30" s="1">
        <v>11.1</v>
      </c>
      <c r="I30" s="1">
        <v>11.66</v>
      </c>
      <c r="J30" s="1">
        <v>13.25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0.622</v>
      </c>
      <c r="D33" s="17">
        <f t="shared" si="11"/>
        <v>0.75330000000000008</v>
      </c>
      <c r="E33" s="17">
        <f t="shared" si="11"/>
        <v>0.91869999999999996</v>
      </c>
      <c r="F33" s="17">
        <f t="shared" si="11"/>
        <v>1.0720000000000001</v>
      </c>
      <c r="G33" s="17">
        <f t="shared" si="11"/>
        <v>1.018</v>
      </c>
      <c r="H33" s="17">
        <f t="shared" si="11"/>
        <v>1.1099999999999999</v>
      </c>
      <c r="I33" s="17">
        <f>I30/I32</f>
        <v>1.1659999999999999</v>
      </c>
      <c r="J33" s="17">
        <f>J30/J32</f>
        <v>1.325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79.091389973958329</v>
      </c>
      <c r="D34" s="13">
        <f t="shared" si="12"/>
        <v>95.787048339843764</v>
      </c>
      <c r="E34" s="13">
        <f t="shared" si="12"/>
        <v>116.81874593098958</v>
      </c>
      <c r="F34" s="13">
        <f t="shared" si="12"/>
        <v>136.31184895833334</v>
      </c>
      <c r="G34" s="13">
        <f t="shared" si="12"/>
        <v>129.44539388020834</v>
      </c>
      <c r="H34" s="13">
        <f t="shared" si="12"/>
        <v>141.14379882812497</v>
      </c>
      <c r="I34" s="13">
        <f t="shared" si="12"/>
        <v>148.26456705729166</v>
      </c>
      <c r="J34" s="13">
        <f t="shared" si="12"/>
        <v>168.48246256510416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/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1.2110932475884246</v>
      </c>
      <c r="D40" s="37">
        <f t="shared" ref="D40:O40" si="13">$D$33/D33</f>
        <v>1</v>
      </c>
      <c r="E40" s="37">
        <f t="shared" si="13"/>
        <v>0.81996299118319371</v>
      </c>
      <c r="F40" s="37">
        <f t="shared" si="13"/>
        <v>0.70270522388059709</v>
      </c>
      <c r="G40" s="37">
        <f t="shared" si="13"/>
        <v>0.7399803536345777</v>
      </c>
      <c r="H40" s="37">
        <f t="shared" si="13"/>
        <v>0.67864864864864882</v>
      </c>
      <c r="I40" s="37">
        <f t="shared" si="13"/>
        <v>0.64605488850771886</v>
      </c>
      <c r="J40" s="37">
        <f t="shared" si="13"/>
        <v>0.56852830188679249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1.1816536575325298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1.037238389710611</v>
      </c>
      <c r="E50" s="17">
        <f t="shared" ref="E50:P50" si="15">$C$48*(E47*($C$43+ 3*E15+E16*E28+E12*E21*E22*E23*($C$44 + E25*($C$45 + E9*$C$46)) ) )/1000000000</f>
        <v>1.0783743133568144</v>
      </c>
      <c r="F50" s="17">
        <f t="shared" si="15"/>
        <v>1.1193557803572241</v>
      </c>
      <c r="G50" s="17">
        <f t="shared" si="15"/>
        <v>1.1394983478910565</v>
      </c>
      <c r="H50" s="17">
        <f t="shared" si="15"/>
        <v>1.1565694841890499</v>
      </c>
      <c r="I50" s="17">
        <f t="shared" si="15"/>
        <v>1.1907117567850365</v>
      </c>
      <c r="J50" s="17">
        <f t="shared" si="15"/>
        <v>1.2222101764753985</v>
      </c>
      <c r="K50" s="17">
        <f t="shared" si="15"/>
        <v>1.2582237360032189</v>
      </c>
      <c r="L50" s="17">
        <f t="shared" si="15"/>
        <v>1.2942372955310391</v>
      </c>
      <c r="M50" s="17">
        <f t="shared" si="15"/>
        <v>1.390222289533569</v>
      </c>
      <c r="N50" s="17">
        <f t="shared" si="15"/>
        <v>1.4299784229250561</v>
      </c>
      <c r="O50" s="17">
        <f t="shared" si="15"/>
        <v>1.5094906897080302</v>
      </c>
      <c r="P50" s="17">
        <f t="shared" si="15"/>
        <v>1.5890029564910049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131.89168163434485</v>
      </c>
      <c r="E52" s="29">
        <f t="shared" si="16"/>
        <v>137.12238481608256</v>
      </c>
      <c r="F52" s="29">
        <f t="shared" si="16"/>
        <v>142.33344781967469</v>
      </c>
      <c r="G52" s="29">
        <f t="shared" si="16"/>
        <v>144.89470772947394</v>
      </c>
      <c r="H52" s="29">
        <f t="shared" si="16"/>
        <v>147.06541496137618</v>
      </c>
      <c r="I52" s="29">
        <f t="shared" si="16"/>
        <v>151.40682942518063</v>
      </c>
      <c r="J52" s="29">
        <f t="shared" si="16"/>
        <v>155.41206060732506</v>
      </c>
      <c r="K52" s="29">
        <f t="shared" si="16"/>
        <v>159.99142150919837</v>
      </c>
      <c r="L52" s="29">
        <f t="shared" si="16"/>
        <v>164.57078241107166</v>
      </c>
      <c r="M52" s="29">
        <f t="shared" si="16"/>
        <v>176.77590554982106</v>
      </c>
      <c r="N52" s="29">
        <f t="shared" si="16"/>
        <v>181.83115932783204</v>
      </c>
      <c r="O52" s="29">
        <f t="shared" si="16"/>
        <v>191.94166688385394</v>
      </c>
      <c r="P52" s="29">
        <f t="shared" si="16"/>
        <v>202.05217443987593</v>
      </c>
    </row>
    <row r="53" spans="1:16" s="12" customFormat="1" x14ac:dyDescent="0.15">
      <c r="B53" s="10" t="s">
        <v>58</v>
      </c>
      <c r="C53" s="17">
        <f>$D$50/C50</f>
        <v>1.2110932475884246</v>
      </c>
      <c r="D53" s="17">
        <f t="shared" ref="D53:P53" si="17">$D$50/D50</f>
        <v>1</v>
      </c>
      <c r="E53" s="17">
        <f t="shared" si="17"/>
        <v>0.96185376159586589</v>
      </c>
      <c r="F53" s="17">
        <f t="shared" si="17"/>
        <v>0.92663870407636917</v>
      </c>
      <c r="G53" s="17">
        <f t="shared" si="17"/>
        <v>0.91025879206432847</v>
      </c>
      <c r="H53" s="17">
        <f t="shared" si="17"/>
        <v>0.89682323793791763</v>
      </c>
      <c r="I53" s="17">
        <f t="shared" si="17"/>
        <v>0.87110787627661546</v>
      </c>
      <c r="J53" s="17">
        <f t="shared" si="17"/>
        <v>0.84865795562412361</v>
      </c>
      <c r="K53" s="17">
        <f t="shared" si="17"/>
        <v>0.82436720913040973</v>
      </c>
      <c r="L53" s="17">
        <f t="shared" si="17"/>
        <v>0.8014282954850418</v>
      </c>
      <c r="M53" s="17">
        <f t="shared" si="17"/>
        <v>0.74609535289397</v>
      </c>
      <c r="N53" s="17">
        <f t="shared" si="17"/>
        <v>0.72535247601073194</v>
      </c>
      <c r="O53" s="17">
        <f t="shared" si="17"/>
        <v>0.68714460896160712</v>
      </c>
      <c r="P53" s="17">
        <f t="shared" si="17"/>
        <v>0.65276051594085416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1.037238389710611</v>
      </c>
      <c r="E56" s="57">
        <f t="shared" ref="E56:P56" si="18">$C$69*(E47*($C$62+ $C$63*3*E15+E16*E28+E12*E21*E22*E23*($C$66 + E25*($C$67 + E9*$C$68)) ) + $C$64*(E27)^2 + $C$65*((E27)^2)/(E10/E25) )/1000000000</f>
        <v>1.0783743133568144</v>
      </c>
      <c r="F56" s="57">
        <f t="shared" si="18"/>
        <v>1.1193557803572241</v>
      </c>
      <c r="G56" s="57">
        <f t="shared" si="18"/>
        <v>1.1394983478910565</v>
      </c>
      <c r="H56" s="57">
        <f t="shared" si="18"/>
        <v>1.1565694841890499</v>
      </c>
      <c r="I56" s="57">
        <f t="shared" si="18"/>
        <v>1.1907117567850365</v>
      </c>
      <c r="J56" s="57">
        <f t="shared" si="18"/>
        <v>1.2222101764753985</v>
      </c>
      <c r="K56" s="57">
        <f t="shared" si="18"/>
        <v>1.2582237360032189</v>
      </c>
      <c r="L56" s="57">
        <f t="shared" si="18"/>
        <v>1.2942372955310391</v>
      </c>
      <c r="M56" s="57">
        <f t="shared" si="18"/>
        <v>1.390222289533569</v>
      </c>
      <c r="N56" s="57">
        <f t="shared" si="18"/>
        <v>1.4299784229250561</v>
      </c>
      <c r="O56" s="57">
        <f t="shared" si="18"/>
        <v>1.5094906897080302</v>
      </c>
      <c r="P56" s="57">
        <f t="shared" si="18"/>
        <v>1.5890029564910049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131.89168163434485</v>
      </c>
      <c r="E58" s="29">
        <f t="shared" si="19"/>
        <v>137.12238481608256</v>
      </c>
      <c r="F58" s="29">
        <f t="shared" si="19"/>
        <v>142.33344781967469</v>
      </c>
      <c r="G58" s="29">
        <f t="shared" si="19"/>
        <v>144.89470772947394</v>
      </c>
      <c r="H58" s="29">
        <f t="shared" si="19"/>
        <v>147.06541496137618</v>
      </c>
      <c r="I58" s="29">
        <f t="shared" si="19"/>
        <v>151.40682942518063</v>
      </c>
      <c r="J58" s="29">
        <f t="shared" si="19"/>
        <v>155.41206060732506</v>
      </c>
      <c r="K58" s="29">
        <f t="shared" si="19"/>
        <v>159.99142150919837</v>
      </c>
      <c r="L58" s="29">
        <f t="shared" si="19"/>
        <v>164.57078241107166</v>
      </c>
      <c r="M58" s="29">
        <f t="shared" si="19"/>
        <v>176.77590554982106</v>
      </c>
      <c r="N58" s="29">
        <f t="shared" si="19"/>
        <v>181.83115932783204</v>
      </c>
      <c r="O58" s="29">
        <f t="shared" si="19"/>
        <v>191.94166688385394</v>
      </c>
      <c r="P58" s="29">
        <f t="shared" si="19"/>
        <v>202.05217443987593</v>
      </c>
    </row>
    <row r="59" spans="1:16" s="12" customFormat="1" x14ac:dyDescent="0.15">
      <c r="B59" s="10" t="s">
        <v>58</v>
      </c>
      <c r="C59" s="17">
        <f>$D$56/C56</f>
        <v>1.2110932475884246</v>
      </c>
      <c r="D59" s="17">
        <f t="shared" ref="D59:P59" si="20">$D$56/D56</f>
        <v>1</v>
      </c>
      <c r="E59" s="17">
        <f t="shared" si="20"/>
        <v>0.96185376159586589</v>
      </c>
      <c r="F59" s="17">
        <f t="shared" si="20"/>
        <v>0.92663870407636917</v>
      </c>
      <c r="G59" s="17">
        <f t="shared" si="20"/>
        <v>0.91025879206432847</v>
      </c>
      <c r="H59" s="17">
        <f t="shared" si="20"/>
        <v>0.89682323793791763</v>
      </c>
      <c r="I59" s="17">
        <f t="shared" si="20"/>
        <v>0.87110787627661546</v>
      </c>
      <c r="J59" s="17">
        <f t="shared" si="20"/>
        <v>0.84865795562412361</v>
      </c>
      <c r="K59" s="17">
        <f t="shared" si="20"/>
        <v>0.82436720913040973</v>
      </c>
      <c r="L59" s="17">
        <f t="shared" si="20"/>
        <v>0.8014282954850418</v>
      </c>
      <c r="M59" s="17">
        <f t="shared" si="20"/>
        <v>0.74609535289397</v>
      </c>
      <c r="N59" s="17">
        <f t="shared" si="20"/>
        <v>0.72535247601073194</v>
      </c>
      <c r="O59" s="17">
        <f t="shared" si="20"/>
        <v>0.68714460896160712</v>
      </c>
      <c r="P59" s="17">
        <f t="shared" si="20"/>
        <v>0.65276051594085416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1.1816536575325298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AD77"/>
  <sheetViews>
    <sheetView topLeftCell="A3" zoomScale="75" zoomScaleNormal="75" zoomScalePageLayoutView="75" workbookViewId="0">
      <selection activeCell="V63" sqref="V63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73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41733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2">
        <v>3</v>
      </c>
      <c r="E9" s="1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</row>
    <row r="10" spans="1:16" x14ac:dyDescent="0.15">
      <c r="B10" s="6" t="s">
        <v>23</v>
      </c>
      <c r="C10" s="2">
        <v>160</v>
      </c>
      <c r="D10" s="2">
        <v>160</v>
      </c>
      <c r="E10" s="1">
        <v>160</v>
      </c>
      <c r="F10" s="2">
        <v>160</v>
      </c>
      <c r="G10" s="2">
        <v>160</v>
      </c>
      <c r="H10" s="2">
        <v>160</v>
      </c>
      <c r="I10" s="2">
        <v>160</v>
      </c>
      <c r="J10" s="2">
        <v>160</v>
      </c>
      <c r="K10" s="2">
        <v>160</v>
      </c>
      <c r="L10" s="2">
        <v>160</v>
      </c>
      <c r="M10" s="2">
        <v>160</v>
      </c>
      <c r="N10" s="2">
        <v>160</v>
      </c>
      <c r="O10" s="2">
        <v>160</v>
      </c>
      <c r="P10" s="2">
        <v>160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20</v>
      </c>
      <c r="D25" s="36">
        <v>20</v>
      </c>
      <c r="E25" s="36">
        <v>10</v>
      </c>
      <c r="F25" s="36">
        <v>20</v>
      </c>
      <c r="G25" s="36">
        <v>20</v>
      </c>
      <c r="H25" s="36">
        <v>20</v>
      </c>
      <c r="I25" s="36">
        <v>20</v>
      </c>
      <c r="J25" s="36">
        <v>20</v>
      </c>
      <c r="K25" s="36">
        <v>20</v>
      </c>
      <c r="L25" s="36">
        <v>20</v>
      </c>
      <c r="M25" s="36">
        <v>20</v>
      </c>
      <c r="N25" s="36">
        <v>20</v>
      </c>
      <c r="O25" s="36">
        <v>20</v>
      </c>
      <c r="P25" s="36">
        <v>20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512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69120</v>
      </c>
      <c r="E28" s="1">
        <f t="shared" ref="E28:P28" si="10">( E21*E23 + E22*E23 + E21*E22)*E24*E25*4</f>
        <v>18240</v>
      </c>
      <c r="F28" s="1">
        <f t="shared" si="10"/>
        <v>19200</v>
      </c>
      <c r="G28" s="1">
        <f t="shared" si="10"/>
        <v>10560</v>
      </c>
      <c r="H28" s="1">
        <f t="shared" si="10"/>
        <v>10560</v>
      </c>
      <c r="I28" s="1">
        <f t="shared" si="10"/>
        <v>10560</v>
      </c>
      <c r="J28" s="1">
        <f t="shared" si="10"/>
        <v>5760</v>
      </c>
      <c r="K28" s="1">
        <f t="shared" si="10"/>
        <v>5760</v>
      </c>
      <c r="L28" s="1">
        <f t="shared" si="10"/>
        <v>5760</v>
      </c>
      <c r="M28" s="1">
        <f t="shared" si="10"/>
        <v>3360</v>
      </c>
      <c r="N28" s="1">
        <f t="shared" si="10"/>
        <v>3360</v>
      </c>
      <c r="O28" s="1">
        <f t="shared" si="10"/>
        <v>3360</v>
      </c>
      <c r="P28" s="1">
        <f t="shared" si="10"/>
        <v>3360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3.47</v>
      </c>
      <c r="D30" s="1">
        <v>4.702</v>
      </c>
      <c r="E30" s="1">
        <v>6.0739999999999998</v>
      </c>
      <c r="F30" s="1">
        <v>6.7409999999999997</v>
      </c>
      <c r="G30" s="1">
        <v>7.4740000000000002</v>
      </c>
      <c r="H30" s="1">
        <v>7.5010000000000003</v>
      </c>
      <c r="I30" s="74">
        <v>8.3719999999999999</v>
      </c>
      <c r="J30" s="1">
        <v>9.2129999999999992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0.34700000000000003</v>
      </c>
      <c r="D33" s="17">
        <f t="shared" si="11"/>
        <v>0.47020000000000001</v>
      </c>
      <c r="E33" s="17">
        <f t="shared" si="11"/>
        <v>0.60739999999999994</v>
      </c>
      <c r="F33" s="17">
        <f t="shared" si="11"/>
        <v>0.67409999999999992</v>
      </c>
      <c r="G33" s="17">
        <f t="shared" si="11"/>
        <v>0.74740000000000006</v>
      </c>
      <c r="H33" s="17">
        <f t="shared" si="11"/>
        <v>0.75009999999999999</v>
      </c>
      <c r="I33" s="17">
        <f>I30/I32</f>
        <v>0.83719999999999994</v>
      </c>
      <c r="J33" s="17">
        <f>J30/J32</f>
        <v>0.9212999999999999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44.123331705729171</v>
      </c>
      <c r="D34" s="13">
        <f t="shared" si="12"/>
        <v>59.789021809895836</v>
      </c>
      <c r="E34" s="13">
        <f t="shared" si="12"/>
        <v>77.234903971354157</v>
      </c>
      <c r="F34" s="13">
        <f t="shared" si="12"/>
        <v>85.716247558593736</v>
      </c>
      <c r="G34" s="13">
        <f t="shared" si="12"/>
        <v>95.036824544270843</v>
      </c>
      <c r="H34" s="13">
        <f t="shared" si="12"/>
        <v>95.380147298177079</v>
      </c>
      <c r="I34" s="13">
        <f t="shared" si="12"/>
        <v>106.45548502604167</v>
      </c>
      <c r="J34" s="13">
        <f t="shared" si="12"/>
        <v>117.14935302734374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2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1.3550432276657061</v>
      </c>
      <c r="D40" s="37">
        <f t="shared" ref="D40:P40" si="13">$D$33/D33</f>
        <v>1</v>
      </c>
      <c r="E40" s="37">
        <f t="shared" si="13"/>
        <v>0.77411919657556805</v>
      </c>
      <c r="F40" s="37">
        <f t="shared" si="13"/>
        <v>0.69752262275626775</v>
      </c>
      <c r="G40" s="37">
        <f t="shared" si="13"/>
        <v>0.62911426277762905</v>
      </c>
      <c r="H40" s="37">
        <f t="shared" si="13"/>
        <v>0.62684975336621784</v>
      </c>
      <c r="I40" s="37">
        <f t="shared" si="13"/>
        <v>0.56163401815575731</v>
      </c>
      <c r="J40" s="37">
        <f t="shared" si="13"/>
        <v>0.51036578747422123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520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1.2668720461402847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0.59046399999999999</v>
      </c>
      <c r="D50" s="17">
        <f>$C$48*(D47*($C$43+ 3*D15+D16*D28+D12*D21*D22*D23*($C$44 + D25*($C$45 + D9*$C$46)) ) )/1000000000</f>
        <v>0.8001042443804034</v>
      </c>
      <c r="E50" s="17">
        <f t="shared" ref="E50:P50" si="15">$C$48*(E47*($C$43+ 3*E15+E16*E28+E12*E21*E22*E23*($C$44 + E25*($C$45 + E9*$C$46)) ) )/1000000000</f>
        <v>0.90832288632421732</v>
      </c>
      <c r="F50" s="17">
        <f t="shared" si="15"/>
        <v>0.85862539947131067</v>
      </c>
      <c r="G50" s="17">
        <f t="shared" si="15"/>
        <v>0.8666198940273957</v>
      </c>
      <c r="H50" s="17">
        <f t="shared" si="15"/>
        <v>0.87960296360084</v>
      </c>
      <c r="I50" s="17">
        <f t="shared" si="15"/>
        <v>0.90556910274772806</v>
      </c>
      <c r="J50" s="17">
        <f t="shared" si="15"/>
        <v>0.91098744277725485</v>
      </c>
      <c r="K50" s="17">
        <f t="shared" si="15"/>
        <v>0.93783053501378533</v>
      </c>
      <c r="L50" s="17">
        <f t="shared" si="15"/>
        <v>0.96467362725031591</v>
      </c>
      <c r="M50" s="17">
        <f t="shared" si="15"/>
        <v>1.0000012883530323</v>
      </c>
      <c r="N50" s="17">
        <f t="shared" si="15"/>
        <v>1.0285982867688475</v>
      </c>
      <c r="O50" s="17">
        <f t="shared" si="15"/>
        <v>1.0857922836004774</v>
      </c>
      <c r="P50" s="17">
        <f t="shared" si="15"/>
        <v>1.1429862804321076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0.59046399999999999</v>
      </c>
      <c r="D51" s="60">
        <f>(D47*($C$43+ 3*D15+D16*D28+D12*D21*D22*D23*($C$44 + D25*($C$45 + D9*$C$46)) ) )/1000000000</f>
        <v>0.63155884354544001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75.081380208333329</v>
      </c>
      <c r="D52" s="29">
        <f t="shared" ref="D52:P52" si="16">1000000000*D50/D14</f>
        <v>101.73851577509605</v>
      </c>
      <c r="E52" s="29">
        <f t="shared" si="16"/>
        <v>115.49922769218665</v>
      </c>
      <c r="F52" s="29">
        <f t="shared" si="16"/>
        <v>109.1798654519794</v>
      </c>
      <c r="G52" s="29">
        <f t="shared" si="16"/>
        <v>110.19641800275113</v>
      </c>
      <c r="H52" s="29">
        <f t="shared" si="16"/>
        <v>111.84730066945902</v>
      </c>
      <c r="I52" s="29">
        <f t="shared" si="16"/>
        <v>115.14906600287478</v>
      </c>
      <c r="J52" s="29">
        <f t="shared" si="16"/>
        <v>115.83804356603683</v>
      </c>
      <c r="K52" s="29">
        <f t="shared" si="16"/>
        <v>119.25131925122393</v>
      </c>
      <c r="L52" s="29">
        <f t="shared" si="16"/>
        <v>122.66459493641102</v>
      </c>
      <c r="M52" s="29">
        <f t="shared" si="16"/>
        <v>127.15673934339297</v>
      </c>
      <c r="N52" s="29">
        <f t="shared" si="16"/>
        <v>130.79303573212275</v>
      </c>
      <c r="O52" s="29">
        <f t="shared" si="16"/>
        <v>138.06562850958218</v>
      </c>
      <c r="P52" s="29">
        <f t="shared" si="16"/>
        <v>145.33822128704168</v>
      </c>
    </row>
    <row r="53" spans="1:16" s="12" customFormat="1" x14ac:dyDescent="0.15">
      <c r="B53" s="10" t="s">
        <v>58</v>
      </c>
      <c r="C53" s="17">
        <f>$D$50/C50</f>
        <v>1.3550432276657061</v>
      </c>
      <c r="D53" s="17">
        <f t="shared" ref="D53:P53" si="17">$D$50/D50</f>
        <v>1</v>
      </c>
      <c r="E53" s="17">
        <f t="shared" si="17"/>
        <v>0.88085884042650198</v>
      </c>
      <c r="F53" s="17">
        <f t="shared" si="17"/>
        <v>0.93184320528260511</v>
      </c>
      <c r="G53" s="17">
        <f t="shared" si="17"/>
        <v>0.92324703124702379</v>
      </c>
      <c r="H53" s="17">
        <f t="shared" si="17"/>
        <v>0.90961976879319295</v>
      </c>
      <c r="I53" s="17">
        <f t="shared" si="17"/>
        <v>0.883537481515969</v>
      </c>
      <c r="J53" s="17">
        <f t="shared" si="17"/>
        <v>0.87828240742944741</v>
      </c>
      <c r="K53" s="17">
        <f t="shared" si="17"/>
        <v>0.85314373387153841</v>
      </c>
      <c r="L53" s="17">
        <f t="shared" si="17"/>
        <v>0.82940408214641737</v>
      </c>
      <c r="M53" s="17">
        <f t="shared" si="17"/>
        <v>0.80010321356500202</v>
      </c>
      <c r="N53" s="17">
        <f t="shared" si="17"/>
        <v>0.77785881492548847</v>
      </c>
      <c r="O53" s="17">
        <f t="shared" si="17"/>
        <v>0.73688518187591545</v>
      </c>
      <c r="P53" s="17">
        <f t="shared" si="17"/>
        <v>0.7000121156991691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0.59046399999999999</v>
      </c>
      <c r="D56" s="57">
        <f>$C$69*(D47*($C$62+ $C$63*3*D15+D16*D28+D12*D21*D22*D23*($C$66 + D25*($C$67 + D9*$C$68)) ) + $C$64*(D27)^2 + $C$65*((D27)^2)/(D10/D25) )/1000000000</f>
        <v>0.8001042443804034</v>
      </c>
      <c r="E56" s="57">
        <f t="shared" ref="E56:P56" si="18">$C$69*(E47*($C$62+ $C$63*3*E15+E16*E28+E12*E21*E22*E23*($C$66 + E25*($C$67 + E9*$C$68)) ) + $C$64*(E27)^2 + $C$65*((E27)^2)/(E10/E25) )/1000000000</f>
        <v>0.90832288632421732</v>
      </c>
      <c r="F56" s="57">
        <f t="shared" si="18"/>
        <v>0.85862539947131067</v>
      </c>
      <c r="G56" s="57">
        <f t="shared" si="18"/>
        <v>0.8666198940273957</v>
      </c>
      <c r="H56" s="57">
        <f t="shared" si="18"/>
        <v>0.87960296360084</v>
      </c>
      <c r="I56" s="57">
        <f t="shared" si="18"/>
        <v>0.90556910274772806</v>
      </c>
      <c r="J56" s="57">
        <f t="shared" si="18"/>
        <v>0.91098744277725485</v>
      </c>
      <c r="K56" s="57">
        <f t="shared" si="18"/>
        <v>0.93783053501378533</v>
      </c>
      <c r="L56" s="57">
        <f t="shared" si="18"/>
        <v>0.96467362725031591</v>
      </c>
      <c r="M56" s="57">
        <f t="shared" si="18"/>
        <v>1.0000012883530323</v>
      </c>
      <c r="N56" s="57">
        <f t="shared" si="18"/>
        <v>1.0285982867688475</v>
      </c>
      <c r="O56" s="57">
        <f t="shared" si="18"/>
        <v>1.0857922836004774</v>
      </c>
      <c r="P56" s="57">
        <f t="shared" si="18"/>
        <v>1.1429862804321076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0.59046399999999999</v>
      </c>
      <c r="D57" s="60">
        <f>(D47*($C$43+ $C$63*3*D15+D16*D28+D12*D21*D22*D23*($C$44 + D25*($C$45 + D9*$C$46)) ) + $C$64*(D27)^2 + $C$65*((D27)^2)/(D10/D25) )/1000000000</f>
        <v>0.63155884354544001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75.081380208333329</v>
      </c>
      <c r="D58" s="29">
        <f t="shared" ref="D58:P58" si="19">1000000000*D56/D14</f>
        <v>101.73851577509605</v>
      </c>
      <c r="E58" s="29">
        <f t="shared" si="19"/>
        <v>115.49922769218665</v>
      </c>
      <c r="F58" s="29">
        <f t="shared" si="19"/>
        <v>109.1798654519794</v>
      </c>
      <c r="G58" s="29">
        <f t="shared" si="19"/>
        <v>110.19641800275113</v>
      </c>
      <c r="H58" s="29">
        <f t="shared" si="19"/>
        <v>111.84730066945902</v>
      </c>
      <c r="I58" s="29">
        <f t="shared" si="19"/>
        <v>115.14906600287478</v>
      </c>
      <c r="J58" s="29">
        <f t="shared" si="19"/>
        <v>115.83804356603683</v>
      </c>
      <c r="K58" s="29">
        <f t="shared" si="19"/>
        <v>119.25131925122393</v>
      </c>
      <c r="L58" s="29">
        <f t="shared" si="19"/>
        <v>122.66459493641102</v>
      </c>
      <c r="M58" s="29">
        <f t="shared" si="19"/>
        <v>127.15673934339297</v>
      </c>
      <c r="N58" s="29">
        <f t="shared" si="19"/>
        <v>130.79303573212275</v>
      </c>
      <c r="O58" s="29">
        <f t="shared" si="19"/>
        <v>138.06562850958218</v>
      </c>
      <c r="P58" s="29">
        <f t="shared" si="19"/>
        <v>145.33822128704168</v>
      </c>
    </row>
    <row r="59" spans="1:16" s="12" customFormat="1" x14ac:dyDescent="0.15">
      <c r="B59" s="10" t="s">
        <v>58</v>
      </c>
      <c r="C59" s="17">
        <f>$D$56/C56</f>
        <v>1.3550432276657061</v>
      </c>
      <c r="D59" s="17">
        <f t="shared" ref="D59:P59" si="20">$D$56/D56</f>
        <v>1</v>
      </c>
      <c r="E59" s="17">
        <f t="shared" si="20"/>
        <v>0.88085884042650198</v>
      </c>
      <c r="F59" s="17">
        <f t="shared" si="20"/>
        <v>0.93184320528260511</v>
      </c>
      <c r="G59" s="17">
        <f t="shared" si="20"/>
        <v>0.92324703124702379</v>
      </c>
      <c r="H59" s="17">
        <f t="shared" si="20"/>
        <v>0.90961976879319295</v>
      </c>
      <c r="I59" s="17">
        <f t="shared" si="20"/>
        <v>0.883537481515969</v>
      </c>
      <c r="J59" s="17">
        <f t="shared" si="20"/>
        <v>0.87828240742944741</v>
      </c>
      <c r="K59" s="17">
        <f t="shared" si="20"/>
        <v>0.85314373387153841</v>
      </c>
      <c r="L59" s="17">
        <f t="shared" si="20"/>
        <v>0.82940408214641737</v>
      </c>
      <c r="M59" s="17">
        <f t="shared" si="20"/>
        <v>0.80010321356500202</v>
      </c>
      <c r="N59" s="17">
        <f t="shared" si="20"/>
        <v>0.77785881492548847</v>
      </c>
      <c r="O59" s="17">
        <f t="shared" si="20"/>
        <v>0.73688518187591545</v>
      </c>
      <c r="P59" s="17">
        <f t="shared" si="20"/>
        <v>0.7000121156991691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1.2668720461402847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A1:AD77"/>
  <sheetViews>
    <sheetView zoomScale="75" zoomScaleNormal="75" zoomScalePageLayoutView="75" workbookViewId="0">
      <selection activeCell="I31" sqref="I3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160</v>
      </c>
      <c r="D10" s="2">
        <v>160</v>
      </c>
      <c r="E10" s="1">
        <v>160</v>
      </c>
      <c r="F10" s="2">
        <v>160</v>
      </c>
      <c r="G10" s="2">
        <v>160</v>
      </c>
      <c r="H10" s="2">
        <v>160</v>
      </c>
      <c r="I10" s="2">
        <v>160</v>
      </c>
      <c r="J10" s="2">
        <v>160</v>
      </c>
      <c r="K10" s="2">
        <v>160</v>
      </c>
      <c r="L10" s="2">
        <v>160</v>
      </c>
      <c r="M10" s="2">
        <v>160</v>
      </c>
      <c r="N10" s="2">
        <v>160</v>
      </c>
      <c r="O10" s="2">
        <v>160</v>
      </c>
      <c r="P10" s="2">
        <v>160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20</v>
      </c>
      <c r="D25" s="36">
        <v>20</v>
      </c>
      <c r="E25" s="36">
        <v>10</v>
      </c>
      <c r="F25" s="36">
        <v>20</v>
      </c>
      <c r="G25" s="36">
        <v>20</v>
      </c>
      <c r="H25" s="36">
        <v>20</v>
      </c>
      <c r="I25" s="36">
        <v>20</v>
      </c>
      <c r="J25" s="36">
        <v>20</v>
      </c>
      <c r="K25" s="36">
        <v>20</v>
      </c>
      <c r="L25" s="36">
        <v>20</v>
      </c>
      <c r="M25" s="36">
        <v>20</v>
      </c>
      <c r="N25" s="36">
        <v>20</v>
      </c>
      <c r="O25" s="36">
        <v>20</v>
      </c>
      <c r="P25" s="36">
        <v>20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512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622080</v>
      </c>
      <c r="E28" s="1">
        <f t="shared" ref="E28:P28" si="10">( E21*E23 + E22*E23 + E21*E22)*E24*E25*4</f>
        <v>164160</v>
      </c>
      <c r="F28" s="1">
        <f t="shared" si="10"/>
        <v>172800</v>
      </c>
      <c r="G28" s="1">
        <f t="shared" si="10"/>
        <v>95040</v>
      </c>
      <c r="H28" s="1">
        <f t="shared" si="10"/>
        <v>95040</v>
      </c>
      <c r="I28" s="1">
        <f t="shared" si="10"/>
        <v>95040</v>
      </c>
      <c r="J28" s="1">
        <f t="shared" si="10"/>
        <v>51840</v>
      </c>
      <c r="K28" s="1">
        <f t="shared" si="10"/>
        <v>51840</v>
      </c>
      <c r="L28" s="1">
        <f t="shared" si="10"/>
        <v>51840</v>
      </c>
      <c r="M28" s="1">
        <f t="shared" si="10"/>
        <v>30240</v>
      </c>
      <c r="N28" s="1">
        <f t="shared" si="10"/>
        <v>30240</v>
      </c>
      <c r="O28" s="1">
        <f t="shared" si="10"/>
        <v>30240</v>
      </c>
      <c r="P28" s="1">
        <f t="shared" si="10"/>
        <v>30240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16</v>
      </c>
      <c r="D30" s="1">
        <v>23.61</v>
      </c>
      <c r="E30" s="1">
        <v>26.33</v>
      </c>
      <c r="F30" s="1">
        <v>31.34</v>
      </c>
      <c r="G30" s="1">
        <v>31.97</v>
      </c>
      <c r="H30" s="1">
        <v>35.979999999999997</v>
      </c>
      <c r="I30" s="74">
        <v>37.270000000000003</v>
      </c>
      <c r="J30" s="1">
        <v>36.89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1.6</v>
      </c>
      <c r="D33" s="17">
        <f t="shared" si="11"/>
        <v>2.3609999999999998</v>
      </c>
      <c r="E33" s="17">
        <f t="shared" si="11"/>
        <v>2.633</v>
      </c>
      <c r="F33" s="17">
        <f t="shared" si="11"/>
        <v>3.1339999999999999</v>
      </c>
      <c r="G33" s="17">
        <f t="shared" si="11"/>
        <v>3.1970000000000001</v>
      </c>
      <c r="H33" s="17">
        <f t="shared" si="11"/>
        <v>3.5979999999999999</v>
      </c>
      <c r="I33" s="17">
        <f>I30/I32</f>
        <v>3.7270000000000003</v>
      </c>
      <c r="J33" s="17">
        <f>J30/J32</f>
        <v>3.6890000000000001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22.605613425925927</v>
      </c>
      <c r="D34" s="13">
        <f t="shared" si="12"/>
        <v>33.357408311631943</v>
      </c>
      <c r="E34" s="13">
        <f t="shared" si="12"/>
        <v>37.200362594039355</v>
      </c>
      <c r="F34" s="13">
        <f t="shared" si="12"/>
        <v>44.278745298032405</v>
      </c>
      <c r="G34" s="13">
        <f t="shared" si="12"/>
        <v>45.16884132667824</v>
      </c>
      <c r="H34" s="13">
        <f t="shared" si="12"/>
        <v>50.834373191550924</v>
      </c>
      <c r="I34" s="13">
        <f t="shared" si="12"/>
        <v>52.656950774016209</v>
      </c>
      <c r="J34" s="13">
        <f t="shared" si="12"/>
        <v>52.120067455150462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1.4756249999999997</v>
      </c>
      <c r="D40" s="37">
        <f t="shared" ref="D40:P40" si="13">$D$33/D33</f>
        <v>1</v>
      </c>
      <c r="E40" s="37">
        <f t="shared" si="13"/>
        <v>0.89669578427649055</v>
      </c>
      <c r="F40" s="37">
        <f t="shared" si="13"/>
        <v>0.75335035098915115</v>
      </c>
      <c r="G40" s="37">
        <f t="shared" si="13"/>
        <v>0.73850484829527674</v>
      </c>
      <c r="H40" s="37">
        <f t="shared" si="13"/>
        <v>0.65619788771539744</v>
      </c>
      <c r="I40" s="37">
        <f t="shared" si="13"/>
        <v>0.63348537697880325</v>
      </c>
      <c r="J40" s="37">
        <f t="shared" si="13"/>
        <v>0.64001084304689615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520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1.2488058226488934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1.96672</v>
      </c>
      <c r="D50" s="17">
        <f>$C$48*(D47*($C$43+ 3*D15+D16*D28+D12*D21*D22*D23*($C$44 + D25*($C$45 + D9*$C$46)) ) )/1000000000</f>
        <v>2.9021411999999995</v>
      </c>
      <c r="E50" s="17">
        <f t="shared" ref="E50:P50" si="15">$C$48*(E47*($C$43+ 3*E15+E16*E28+E12*E21*E22*E23*($C$44 + E25*($C$45 + E9*$C$46)) ) )/1000000000</f>
        <v>3.0641135650355111</v>
      </c>
      <c r="F50" s="17">
        <f t="shared" si="15"/>
        <v>3.1216690867525627</v>
      </c>
      <c r="G50" s="17">
        <f t="shared" si="15"/>
        <v>3.1500167213180972</v>
      </c>
      <c r="H50" s="17">
        <f t="shared" si="15"/>
        <v>3.1972079830606903</v>
      </c>
      <c r="I50" s="17">
        <f t="shared" si="15"/>
        <v>3.2915905065458766</v>
      </c>
      <c r="J50" s="17">
        <f t="shared" si="15"/>
        <v>3.2789632314353914</v>
      </c>
      <c r="K50" s="17">
        <f t="shared" si="15"/>
        <v>3.375580932545827</v>
      </c>
      <c r="L50" s="17">
        <f t="shared" si="15"/>
        <v>3.4721986336562618</v>
      </c>
      <c r="M50" s="17">
        <f t="shared" si="15"/>
        <v>3.5349229708713574</v>
      </c>
      <c r="N50" s="17">
        <f t="shared" si="15"/>
        <v>3.6360110272322896</v>
      </c>
      <c r="O50" s="17">
        <f t="shared" si="15"/>
        <v>3.8381871399541545</v>
      </c>
      <c r="P50" s="17">
        <f t="shared" si="15"/>
        <v>4.0403632526760198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1.96672</v>
      </c>
      <c r="D51" s="60">
        <f>(D47*($C$43+ 3*D15+D16*D28+D12*D21*D22*D23*($C$44 + D25*($C$45 + D9*$C$46)) ) )/1000000000</f>
        <v>2.3239331106289596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27.786820023148149</v>
      </c>
      <c r="D52" s="29">
        <f t="shared" ref="D52:P52" si="16">1000000000*D50/D14</f>
        <v>41.002926296657982</v>
      </c>
      <c r="E52" s="29">
        <f t="shared" si="16"/>
        <v>43.29135421520531</v>
      </c>
      <c r="F52" s="29">
        <f t="shared" si="16"/>
        <v>44.104527886744783</v>
      </c>
      <c r="G52" s="29">
        <f t="shared" si="16"/>
        <v>44.505037679574713</v>
      </c>
      <c r="H52" s="29">
        <f t="shared" si="16"/>
        <v>45.171779817096436</v>
      </c>
      <c r="I52" s="29">
        <f t="shared" si="16"/>
        <v>46.505264092139868</v>
      </c>
      <c r="J52" s="29">
        <f t="shared" si="16"/>
        <v>46.326859529783341</v>
      </c>
      <c r="K52" s="29">
        <f t="shared" si="16"/>
        <v>47.691923530660937</v>
      </c>
      <c r="L52" s="29">
        <f t="shared" si="16"/>
        <v>49.056987531538532</v>
      </c>
      <c r="M52" s="29">
        <f t="shared" si="16"/>
        <v>49.943188856214697</v>
      </c>
      <c r="N52" s="29">
        <f t="shared" si="16"/>
        <v>51.371412308760604</v>
      </c>
      <c r="O52" s="29">
        <f t="shared" si="16"/>
        <v>54.227859213852419</v>
      </c>
      <c r="P52" s="29">
        <f t="shared" si="16"/>
        <v>57.084306118944234</v>
      </c>
    </row>
    <row r="53" spans="1:16" s="12" customFormat="1" x14ac:dyDescent="0.15">
      <c r="B53" s="10" t="s">
        <v>58</v>
      </c>
      <c r="C53" s="17">
        <f>$D$50/C50</f>
        <v>1.4756249999999997</v>
      </c>
      <c r="D53" s="17">
        <f t="shared" ref="D53:P53" si="17">$D$50/D50</f>
        <v>1</v>
      </c>
      <c r="E53" s="17">
        <f t="shared" si="17"/>
        <v>0.94713891584053134</v>
      </c>
      <c r="F53" s="17">
        <f t="shared" si="17"/>
        <v>0.92967611855972354</v>
      </c>
      <c r="G53" s="17">
        <f t="shared" si="17"/>
        <v>0.92130977602735509</v>
      </c>
      <c r="H53" s="17">
        <f t="shared" si="17"/>
        <v>0.90771110774650854</v>
      </c>
      <c r="I53" s="17">
        <f t="shared" si="17"/>
        <v>0.88168354910144742</v>
      </c>
      <c r="J53" s="17">
        <f t="shared" si="17"/>
        <v>0.88507890914335285</v>
      </c>
      <c r="K53" s="17">
        <f t="shared" si="17"/>
        <v>0.85974570244157522</v>
      </c>
      <c r="L53" s="17">
        <f t="shared" si="17"/>
        <v>0.83582234376494013</v>
      </c>
      <c r="M53" s="17">
        <f t="shared" si="17"/>
        <v>0.82099135509157151</v>
      </c>
      <c r="N53" s="17">
        <f t="shared" si="17"/>
        <v>0.79816622619241406</v>
      </c>
      <c r="O53" s="17">
        <f t="shared" si="17"/>
        <v>0.75612290234359558</v>
      </c>
      <c r="P53" s="17">
        <f t="shared" si="17"/>
        <v>0.71828719808246166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1.96672</v>
      </c>
      <c r="D56" s="57">
        <f>$C$69*(D47*($C$62+ $C$63*3*D15+D16*D28+D12*D21*D22*D23*($C$66 + D25*($C$67 + D9*$C$68)) ) + $C$64*(D27)^2 + $C$65*((D27)^2)/(D10/D25) )/1000000000</f>
        <v>2.9021411999999995</v>
      </c>
      <c r="E56" s="57">
        <f t="shared" ref="E56:P56" si="18">$C$69*(E47*($C$62+ $C$63*3*E15+E16*E28+E12*E21*E22*E23*($C$66 + E25*($C$67 + E9*$C$68)) ) + $C$64*(E27)^2 + $C$65*((E27)^2)/(E10/E25) )/1000000000</f>
        <v>3.0641135650355111</v>
      </c>
      <c r="F56" s="57">
        <f t="shared" si="18"/>
        <v>3.1216690867525627</v>
      </c>
      <c r="G56" s="57">
        <f t="shared" si="18"/>
        <v>3.1500167213180972</v>
      </c>
      <c r="H56" s="57">
        <f t="shared" si="18"/>
        <v>3.1972079830606903</v>
      </c>
      <c r="I56" s="57">
        <f t="shared" si="18"/>
        <v>3.2915905065458766</v>
      </c>
      <c r="J56" s="57">
        <f t="shared" si="18"/>
        <v>3.2789632314353914</v>
      </c>
      <c r="K56" s="57">
        <f t="shared" si="18"/>
        <v>3.375580932545827</v>
      </c>
      <c r="L56" s="57">
        <f t="shared" si="18"/>
        <v>3.4721986336562618</v>
      </c>
      <c r="M56" s="57">
        <f t="shared" si="18"/>
        <v>3.5349229708713574</v>
      </c>
      <c r="N56" s="57">
        <f t="shared" si="18"/>
        <v>3.6360110272322896</v>
      </c>
      <c r="O56" s="57">
        <f t="shared" si="18"/>
        <v>3.8381871399541545</v>
      </c>
      <c r="P56" s="57">
        <f t="shared" si="18"/>
        <v>4.0403632526760198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1.96672</v>
      </c>
      <c r="D57" s="60">
        <f>(D47*($C$43+ $C$63*3*D15+D16*D28+D12*D21*D22*D23*($C$44 + D25*($C$45 + D9*$C$46)) ) + $C$64*(D27)^2 + $C$65*((D27)^2)/(D10/D25) )/1000000000</f>
        <v>2.3239331106289596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27.786820023148149</v>
      </c>
      <c r="D58" s="29">
        <f t="shared" ref="D58:P58" si="19">1000000000*D56/D14</f>
        <v>41.002926296657982</v>
      </c>
      <c r="E58" s="29">
        <f t="shared" si="19"/>
        <v>43.29135421520531</v>
      </c>
      <c r="F58" s="29">
        <f t="shared" si="19"/>
        <v>44.104527886744783</v>
      </c>
      <c r="G58" s="29">
        <f t="shared" si="19"/>
        <v>44.505037679574713</v>
      </c>
      <c r="H58" s="29">
        <f t="shared" si="19"/>
        <v>45.171779817096436</v>
      </c>
      <c r="I58" s="29">
        <f t="shared" si="19"/>
        <v>46.505264092139868</v>
      </c>
      <c r="J58" s="29">
        <f t="shared" si="19"/>
        <v>46.326859529783341</v>
      </c>
      <c r="K58" s="29">
        <f t="shared" si="19"/>
        <v>47.691923530660937</v>
      </c>
      <c r="L58" s="29">
        <f t="shared" si="19"/>
        <v>49.056987531538532</v>
      </c>
      <c r="M58" s="29">
        <f t="shared" si="19"/>
        <v>49.943188856214697</v>
      </c>
      <c r="N58" s="29">
        <f t="shared" si="19"/>
        <v>51.371412308760604</v>
      </c>
      <c r="O58" s="29">
        <f t="shared" si="19"/>
        <v>54.227859213852419</v>
      </c>
      <c r="P58" s="29">
        <f t="shared" si="19"/>
        <v>57.084306118944234</v>
      </c>
    </row>
    <row r="59" spans="1:16" s="12" customFormat="1" x14ac:dyDescent="0.15">
      <c r="B59" s="10" t="s">
        <v>58</v>
      </c>
      <c r="C59" s="17">
        <f>$D$56/C56</f>
        <v>1.4756249999999997</v>
      </c>
      <c r="D59" s="17">
        <f t="shared" ref="D59:P59" si="20">$D$56/D56</f>
        <v>1</v>
      </c>
      <c r="E59" s="17">
        <f t="shared" si="20"/>
        <v>0.94713891584053134</v>
      </c>
      <c r="F59" s="17">
        <f t="shared" si="20"/>
        <v>0.92967611855972354</v>
      </c>
      <c r="G59" s="17">
        <f t="shared" si="20"/>
        <v>0.92130977602735509</v>
      </c>
      <c r="H59" s="17">
        <f t="shared" si="20"/>
        <v>0.90771110774650854</v>
      </c>
      <c r="I59" s="17">
        <f t="shared" si="20"/>
        <v>0.88168354910144742</v>
      </c>
      <c r="J59" s="17">
        <f t="shared" si="20"/>
        <v>0.88507890914335285</v>
      </c>
      <c r="K59" s="17">
        <f t="shared" si="20"/>
        <v>0.85974570244157522</v>
      </c>
      <c r="L59" s="17">
        <f t="shared" si="20"/>
        <v>0.83582234376494013</v>
      </c>
      <c r="M59" s="17">
        <f t="shared" si="20"/>
        <v>0.82099135509157151</v>
      </c>
      <c r="N59" s="17">
        <f t="shared" si="20"/>
        <v>0.79816622619241406</v>
      </c>
      <c r="O59" s="17">
        <f t="shared" si="20"/>
        <v>0.75612290234359558</v>
      </c>
      <c r="P59" s="17">
        <f t="shared" si="20"/>
        <v>0.71828719808246166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1.2488058226488934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r438</vt:lpstr>
      <vt:lpstr>r701</vt:lpstr>
      <vt:lpstr>2D Cases</vt:lpstr>
      <vt:lpstr>1307 PWLD 1g</vt:lpstr>
      <vt:lpstr>1307 PWLD 1g 4-18</vt:lpstr>
      <vt:lpstr>1307 PWLD 3g</vt:lpstr>
      <vt:lpstr>1432 LD 3g</vt:lpstr>
      <vt:lpstr>1432 LD 27g</vt:lpstr>
      <vt:lpstr>1432 PWLD 3g</vt:lpstr>
      <vt:lpstr>1432 PWLD 27g</vt:lpstr>
      <vt:lpstr>1528 PWLD 1g</vt:lpstr>
      <vt:lpstr>1528 PWLD 3g</vt:lpstr>
      <vt:lpstr>1528 PWLD 27g</vt:lpstr>
      <vt:lpstr>1528 PWLD 27g SA</vt:lpstr>
      <vt:lpstr>1528 PWLD 99g</vt:lpstr>
      <vt:lpstr>1528 LD 1g</vt:lpstr>
      <vt:lpstr>1528 LD 3g</vt:lpstr>
      <vt:lpstr>1528 LD 27g</vt:lpstr>
      <vt:lpstr>1528 LD 99g</vt:lpstr>
    </vt:vector>
  </TitlesOfParts>
  <Company>Texas A&amp;M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Hawkins</dc:creator>
  <cp:lastModifiedBy>Microsoft Office User</cp:lastModifiedBy>
  <cp:lastPrinted>2010-09-06T00:51:44Z</cp:lastPrinted>
  <dcterms:created xsi:type="dcterms:W3CDTF">2010-02-15T18:04:06Z</dcterms:created>
  <dcterms:modified xsi:type="dcterms:W3CDTF">2019-09-02T16:46:14Z</dcterms:modified>
</cp:coreProperties>
</file>